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wmf" ContentType="image/x-wmf"/>
  <Default Extension="emf" ContentType="image/x-emf"/>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embeddings/oleObject1.bin" ContentType="application/vnd.openxmlformats-officedocument.oleObject"/>
  <Override PartName="/xl/comments1.xml" ContentType="application/vnd.openxmlformats-officedocument.spreadsheetml.comments+xml"/>
  <Override PartName="/xl/drawings/drawing5.xml" ContentType="application/vnd.openxmlformats-officedocument.drawing+xml"/>
  <Override PartName="/xl/drawings/drawing6.xml" ContentType="application/vnd.openxmlformats-officedocument.drawing+xml"/>
  <Override PartName="/xl/ctrlProps/ctrlProp1.xml" ContentType="application/vnd.ms-excel.controlproperties+xml"/>
  <Override PartName="/xl/ctrlProps/ctrlProp2.xml" ContentType="application/vnd.ms-excel.controlproperties+xml"/>
  <Override PartName="/xl/drawings/drawing7.xml" ContentType="application/vnd.openxmlformats-officedocument.drawing+xml"/>
  <Override PartName="/xl/ctrlProps/ctrlProp3.xml" ContentType="application/vnd.ms-excel.controlproperties+xml"/>
  <Override PartName="/xl/ctrlProps/ctrlProp4.xml" ContentType="application/vnd.ms-excel.controlproperties+xml"/>
  <Override PartName="/xl/drawings/drawing8.xml" ContentType="application/vnd.openxmlformats-officedocument.drawing+xml"/>
  <Override PartName="/xl/ctrlProps/ctrlProp5.xml" ContentType="application/vnd.ms-excel.controlproperties+xml"/>
  <Override PartName="/xl/ctrlProps/ctrlProp6.xml" ContentType="application/vnd.ms-excel.controlproperties+xml"/>
  <Override PartName="/xl/drawings/drawing9.xml" ContentType="application/vnd.openxmlformats-officedocument.drawing+xml"/>
  <Override PartName="/xl/ctrlProps/ctrlProp7.xml" ContentType="application/vnd.ms-excel.controlproperties+xml"/>
  <Override PartName="/xl/ctrlProps/ctrlProp8.xml" ContentType="application/vnd.ms-excel.controlproperties+xml"/>
  <Override PartName="/xl/drawings/drawing10.xml" ContentType="application/vnd.openxmlformats-officedocument.drawing+xml"/>
  <Override PartName="/xl/ctrlProps/ctrlProp9.xml" ContentType="application/vnd.ms-excel.controlproperties+xml"/>
  <Override PartName="/xl/ctrlProps/ctrlProp10.xml" ContentType="application/vnd.ms-excel.controlproperties+xml"/>
  <Override PartName="/xl/drawings/drawing11.xml" ContentType="application/vnd.openxmlformats-officedocument.drawing+xml"/>
  <Override PartName="/xl/ctrlProps/ctrlProp11.xml" ContentType="application/vnd.ms-excel.controlproperties+xml"/>
  <Override PartName="/xl/ctrlProps/ctrlProp12.xml" ContentType="application/vnd.ms-excel.controlproperties+xml"/>
  <Override PartName="/xl/drawings/drawing12.xml" ContentType="application/vnd.openxmlformats-officedocument.drawing+xml"/>
  <Override PartName="/xl/ctrlProps/ctrlProp13.xml" ContentType="application/vnd.ms-excel.controlpropertie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codeName="ThisWorkbook" defaultThemeVersion="124226"/>
  <workbookProtection workbookPassword="F8BD" lockStructure="1"/>
  <bookViews>
    <workbookView xWindow="-165" yWindow="1890" windowWidth="18960" windowHeight="8970" tabRatio="971"/>
  </bookViews>
  <sheets>
    <sheet name="LDC Info" sheetId="32" r:id="rId1"/>
    <sheet name="Index" sheetId="10" r:id="rId2"/>
    <sheet name="COS Flowchart" sheetId="26" r:id="rId3"/>
    <sheet name="List of Key References" sheetId="99" r:id="rId4"/>
    <sheet name="App.2-A_Requested_Approvals" sheetId="135" r:id="rId5"/>
    <sheet name="App.2-AA_Capital Projects" sheetId="11" r:id="rId6"/>
    <sheet name="App.2-AB_Capital Expenditures" sheetId="102" r:id="rId7"/>
    <sheet name="App.2-AC_Customer Engagement" sheetId="110" r:id="rId8"/>
    <sheet name="App.2-B_Acctg Instructions" sheetId="77" r:id="rId9"/>
    <sheet name="App.2-BA_Fixed Asset Cont" sheetId="100" r:id="rId10"/>
    <sheet name="Appendix 2-BB Service Life  " sheetId="109" r:id="rId11"/>
    <sheet name="App.2-CA_OldCGAAPDepExp_Yr1" sheetId="58" r:id="rId12"/>
    <sheet name="App.2-CB_NewCGAAP_DepExp_Yr1" sheetId="59" r:id="rId13"/>
    <sheet name="App.2-CC_DepExp_Yr2" sheetId="60" r:id="rId14"/>
    <sheet name="App.2-CD_DepExp_Yr3" sheetId="61" r:id="rId15"/>
    <sheet name="App.2-CE_DepExp_Yr4" sheetId="62" r:id="rId16"/>
    <sheet name="App.2-CF_DepExp_Yr5" sheetId="120" r:id="rId17"/>
    <sheet name="App.2-CG_DepExp_Yr6" sheetId="130" r:id="rId18"/>
    <sheet name="App.2-CH_DepExp" sheetId="87" r:id="rId19"/>
    <sheet name="App.2-D_Overhead" sheetId="71" r:id="rId20"/>
    <sheet name="App.2-EA_Account 1575 (2015)" sheetId="118" r:id="rId21"/>
    <sheet name="App.2-EB_Account 1576 (2012)" sheetId="75" r:id="rId22"/>
    <sheet name="App.2-EC_Account 1576 (2013)" sheetId="119" r:id="rId23"/>
    <sheet name="App.2-FA Proposed REG Invest." sheetId="55" r:id="rId24"/>
    <sheet name="App.2-FB Calc of REG Improvemnt" sheetId="54" r:id="rId25"/>
    <sheet name="App.2-FC Calc of REG Expansion" sheetId="98" r:id="rId26"/>
    <sheet name="App.2-G SQI" sheetId="53" r:id="rId27"/>
    <sheet name="App.2-H_Other_Oper_Rev" sheetId="14" r:id="rId28"/>
    <sheet name="App_2-I LF_CDM" sheetId="122" r:id="rId29"/>
    <sheet name="App.2-IA_Load_Forecast_Instrct" sheetId="132" r:id="rId30"/>
    <sheet name="App.2-IB_Load_Forecast_Analysis" sheetId="133" r:id="rId31"/>
    <sheet name="App.2-JA_OM&amp;A_Summary_Analys" sheetId="49" r:id="rId32"/>
    <sheet name="App.2-JB_OM&amp;A_Cost _Drivers" sheetId="15" r:id="rId33"/>
    <sheet name="App.2-JC_OMA Programs" sheetId="105" r:id="rId34"/>
    <sheet name="App.2-K_Employee Costs" sheetId="5" r:id="rId35"/>
    <sheet name="App.2-KA_P_OPEBs" sheetId="131" r:id="rId36"/>
    <sheet name="App.2-L_OM&amp;A_per_Cust_FTE" sheetId="136" r:id="rId37"/>
    <sheet name="App.2-L_OM&amp;A_per_Cust_FTEE_exp" sheetId="20" state="hidden" r:id="rId38"/>
    <sheet name="App.2-M_Regulatory_Costs" sheetId="12" r:id="rId39"/>
    <sheet name="App.2-N_Corp_Cost_Allocation" sheetId="18" r:id="rId40"/>
    <sheet name="App.2-OA Capital Structure" sheetId="50" r:id="rId41"/>
    <sheet name="App.2-OB_Debt Instruments" sheetId="6" r:id="rId42"/>
    <sheet name="App.2-Q_Cost of Serv. Emb. Dx" sheetId="34" r:id="rId43"/>
    <sheet name="App.2-R_Loss Factors" sheetId="21" r:id="rId44"/>
    <sheet name="App.2-S_Stranded Meters" sheetId="23" r:id="rId45"/>
    <sheet name="App.2-Y_MIFRS Summary Impacts" sheetId="81" r:id="rId46"/>
    <sheet name="Sheet19" sheetId="96" state="hidden" r:id="rId47"/>
    <sheet name="App.2-YA_IFRS Transition Costs" sheetId="80" r:id="rId48"/>
    <sheet name="Sheet1" sheetId="134" r:id="rId49"/>
  </sheets>
  <externalReferences>
    <externalReference r:id="rId50"/>
    <externalReference r:id="rId51"/>
    <externalReference r:id="rId52"/>
    <externalReference r:id="rId53"/>
    <externalReference r:id="rId54"/>
    <externalReference r:id="rId55"/>
    <externalReference r:id="rId56"/>
    <externalReference r:id="rId57"/>
    <externalReference r:id="rId58"/>
    <externalReference r:id="rId59"/>
  </externalReferences>
  <definedNames>
    <definedName name="_ftn1" localSheetId="8">'App.2-B_Acctg Instructions'!#REF!</definedName>
    <definedName name="_ftnref1" localSheetId="8">'App.2-B_Acctg Instructions'!#REF!</definedName>
    <definedName name="BI_LDCLIST">'[1]3. Rate Class Selection'!$B$19:$B$21</definedName>
    <definedName name="BridgeYear" localSheetId="28">'LDC Info'!$E$26</definedName>
    <definedName name="BridgeYear" localSheetId="10">'[2]LDC Info'!$E$26</definedName>
    <definedName name="BridgeYear">'LDC Info'!$E$26</definedName>
    <definedName name="contactf" localSheetId="16">#REF!</definedName>
    <definedName name="contactf" localSheetId="17">#REF!</definedName>
    <definedName name="contactf" localSheetId="20">#REF!</definedName>
    <definedName name="contactf" localSheetId="22">#REF!</definedName>
    <definedName name="contactf" localSheetId="30">#REF!</definedName>
    <definedName name="contactf" localSheetId="36">#REF!</definedName>
    <definedName name="contactf" localSheetId="28">#REF!</definedName>
    <definedName name="contactf" localSheetId="10">#REF!</definedName>
    <definedName name="contactf">#REF!</definedName>
    <definedName name="CustomerAdministration" localSheetId="28">[3]lists!$Z$1:$Z$36</definedName>
    <definedName name="CustomerAdministration" localSheetId="10">[2]lists!$Z$1:$Z$36</definedName>
    <definedName name="CustomerAdministration">[3]lists!$Z$1:$Z$36</definedName>
    <definedName name="EBNUMBER" localSheetId="28">'LDC Info'!$E$16</definedName>
    <definedName name="EBNUMBER" localSheetId="10">'[2]LDC Info'!$E$16</definedName>
    <definedName name="EBNUMBER">'LDC Info'!$E$16</definedName>
    <definedName name="Fixed_Charges" localSheetId="28">[3]lists!$I$1:$I$212</definedName>
    <definedName name="Fixed_Charges" localSheetId="10">[2]lists!$I$1:$I$185</definedName>
    <definedName name="Fixed_Charges">[3]lists!$I$1:$I$212</definedName>
    <definedName name="histdate">[4]Financials!$E$76</definedName>
    <definedName name="Incr2000" localSheetId="16">#REF!</definedName>
    <definedName name="Incr2000" localSheetId="17">#REF!</definedName>
    <definedName name="Incr2000" localSheetId="20">#REF!</definedName>
    <definedName name="Incr2000" localSheetId="22">#REF!</definedName>
    <definedName name="Incr2000" localSheetId="30">#REF!</definedName>
    <definedName name="Incr2000" localSheetId="36">#REF!</definedName>
    <definedName name="Incr2000" localSheetId="28">#REF!</definedName>
    <definedName name="Incr2000" localSheetId="10">#REF!</definedName>
    <definedName name="Incr2000">#REF!</definedName>
    <definedName name="infra" localSheetId="3">'List of Key References'!$B$41</definedName>
    <definedName name="IRMWG" localSheetId="8">'App.2-B_Acctg Instructions'!#REF!</definedName>
    <definedName name="LDC_LIST" localSheetId="10">[5]lists!$AM$1:$AM$80</definedName>
    <definedName name="LDC_LIST">[6]lists!$AM$1:$AM$80</definedName>
    <definedName name="LDCLIST" localSheetId="8">#REF!</definedName>
    <definedName name="LDCLIST" localSheetId="9">#REF!</definedName>
    <definedName name="LDCLIST" localSheetId="20">#REF!</definedName>
    <definedName name="LDCLIST" localSheetId="40">'[7]LDC Info'!$AA$3:$AA$79</definedName>
    <definedName name="LDCLIST">'LDC Info'!$AA$3:$AA$77</definedName>
    <definedName name="LDCNAMES">[3]lists!$AL$1:$AL$78</definedName>
    <definedName name="LIMIT" localSheetId="16">#REF!</definedName>
    <definedName name="LIMIT" localSheetId="17">#REF!</definedName>
    <definedName name="LIMIT" localSheetId="20">#REF!</definedName>
    <definedName name="LIMIT" localSheetId="22">#REF!</definedName>
    <definedName name="LIMIT" localSheetId="30">#REF!</definedName>
    <definedName name="LIMIT" localSheetId="36">#REF!</definedName>
    <definedName name="LIMIT" localSheetId="28">#REF!</definedName>
    <definedName name="LIMIT" localSheetId="10">#REF!</definedName>
    <definedName name="LIMIT">#REF!</definedName>
    <definedName name="LossFactors" localSheetId="28">[3]lists!$L$2:$L$15</definedName>
    <definedName name="LossFactors" localSheetId="10">[2]lists!$L$2:$L$15</definedName>
    <definedName name="LossFactors">[3]lists!$L$2:$L$15</definedName>
    <definedName name="man_beg_bud" localSheetId="16">#REF!</definedName>
    <definedName name="man_beg_bud" localSheetId="17">#REF!</definedName>
    <definedName name="man_beg_bud" localSheetId="20">#REF!</definedName>
    <definedName name="man_beg_bud" localSheetId="22">#REF!</definedName>
    <definedName name="man_beg_bud" localSheetId="30">#REF!</definedName>
    <definedName name="man_beg_bud" localSheetId="36">#REF!</definedName>
    <definedName name="man_beg_bud" localSheetId="28">#REF!</definedName>
    <definedName name="man_beg_bud" localSheetId="10">#REF!</definedName>
    <definedName name="man_beg_bud">#REF!</definedName>
    <definedName name="man_end_bud" localSheetId="16">#REF!</definedName>
    <definedName name="man_end_bud" localSheetId="17">#REF!</definedName>
    <definedName name="man_end_bud" localSheetId="20">#REF!</definedName>
    <definedName name="man_end_bud" localSheetId="22">#REF!</definedName>
    <definedName name="man_end_bud" localSheetId="30">#REF!</definedName>
    <definedName name="man_end_bud" localSheetId="36">#REF!</definedName>
    <definedName name="man_end_bud" localSheetId="28">#REF!</definedName>
    <definedName name="man_end_bud" localSheetId="10">#REF!</definedName>
    <definedName name="man_end_bud">#REF!</definedName>
    <definedName name="man12ACT" localSheetId="16">#REF!</definedName>
    <definedName name="man12ACT" localSheetId="17">#REF!</definedName>
    <definedName name="man12ACT" localSheetId="20">#REF!</definedName>
    <definedName name="man12ACT" localSheetId="22">#REF!</definedName>
    <definedName name="man12ACT" localSheetId="30">#REF!</definedName>
    <definedName name="man12ACT" localSheetId="36">#REF!</definedName>
    <definedName name="man12ACT" localSheetId="28">#REF!</definedName>
    <definedName name="man12ACT" localSheetId="10">#REF!</definedName>
    <definedName name="man12ACT">#REF!</definedName>
    <definedName name="MANBUD" localSheetId="16">#REF!</definedName>
    <definedName name="MANBUD" localSheetId="17">#REF!</definedName>
    <definedName name="MANBUD" localSheetId="20">#REF!</definedName>
    <definedName name="MANBUD" localSheetId="22">#REF!</definedName>
    <definedName name="MANBUD" localSheetId="30">#REF!</definedName>
    <definedName name="MANBUD" localSheetId="36">#REF!</definedName>
    <definedName name="MANBUD" localSheetId="28">#REF!</definedName>
    <definedName name="MANBUD">#REF!</definedName>
    <definedName name="manCYACT" localSheetId="16">#REF!</definedName>
    <definedName name="manCYACT" localSheetId="17">#REF!</definedName>
    <definedName name="manCYACT" localSheetId="20">#REF!</definedName>
    <definedName name="manCYACT" localSheetId="22">#REF!</definedName>
    <definedName name="manCYACT" localSheetId="30">#REF!</definedName>
    <definedName name="manCYACT" localSheetId="36">#REF!</definedName>
    <definedName name="manCYACT" localSheetId="28">#REF!</definedName>
    <definedName name="manCYACT">#REF!</definedName>
    <definedName name="manCYBUD" localSheetId="16">#REF!</definedName>
    <definedName name="manCYBUD" localSheetId="17">#REF!</definedName>
    <definedName name="manCYBUD" localSheetId="20">#REF!</definedName>
    <definedName name="manCYBUD" localSheetId="22">#REF!</definedName>
    <definedName name="manCYBUD" localSheetId="30">#REF!</definedName>
    <definedName name="manCYBUD" localSheetId="36">#REF!</definedName>
    <definedName name="manCYBUD" localSheetId="28">#REF!</definedName>
    <definedName name="manCYBUD">#REF!</definedName>
    <definedName name="manCYF" localSheetId="16">#REF!</definedName>
    <definedName name="manCYF" localSheetId="17">#REF!</definedName>
    <definedName name="manCYF" localSheetId="20">#REF!</definedName>
    <definedName name="manCYF" localSheetId="22">#REF!</definedName>
    <definedName name="manCYF" localSheetId="30">#REF!</definedName>
    <definedName name="manCYF" localSheetId="36">#REF!</definedName>
    <definedName name="manCYF" localSheetId="28">#REF!</definedName>
    <definedName name="manCYF">#REF!</definedName>
    <definedName name="MANEND" localSheetId="16">#REF!</definedName>
    <definedName name="MANEND" localSheetId="17">#REF!</definedName>
    <definedName name="MANEND" localSheetId="20">#REF!</definedName>
    <definedName name="MANEND" localSheetId="22">#REF!</definedName>
    <definedName name="MANEND" localSheetId="30">#REF!</definedName>
    <definedName name="MANEND" localSheetId="36">#REF!</definedName>
    <definedName name="MANEND" localSheetId="28">#REF!</definedName>
    <definedName name="MANEND">#REF!</definedName>
    <definedName name="manNYbud" localSheetId="16">#REF!</definedName>
    <definedName name="manNYbud" localSheetId="17">#REF!</definedName>
    <definedName name="manNYbud" localSheetId="20">#REF!</definedName>
    <definedName name="manNYbud" localSheetId="22">#REF!</definedName>
    <definedName name="manNYbud" localSheetId="30">#REF!</definedName>
    <definedName name="manNYbud" localSheetId="36">#REF!</definedName>
    <definedName name="manNYbud" localSheetId="28">#REF!</definedName>
    <definedName name="manNYbud">#REF!</definedName>
    <definedName name="manpower_costs" localSheetId="16">#REF!</definedName>
    <definedName name="manpower_costs" localSheetId="17">#REF!</definedName>
    <definedName name="manpower_costs" localSheetId="20">#REF!</definedName>
    <definedName name="manpower_costs" localSheetId="22">#REF!</definedName>
    <definedName name="manpower_costs" localSheetId="30">#REF!</definedName>
    <definedName name="manpower_costs" localSheetId="36">#REF!</definedName>
    <definedName name="manpower_costs" localSheetId="28">#REF!</definedName>
    <definedName name="manpower_costs">#REF!</definedName>
    <definedName name="manPYACT" localSheetId="16">#REF!</definedName>
    <definedName name="manPYACT" localSheetId="17">#REF!</definedName>
    <definedName name="manPYACT" localSheetId="20">#REF!</definedName>
    <definedName name="manPYACT" localSheetId="22">#REF!</definedName>
    <definedName name="manPYACT" localSheetId="30">#REF!</definedName>
    <definedName name="manPYACT" localSheetId="36">#REF!</definedName>
    <definedName name="manPYACT" localSheetId="28">#REF!</definedName>
    <definedName name="manPYACT">#REF!</definedName>
    <definedName name="MANSTART" localSheetId="16">#REF!</definedName>
    <definedName name="MANSTART" localSheetId="17">#REF!</definedName>
    <definedName name="MANSTART" localSheetId="20">#REF!</definedName>
    <definedName name="MANSTART" localSheetId="22">#REF!</definedName>
    <definedName name="MANSTART" localSheetId="30">#REF!</definedName>
    <definedName name="MANSTART" localSheetId="36">#REF!</definedName>
    <definedName name="MANSTART" localSheetId="28">#REF!</definedName>
    <definedName name="MANSTART">#REF!</definedName>
    <definedName name="mat_beg_bud" localSheetId="16">#REF!</definedName>
    <definedName name="mat_beg_bud" localSheetId="17">#REF!</definedName>
    <definedName name="mat_beg_bud" localSheetId="20">#REF!</definedName>
    <definedName name="mat_beg_bud" localSheetId="22">#REF!</definedName>
    <definedName name="mat_beg_bud" localSheetId="30">#REF!</definedName>
    <definedName name="mat_beg_bud" localSheetId="36">#REF!</definedName>
    <definedName name="mat_beg_bud" localSheetId="28">#REF!</definedName>
    <definedName name="mat_beg_bud">#REF!</definedName>
    <definedName name="mat_end_bud" localSheetId="16">#REF!</definedName>
    <definedName name="mat_end_bud" localSheetId="17">#REF!</definedName>
    <definedName name="mat_end_bud" localSheetId="20">#REF!</definedName>
    <definedName name="mat_end_bud" localSheetId="22">#REF!</definedName>
    <definedName name="mat_end_bud" localSheetId="30">#REF!</definedName>
    <definedName name="mat_end_bud" localSheetId="36">#REF!</definedName>
    <definedName name="mat_end_bud" localSheetId="28">#REF!</definedName>
    <definedName name="mat_end_bud">#REF!</definedName>
    <definedName name="mat12ACT" localSheetId="16">#REF!</definedName>
    <definedName name="mat12ACT" localSheetId="17">#REF!</definedName>
    <definedName name="mat12ACT" localSheetId="20">#REF!</definedName>
    <definedName name="mat12ACT" localSheetId="22">#REF!</definedName>
    <definedName name="mat12ACT" localSheetId="30">#REF!</definedName>
    <definedName name="mat12ACT" localSheetId="36">#REF!</definedName>
    <definedName name="mat12ACT" localSheetId="28">#REF!</definedName>
    <definedName name="mat12ACT">#REF!</definedName>
    <definedName name="MATBUD" localSheetId="16">#REF!</definedName>
    <definedName name="MATBUD" localSheetId="17">#REF!</definedName>
    <definedName name="MATBUD" localSheetId="20">#REF!</definedName>
    <definedName name="MATBUD" localSheetId="22">#REF!</definedName>
    <definedName name="MATBUD" localSheetId="30">#REF!</definedName>
    <definedName name="MATBUD" localSheetId="36">#REF!</definedName>
    <definedName name="MATBUD" localSheetId="28">#REF!</definedName>
    <definedName name="MATBUD">#REF!</definedName>
    <definedName name="matCYACT" localSheetId="16">#REF!</definedName>
    <definedName name="matCYACT" localSheetId="17">#REF!</definedName>
    <definedName name="matCYACT" localSheetId="20">#REF!</definedName>
    <definedName name="matCYACT" localSheetId="22">#REF!</definedName>
    <definedName name="matCYACT" localSheetId="30">#REF!</definedName>
    <definedName name="matCYACT" localSheetId="36">#REF!</definedName>
    <definedName name="matCYACT" localSheetId="28">#REF!</definedName>
    <definedName name="matCYACT">#REF!</definedName>
    <definedName name="matCYBUD" localSheetId="16">#REF!</definedName>
    <definedName name="matCYBUD" localSheetId="17">#REF!</definedName>
    <definedName name="matCYBUD" localSheetId="20">#REF!</definedName>
    <definedName name="matCYBUD" localSheetId="22">#REF!</definedName>
    <definedName name="matCYBUD" localSheetId="30">#REF!</definedName>
    <definedName name="matCYBUD" localSheetId="36">#REF!</definedName>
    <definedName name="matCYBUD" localSheetId="28">#REF!</definedName>
    <definedName name="matCYBUD">#REF!</definedName>
    <definedName name="matCYF" localSheetId="16">#REF!</definedName>
    <definedName name="matCYF" localSheetId="17">#REF!</definedName>
    <definedName name="matCYF" localSheetId="20">#REF!</definedName>
    <definedName name="matCYF" localSheetId="22">#REF!</definedName>
    <definedName name="matCYF" localSheetId="30">#REF!</definedName>
    <definedName name="matCYF" localSheetId="36">#REF!</definedName>
    <definedName name="matCYF" localSheetId="28">#REF!</definedName>
    <definedName name="matCYF">#REF!</definedName>
    <definedName name="MATEND" localSheetId="16">#REF!</definedName>
    <definedName name="MATEND" localSheetId="17">#REF!</definedName>
    <definedName name="MATEND" localSheetId="20">#REF!</definedName>
    <definedName name="MATEND" localSheetId="22">#REF!</definedName>
    <definedName name="MATEND" localSheetId="30">#REF!</definedName>
    <definedName name="MATEND" localSheetId="36">#REF!</definedName>
    <definedName name="MATEND" localSheetId="28">#REF!</definedName>
    <definedName name="MATEND">#REF!</definedName>
    <definedName name="material_costs" localSheetId="16">#REF!</definedName>
    <definedName name="material_costs" localSheetId="17">#REF!</definedName>
    <definedName name="material_costs" localSheetId="20">#REF!</definedName>
    <definedName name="material_costs" localSheetId="22">#REF!</definedName>
    <definedName name="material_costs" localSheetId="30">#REF!</definedName>
    <definedName name="material_costs" localSheetId="36">#REF!</definedName>
    <definedName name="material_costs" localSheetId="28">#REF!</definedName>
    <definedName name="material_costs">#REF!</definedName>
    <definedName name="matNYbud" localSheetId="16">#REF!</definedName>
    <definedName name="matNYbud" localSheetId="17">#REF!</definedName>
    <definedName name="matNYbud" localSheetId="20">#REF!</definedName>
    <definedName name="matNYbud" localSheetId="22">#REF!</definedName>
    <definedName name="matNYbud" localSheetId="30">#REF!</definedName>
    <definedName name="matNYbud" localSheetId="36">#REF!</definedName>
    <definedName name="matNYbud" localSheetId="28">#REF!</definedName>
    <definedName name="matNYbud">#REF!</definedName>
    <definedName name="matPYACT" localSheetId="16">#REF!</definedName>
    <definedName name="matPYACT" localSheetId="17">#REF!</definedName>
    <definedName name="matPYACT" localSheetId="20">#REF!</definedName>
    <definedName name="matPYACT" localSheetId="22">#REF!</definedName>
    <definedName name="matPYACT" localSheetId="30">#REF!</definedName>
    <definedName name="matPYACT" localSheetId="36">#REF!</definedName>
    <definedName name="matPYACT" localSheetId="28">#REF!</definedName>
    <definedName name="matPYACT">#REF!</definedName>
    <definedName name="MATSTART" localSheetId="16">#REF!</definedName>
    <definedName name="MATSTART" localSheetId="17">#REF!</definedName>
    <definedName name="MATSTART" localSheetId="20">#REF!</definedName>
    <definedName name="MATSTART" localSheetId="22">#REF!</definedName>
    <definedName name="MATSTART" localSheetId="30">#REF!</definedName>
    <definedName name="MATSTART" localSheetId="36">#REF!</definedName>
    <definedName name="MATSTART" localSheetId="28">#REF!</definedName>
    <definedName name="MATSTART">#REF!</definedName>
    <definedName name="NonPayment" localSheetId="28">[3]lists!$AA$1:$AA$71</definedName>
    <definedName name="NonPayment" localSheetId="10">[2]lists!$AA$1:$AA$71</definedName>
    <definedName name="NonPayment">[3]lists!$AA$1:$AA$71</definedName>
    <definedName name="OLE_LINK1" localSheetId="3">'List of Key References'!$A$5</definedName>
    <definedName name="OLE_LINK7" localSheetId="3">'List of Key References'!$B$22</definedName>
    <definedName name="oth_beg_bud" localSheetId="16">#REF!</definedName>
    <definedName name="oth_beg_bud" localSheetId="17">#REF!</definedName>
    <definedName name="oth_beg_bud" localSheetId="20">#REF!</definedName>
    <definedName name="oth_beg_bud" localSheetId="22">#REF!</definedName>
    <definedName name="oth_beg_bud" localSheetId="30">#REF!</definedName>
    <definedName name="oth_beg_bud" localSheetId="36">#REF!</definedName>
    <definedName name="oth_beg_bud" localSheetId="28">#REF!</definedName>
    <definedName name="oth_beg_bud" localSheetId="10">#REF!</definedName>
    <definedName name="oth_beg_bud">#REF!</definedName>
    <definedName name="oth_end_bud" localSheetId="16">#REF!</definedName>
    <definedName name="oth_end_bud" localSheetId="17">#REF!</definedName>
    <definedName name="oth_end_bud" localSheetId="20">#REF!</definedName>
    <definedName name="oth_end_bud" localSheetId="22">#REF!</definedName>
    <definedName name="oth_end_bud" localSheetId="30">#REF!</definedName>
    <definedName name="oth_end_bud" localSheetId="36">#REF!</definedName>
    <definedName name="oth_end_bud" localSheetId="28">#REF!</definedName>
    <definedName name="oth_end_bud" localSheetId="10">#REF!</definedName>
    <definedName name="oth_end_bud">#REF!</definedName>
    <definedName name="oth12ACT" localSheetId="16">#REF!</definedName>
    <definedName name="oth12ACT" localSheetId="17">#REF!</definedName>
    <definedName name="oth12ACT" localSheetId="20">#REF!</definedName>
    <definedName name="oth12ACT" localSheetId="22">#REF!</definedName>
    <definedName name="oth12ACT" localSheetId="30">#REF!</definedName>
    <definedName name="oth12ACT" localSheetId="36">#REF!</definedName>
    <definedName name="oth12ACT" localSheetId="28">#REF!</definedName>
    <definedName name="oth12ACT" localSheetId="10">#REF!</definedName>
    <definedName name="oth12ACT">#REF!</definedName>
    <definedName name="othCYACT" localSheetId="16">#REF!</definedName>
    <definedName name="othCYACT" localSheetId="17">#REF!</definedName>
    <definedName name="othCYACT" localSheetId="20">#REF!</definedName>
    <definedName name="othCYACT" localSheetId="22">#REF!</definedName>
    <definedName name="othCYACT" localSheetId="30">#REF!</definedName>
    <definedName name="othCYACT" localSheetId="36">#REF!</definedName>
    <definedName name="othCYACT" localSheetId="28">#REF!</definedName>
    <definedName name="othCYACT">#REF!</definedName>
    <definedName name="othCYBUD" localSheetId="16">#REF!</definedName>
    <definedName name="othCYBUD" localSheetId="17">#REF!</definedName>
    <definedName name="othCYBUD" localSheetId="20">#REF!</definedName>
    <definedName name="othCYBUD" localSheetId="22">#REF!</definedName>
    <definedName name="othCYBUD" localSheetId="30">#REF!</definedName>
    <definedName name="othCYBUD" localSheetId="36">#REF!</definedName>
    <definedName name="othCYBUD" localSheetId="28">#REF!</definedName>
    <definedName name="othCYBUD">#REF!</definedName>
    <definedName name="othCYF" localSheetId="16">#REF!</definedName>
    <definedName name="othCYF" localSheetId="17">#REF!</definedName>
    <definedName name="othCYF" localSheetId="20">#REF!</definedName>
    <definedName name="othCYF" localSheetId="22">#REF!</definedName>
    <definedName name="othCYF" localSheetId="30">#REF!</definedName>
    <definedName name="othCYF" localSheetId="36">#REF!</definedName>
    <definedName name="othCYF" localSheetId="28">#REF!</definedName>
    <definedName name="othCYF">#REF!</definedName>
    <definedName name="OTHEND" localSheetId="16">#REF!</definedName>
    <definedName name="OTHEND" localSheetId="17">#REF!</definedName>
    <definedName name="OTHEND" localSheetId="20">#REF!</definedName>
    <definedName name="OTHEND" localSheetId="22">#REF!</definedName>
    <definedName name="OTHEND" localSheetId="30">#REF!</definedName>
    <definedName name="OTHEND" localSheetId="36">#REF!</definedName>
    <definedName name="OTHEND" localSheetId="28">#REF!</definedName>
    <definedName name="OTHEND">#REF!</definedName>
    <definedName name="other_costs" localSheetId="16">#REF!</definedName>
    <definedName name="other_costs" localSheetId="17">#REF!</definedName>
    <definedName name="other_costs" localSheetId="20">#REF!</definedName>
    <definedName name="other_costs" localSheetId="22">#REF!</definedName>
    <definedName name="other_costs" localSheetId="30">#REF!</definedName>
    <definedName name="other_costs" localSheetId="36">#REF!</definedName>
    <definedName name="other_costs" localSheetId="28">#REF!</definedName>
    <definedName name="other_costs">#REF!</definedName>
    <definedName name="OTHERBUD" localSheetId="16">#REF!</definedName>
    <definedName name="OTHERBUD" localSheetId="17">#REF!</definedName>
    <definedName name="OTHERBUD" localSheetId="20">#REF!</definedName>
    <definedName name="OTHERBUD" localSheetId="22">#REF!</definedName>
    <definedName name="OTHERBUD" localSheetId="30">#REF!</definedName>
    <definedName name="OTHERBUD" localSheetId="36">#REF!</definedName>
    <definedName name="OTHERBUD" localSheetId="28">#REF!</definedName>
    <definedName name="OTHERBUD">#REF!</definedName>
    <definedName name="othNYbud" localSheetId="16">#REF!</definedName>
    <definedName name="othNYbud" localSheetId="17">#REF!</definedName>
    <definedName name="othNYbud" localSheetId="20">#REF!</definedName>
    <definedName name="othNYbud" localSheetId="22">#REF!</definedName>
    <definedName name="othNYbud" localSheetId="30">#REF!</definedName>
    <definedName name="othNYbud" localSheetId="36">#REF!</definedName>
    <definedName name="othNYbud" localSheetId="28">#REF!</definedName>
    <definedName name="othNYbud">#REF!</definedName>
    <definedName name="othPYACT" localSheetId="16">#REF!</definedName>
    <definedName name="othPYACT" localSheetId="17">#REF!</definedName>
    <definedName name="othPYACT" localSheetId="20">#REF!</definedName>
    <definedName name="othPYACT" localSheetId="22">#REF!</definedName>
    <definedName name="othPYACT" localSheetId="30">#REF!</definedName>
    <definedName name="othPYACT" localSheetId="36">#REF!</definedName>
    <definedName name="othPYACT" localSheetId="28">#REF!</definedName>
    <definedName name="othPYACT">#REF!</definedName>
    <definedName name="OTHSTART" localSheetId="16">#REF!</definedName>
    <definedName name="OTHSTART" localSheetId="17">#REF!</definedName>
    <definedName name="OTHSTART" localSheetId="20">#REF!</definedName>
    <definedName name="OTHSTART" localSheetId="22">#REF!</definedName>
    <definedName name="OTHSTART" localSheetId="30">#REF!</definedName>
    <definedName name="OTHSTART" localSheetId="36">#REF!</definedName>
    <definedName name="OTHSTART" localSheetId="28">#REF!</definedName>
    <definedName name="OTHSTART">#REF!</definedName>
    <definedName name="_xlnm.Print_Area" localSheetId="4">'App.2-A_Requested_Approvals'!$A$1:$H$45</definedName>
    <definedName name="_xlnm.Print_Area" localSheetId="5">'App.2-AA_Capital Projects'!$A$1:$I$177</definedName>
    <definedName name="_xlnm.Print_Area" localSheetId="8">'App.2-B_Acctg Instructions'!$A$1:$P$82</definedName>
    <definedName name="_xlnm.Print_Area" localSheetId="9">'App.2-BA_Fixed Asset Cont'!$A$1:$M$415</definedName>
    <definedName name="_xlnm.Print_Area" localSheetId="11">'App.2-CA_OldCGAAPDepExp_Yr1'!$A$1:$L$67</definedName>
    <definedName name="_xlnm.Print_Area" localSheetId="12">'App.2-CB_NewCGAAP_DepExp_Yr1'!$A$1:$O$71</definedName>
    <definedName name="_xlnm.Print_Area" localSheetId="13">'App.2-CC_DepExp_Yr2'!$A$1:$K$66</definedName>
    <definedName name="_xlnm.Print_Area" localSheetId="14">'App.2-CD_DepExp_Yr3'!$A$1:$K$73</definedName>
    <definedName name="_xlnm.Print_Area" localSheetId="15">'App.2-CE_DepExp_Yr4'!$A$1:$K$67</definedName>
    <definedName name="_xlnm.Print_Area" localSheetId="16">'App.2-CF_DepExp_Yr5'!$A$1:$K$67</definedName>
    <definedName name="_xlnm.Print_Area" localSheetId="17">'App.2-CG_DepExp_Yr6'!$A$1:$K$67</definedName>
    <definedName name="_xlnm.Print_Area" localSheetId="18">'App.2-CH_DepExp'!$A$1:$L$310</definedName>
    <definedName name="_xlnm.Print_Area" localSheetId="19">'App.2-D_Overhead'!$A$1:$H$49</definedName>
    <definedName name="_xlnm.Print_Area" localSheetId="27">'App.2-H_Other_Oper_Rev'!$A$1:$H$66</definedName>
    <definedName name="_xlnm.Print_Area" localSheetId="29">'App.2-IA_Load_Forecast_Instrct'!$A$1:$R$44</definedName>
    <definedName name="_xlnm.Print_Area" localSheetId="31">'App.2-JA_OM&amp;A_Summary_Analys'!$A$1:$M$61</definedName>
    <definedName name="_xlnm.Print_Area" localSheetId="32">'App.2-JB_OM&amp;A_Cost _Drivers'!$A$1:$I$33</definedName>
    <definedName name="_xlnm.Print_Area" localSheetId="33">'App.2-JC_OMA Programs'!$A$1:$J$37</definedName>
    <definedName name="_xlnm.Print_Area" localSheetId="34">'App.2-K_Employee Costs'!$A$1:$H$32</definedName>
    <definedName name="_xlnm.Print_Area" localSheetId="36">'App.2-L_OM&amp;A_per_Cust_FTE'!$A$1:$J$38</definedName>
    <definedName name="_xlnm.Print_Area" localSheetId="37">'App.2-L_OM&amp;A_per_Cust_FTEE_exp'!$A$1:$L$39</definedName>
    <definedName name="_xlnm.Print_Area" localSheetId="38">'App.2-M_Regulatory_Costs'!$A$1:$K$46</definedName>
    <definedName name="_xlnm.Print_Area" localSheetId="39">'App.2-N_Corp_Cost_Allocation'!$A$1:$G$172</definedName>
    <definedName name="_xlnm.Print_Area" localSheetId="40">'App.2-OA Capital Structure'!$A$1:$P$32</definedName>
    <definedName name="_xlnm.Print_Area" localSheetId="41">'App.2-OB_Debt Instruments'!$A$1:$K$68</definedName>
    <definedName name="_xlnm.Print_Area" localSheetId="42">'App.2-Q_Cost of Serv. Emb. Dx'!$A$1:$G$60</definedName>
    <definedName name="_xlnm.Print_Area" localSheetId="43">'App.2-R_Loss Factors'!$A$1:$H$70</definedName>
    <definedName name="_xlnm.Print_Area" localSheetId="44">'App.2-S_Stranded Meters'!$A$1:$H$95</definedName>
    <definedName name="_xlnm.Print_Area" localSheetId="47">'App.2-YA_IFRS Transition Costs'!$A$1:$N$34</definedName>
    <definedName name="_xlnm.Print_Area" localSheetId="2">'COS Flowchart'!$A$1:$G$39</definedName>
    <definedName name="_xlnm.Print_Area" localSheetId="1">Index!$A$1:$G$42</definedName>
    <definedName name="_xlnm.Print_Area" localSheetId="0">'LDC Info'!$A$1:$M$55</definedName>
    <definedName name="print_end" localSheetId="16">#REF!</definedName>
    <definedName name="print_end" localSheetId="17">#REF!</definedName>
    <definedName name="print_end" localSheetId="20">#REF!</definedName>
    <definedName name="print_end" localSheetId="22">#REF!</definedName>
    <definedName name="print_end" localSheetId="30">#REF!</definedName>
    <definedName name="print_end" localSheetId="36">#REF!</definedName>
    <definedName name="print_end" localSheetId="28">#REF!</definedName>
    <definedName name="print_end" localSheetId="10">#REF!</definedName>
    <definedName name="print_end">#REF!</definedName>
    <definedName name="Rate_Class" localSheetId="10">[2]lists!$A$1:$A$104</definedName>
    <definedName name="Rate_Class">[3]lists!$A$2:$A$105</definedName>
    <definedName name="RATE_CLASSES">[3]lists!$A$1:$A$104</definedName>
    <definedName name="ratedescription" localSheetId="10">[8]hidden1!$D$1:$D$122</definedName>
    <definedName name="ratedescription">[9]hidden1!$D$1:$D$122</definedName>
    <definedName name="RebaseYear" localSheetId="28">'LDC Info'!$E$28</definedName>
    <definedName name="RebaseYear" localSheetId="10">'[2]LDC Info'!$E$28</definedName>
    <definedName name="RebaseYear">'LDC Info'!$E$28</definedName>
    <definedName name="SALBENF" localSheetId="16">#REF!</definedName>
    <definedName name="SALBENF" localSheetId="17">#REF!</definedName>
    <definedName name="SALBENF" localSheetId="20">#REF!</definedName>
    <definedName name="SALBENF" localSheetId="22">#REF!</definedName>
    <definedName name="SALBENF" localSheetId="30">#REF!</definedName>
    <definedName name="SALBENF" localSheetId="36">#REF!</definedName>
    <definedName name="SALBENF" localSheetId="28">#REF!</definedName>
    <definedName name="SALBENF" localSheetId="10">#REF!</definedName>
    <definedName name="SALBENF">#REF!</definedName>
    <definedName name="salreg" localSheetId="16">#REF!</definedName>
    <definedName name="salreg" localSheetId="17">#REF!</definedName>
    <definedName name="salreg" localSheetId="20">#REF!</definedName>
    <definedName name="salreg" localSheetId="22">#REF!</definedName>
    <definedName name="salreg" localSheetId="30">#REF!</definedName>
    <definedName name="salreg" localSheetId="36">#REF!</definedName>
    <definedName name="salreg" localSheetId="28">#REF!</definedName>
    <definedName name="salreg" localSheetId="10">#REF!</definedName>
    <definedName name="salreg">#REF!</definedName>
    <definedName name="SALREGF" localSheetId="16">#REF!</definedName>
    <definedName name="SALREGF" localSheetId="17">#REF!</definedName>
    <definedName name="SALREGF" localSheetId="20">#REF!</definedName>
    <definedName name="SALREGF" localSheetId="22">#REF!</definedName>
    <definedName name="SALREGF" localSheetId="30">#REF!</definedName>
    <definedName name="SALREGF" localSheetId="36">#REF!</definedName>
    <definedName name="SALREGF" localSheetId="28">#REF!</definedName>
    <definedName name="SALREGF" localSheetId="10">#REF!</definedName>
    <definedName name="SALREGF">#REF!</definedName>
    <definedName name="TEMPA" localSheetId="16">#REF!</definedName>
    <definedName name="TEMPA" localSheetId="17">#REF!</definedName>
    <definedName name="TEMPA" localSheetId="20">#REF!</definedName>
    <definedName name="TEMPA" localSheetId="22">#REF!</definedName>
    <definedName name="TEMPA" localSheetId="30">#REF!</definedName>
    <definedName name="TEMPA" localSheetId="36">#REF!</definedName>
    <definedName name="TEMPA" localSheetId="28">#REF!</definedName>
    <definedName name="TEMPA">#REF!</definedName>
    <definedName name="TestYear" localSheetId="28">'LDC Info'!$E$24</definedName>
    <definedName name="TestYear" localSheetId="10">'[2]LDC Info'!$E$24</definedName>
    <definedName name="TestYear">'LDC Info'!$E$24</definedName>
    <definedName name="total_dept" localSheetId="16">#REF!</definedName>
    <definedName name="total_dept" localSheetId="17">#REF!</definedName>
    <definedName name="total_dept" localSheetId="20">#REF!</definedName>
    <definedName name="total_dept" localSheetId="22">#REF!</definedName>
    <definedName name="total_dept" localSheetId="30">#REF!</definedName>
    <definedName name="total_dept" localSheetId="36">#REF!</definedName>
    <definedName name="total_dept" localSheetId="28">#REF!</definedName>
    <definedName name="total_dept" localSheetId="10">#REF!</definedName>
    <definedName name="total_dept">#REF!</definedName>
    <definedName name="total_manpower" localSheetId="16">#REF!</definedName>
    <definedName name="total_manpower" localSheetId="17">#REF!</definedName>
    <definedName name="total_manpower" localSheetId="20">#REF!</definedName>
    <definedName name="total_manpower" localSheetId="22">#REF!</definedName>
    <definedName name="total_manpower" localSheetId="30">#REF!</definedName>
    <definedName name="total_manpower" localSheetId="36">#REF!</definedName>
    <definedName name="total_manpower" localSheetId="28">#REF!</definedName>
    <definedName name="total_manpower" localSheetId="10">#REF!</definedName>
    <definedName name="total_manpower">#REF!</definedName>
    <definedName name="total_material" localSheetId="16">#REF!</definedName>
    <definedName name="total_material" localSheetId="17">#REF!</definedName>
    <definedName name="total_material" localSheetId="20">#REF!</definedName>
    <definedName name="total_material" localSheetId="22">#REF!</definedName>
    <definedName name="total_material" localSheetId="30">#REF!</definedName>
    <definedName name="total_material" localSheetId="36">#REF!</definedName>
    <definedName name="total_material" localSheetId="28">#REF!</definedName>
    <definedName name="total_material" localSheetId="10">#REF!</definedName>
    <definedName name="total_material">#REF!</definedName>
    <definedName name="total_other" localSheetId="16">#REF!</definedName>
    <definedName name="total_other" localSheetId="17">#REF!</definedName>
    <definedName name="total_other" localSheetId="20">#REF!</definedName>
    <definedName name="total_other" localSheetId="22">#REF!</definedName>
    <definedName name="total_other" localSheetId="30">#REF!</definedName>
    <definedName name="total_other" localSheetId="36">#REF!</definedName>
    <definedName name="total_other" localSheetId="28">#REF!</definedName>
    <definedName name="total_other">#REF!</definedName>
    <definedName name="total_transportation" localSheetId="16">#REF!</definedName>
    <definedName name="total_transportation" localSheetId="17">#REF!</definedName>
    <definedName name="total_transportation" localSheetId="20">#REF!</definedName>
    <definedName name="total_transportation" localSheetId="22">#REF!</definedName>
    <definedName name="total_transportation" localSheetId="30">#REF!</definedName>
    <definedName name="total_transportation" localSheetId="36">#REF!</definedName>
    <definedName name="total_transportation" localSheetId="28">#REF!</definedName>
    <definedName name="total_transportation">#REF!</definedName>
    <definedName name="TRANBUD" localSheetId="16">#REF!</definedName>
    <definedName name="TRANBUD" localSheetId="17">#REF!</definedName>
    <definedName name="TRANBUD" localSheetId="20">#REF!</definedName>
    <definedName name="TRANBUD" localSheetId="22">#REF!</definedName>
    <definedName name="TRANBUD" localSheetId="30">#REF!</definedName>
    <definedName name="TRANBUD" localSheetId="36">#REF!</definedName>
    <definedName name="TRANBUD" localSheetId="28">#REF!</definedName>
    <definedName name="TRANBUD">#REF!</definedName>
    <definedName name="TRANEND" localSheetId="16">#REF!</definedName>
    <definedName name="TRANEND" localSheetId="17">#REF!</definedName>
    <definedName name="TRANEND" localSheetId="20">#REF!</definedName>
    <definedName name="TRANEND" localSheetId="22">#REF!</definedName>
    <definedName name="TRANEND" localSheetId="30">#REF!</definedName>
    <definedName name="TRANEND" localSheetId="36">#REF!</definedName>
    <definedName name="TRANEND" localSheetId="28">#REF!</definedName>
    <definedName name="TRANEND">#REF!</definedName>
    <definedName name="transportation_costs" localSheetId="16">#REF!</definedName>
    <definedName name="transportation_costs" localSheetId="17">#REF!</definedName>
    <definedName name="transportation_costs" localSheetId="20">#REF!</definedName>
    <definedName name="transportation_costs" localSheetId="22">#REF!</definedName>
    <definedName name="transportation_costs" localSheetId="30">#REF!</definedName>
    <definedName name="transportation_costs" localSheetId="36">#REF!</definedName>
    <definedName name="transportation_costs" localSheetId="28">#REF!</definedName>
    <definedName name="transportation_costs">#REF!</definedName>
    <definedName name="TRANSTART" localSheetId="16">#REF!</definedName>
    <definedName name="TRANSTART" localSheetId="17">#REF!</definedName>
    <definedName name="TRANSTART" localSheetId="20">#REF!</definedName>
    <definedName name="TRANSTART" localSheetId="22">#REF!</definedName>
    <definedName name="TRANSTART" localSheetId="30">#REF!</definedName>
    <definedName name="TRANSTART" localSheetId="36">#REF!</definedName>
    <definedName name="TRANSTART" localSheetId="28">#REF!</definedName>
    <definedName name="TRANSTART">#REF!</definedName>
    <definedName name="trn_beg_bud" localSheetId="16">#REF!</definedName>
    <definedName name="trn_beg_bud" localSheetId="17">#REF!</definedName>
    <definedName name="trn_beg_bud" localSheetId="20">#REF!</definedName>
    <definedName name="trn_beg_bud" localSheetId="22">#REF!</definedName>
    <definedName name="trn_beg_bud" localSheetId="30">#REF!</definedName>
    <definedName name="trn_beg_bud" localSheetId="36">#REF!</definedName>
    <definedName name="trn_beg_bud" localSheetId="28">#REF!</definedName>
    <definedName name="trn_beg_bud">#REF!</definedName>
    <definedName name="trn_end_bud" localSheetId="16">#REF!</definedName>
    <definedName name="trn_end_bud" localSheetId="17">#REF!</definedName>
    <definedName name="trn_end_bud" localSheetId="20">#REF!</definedName>
    <definedName name="trn_end_bud" localSheetId="22">#REF!</definedName>
    <definedName name="trn_end_bud" localSheetId="30">#REF!</definedName>
    <definedName name="trn_end_bud" localSheetId="36">#REF!</definedName>
    <definedName name="trn_end_bud" localSheetId="28">#REF!</definedName>
    <definedName name="trn_end_bud">#REF!</definedName>
    <definedName name="trn12ACT" localSheetId="16">#REF!</definedName>
    <definedName name="trn12ACT" localSheetId="17">#REF!</definedName>
    <definedName name="trn12ACT" localSheetId="20">#REF!</definedName>
    <definedName name="trn12ACT" localSheetId="22">#REF!</definedName>
    <definedName name="trn12ACT" localSheetId="30">#REF!</definedName>
    <definedName name="trn12ACT" localSheetId="36">#REF!</definedName>
    <definedName name="trn12ACT" localSheetId="28">#REF!</definedName>
    <definedName name="trn12ACT">#REF!</definedName>
    <definedName name="trnCYACT" localSheetId="16">#REF!</definedName>
    <definedName name="trnCYACT" localSheetId="17">#REF!</definedName>
    <definedName name="trnCYACT" localSheetId="20">#REF!</definedName>
    <definedName name="trnCYACT" localSheetId="22">#REF!</definedName>
    <definedName name="trnCYACT" localSheetId="30">#REF!</definedName>
    <definedName name="trnCYACT" localSheetId="36">#REF!</definedName>
    <definedName name="trnCYACT" localSheetId="28">#REF!</definedName>
    <definedName name="trnCYACT">#REF!</definedName>
    <definedName name="trnCYBUD" localSheetId="16">#REF!</definedName>
    <definedName name="trnCYBUD" localSheetId="17">#REF!</definedName>
    <definedName name="trnCYBUD" localSheetId="20">#REF!</definedName>
    <definedName name="trnCYBUD" localSheetId="22">#REF!</definedName>
    <definedName name="trnCYBUD" localSheetId="30">#REF!</definedName>
    <definedName name="trnCYBUD" localSheetId="36">#REF!</definedName>
    <definedName name="trnCYBUD" localSheetId="28">#REF!</definedName>
    <definedName name="trnCYBUD">#REF!</definedName>
    <definedName name="trnCYF" localSheetId="16">#REF!</definedName>
    <definedName name="trnCYF" localSheetId="17">#REF!</definedName>
    <definedName name="trnCYF" localSheetId="20">#REF!</definedName>
    <definedName name="trnCYF" localSheetId="22">#REF!</definedName>
    <definedName name="trnCYF" localSheetId="30">#REF!</definedName>
    <definedName name="trnCYF" localSheetId="36">#REF!</definedName>
    <definedName name="trnCYF" localSheetId="28">#REF!</definedName>
    <definedName name="trnCYF">#REF!</definedName>
    <definedName name="trnNYbud" localSheetId="16">#REF!</definedName>
    <definedName name="trnNYbud" localSheetId="17">#REF!</definedName>
    <definedName name="trnNYbud" localSheetId="20">#REF!</definedName>
    <definedName name="trnNYbud" localSheetId="22">#REF!</definedName>
    <definedName name="trnNYbud" localSheetId="30">#REF!</definedName>
    <definedName name="trnNYbud" localSheetId="36">#REF!</definedName>
    <definedName name="trnNYbud" localSheetId="28">#REF!</definedName>
    <definedName name="trnNYbud">#REF!</definedName>
    <definedName name="trnPYACT" localSheetId="16">#REF!</definedName>
    <definedName name="trnPYACT" localSheetId="17">#REF!</definedName>
    <definedName name="trnPYACT" localSheetId="20">#REF!</definedName>
    <definedName name="trnPYACT" localSheetId="22">#REF!</definedName>
    <definedName name="trnPYACT" localSheetId="30">#REF!</definedName>
    <definedName name="trnPYACT" localSheetId="36">#REF!</definedName>
    <definedName name="trnPYACT" localSheetId="28">#REF!</definedName>
    <definedName name="trnPYACT">#REF!</definedName>
    <definedName name="Units" localSheetId="28">[3]lists!$N$2:$N$5</definedName>
    <definedName name="Units" localSheetId="10">[2]lists!$N$2:$N$5</definedName>
    <definedName name="Units">[3]lists!$N$2:$N$5</definedName>
    <definedName name="Units1">[3]lists!$O$2:$O$4</definedName>
    <definedName name="Units2">[3]lists!$P$2:$P$3</definedName>
    <definedName name="Utility">[4]Financials!$A$1</definedName>
    <definedName name="utitliy1">[10]Financials!$A$1</definedName>
    <definedName name="WAGBENF" localSheetId="16">#REF!</definedName>
    <definedName name="WAGBENF" localSheetId="17">#REF!</definedName>
    <definedName name="WAGBENF" localSheetId="20">#REF!</definedName>
    <definedName name="WAGBENF" localSheetId="22">#REF!</definedName>
    <definedName name="WAGBENF" localSheetId="30">#REF!</definedName>
    <definedName name="WAGBENF" localSheetId="36">#REF!</definedName>
    <definedName name="WAGBENF" localSheetId="28">#REF!</definedName>
    <definedName name="WAGBENF" localSheetId="10">#REF!</definedName>
    <definedName name="WAGBENF">#REF!</definedName>
    <definedName name="wagdob" localSheetId="16">#REF!</definedName>
    <definedName name="wagdob" localSheetId="17">#REF!</definedName>
    <definedName name="wagdob" localSheetId="20">#REF!</definedName>
    <definedName name="wagdob" localSheetId="22">#REF!</definedName>
    <definedName name="wagdob" localSheetId="30">#REF!</definedName>
    <definedName name="wagdob" localSheetId="36">#REF!</definedName>
    <definedName name="wagdob" localSheetId="28">#REF!</definedName>
    <definedName name="wagdob" localSheetId="10">#REF!</definedName>
    <definedName name="wagdob">#REF!</definedName>
    <definedName name="wagdobf" localSheetId="16">#REF!</definedName>
    <definedName name="wagdobf" localSheetId="17">#REF!</definedName>
    <definedName name="wagdobf" localSheetId="20">#REF!</definedName>
    <definedName name="wagdobf" localSheetId="22">#REF!</definedName>
    <definedName name="wagdobf" localSheetId="30">#REF!</definedName>
    <definedName name="wagdobf" localSheetId="36">#REF!</definedName>
    <definedName name="wagdobf" localSheetId="28">#REF!</definedName>
    <definedName name="wagdobf" localSheetId="10">#REF!</definedName>
    <definedName name="wagdobf">#REF!</definedName>
    <definedName name="wagreg" localSheetId="16">#REF!</definedName>
    <definedName name="wagreg" localSheetId="17">#REF!</definedName>
    <definedName name="wagreg" localSheetId="20">#REF!</definedName>
    <definedName name="wagreg" localSheetId="22">#REF!</definedName>
    <definedName name="wagreg" localSheetId="30">#REF!</definedName>
    <definedName name="wagreg" localSheetId="36">#REF!</definedName>
    <definedName name="wagreg" localSheetId="28">#REF!</definedName>
    <definedName name="wagreg">#REF!</definedName>
    <definedName name="wagregf" localSheetId="16">#REF!</definedName>
    <definedName name="wagregf" localSheetId="17">#REF!</definedName>
    <definedName name="wagregf" localSheetId="20">#REF!</definedName>
    <definedName name="wagregf" localSheetId="22">#REF!</definedName>
    <definedName name="wagregf" localSheetId="30">#REF!</definedName>
    <definedName name="wagregf" localSheetId="36">#REF!</definedName>
    <definedName name="wagregf" localSheetId="28">#REF!</definedName>
    <definedName name="wagregf">#REF!</definedName>
  </definedNames>
  <calcPr calcId="145621" iterate="1"/>
</workbook>
</file>

<file path=xl/calcChain.xml><?xml version="1.0" encoding="utf-8"?>
<calcChain xmlns="http://schemas.openxmlformats.org/spreadsheetml/2006/main">
  <c r="L1" i="58" l="1"/>
  <c r="B135" i="11" l="1"/>
  <c r="B131" i="11"/>
  <c r="B127" i="11"/>
  <c r="B123" i="11"/>
  <c r="B119" i="11"/>
  <c r="B115" i="11"/>
  <c r="B111" i="11"/>
  <c r="B107" i="11"/>
  <c r="B103" i="11"/>
  <c r="B99" i="11"/>
  <c r="B95" i="11"/>
  <c r="B91" i="11"/>
  <c r="B87" i="11"/>
  <c r="B83" i="11"/>
  <c r="B79" i="11"/>
  <c r="B75" i="11"/>
  <c r="B71" i="11"/>
  <c r="B67" i="11"/>
  <c r="B63" i="11"/>
  <c r="B59" i="11"/>
  <c r="B55" i="11"/>
  <c r="B51" i="11"/>
  <c r="B47" i="11"/>
  <c r="B43" i="11"/>
  <c r="B39" i="11"/>
  <c r="B35" i="11"/>
  <c r="B31" i="11"/>
  <c r="B27" i="11"/>
  <c r="B23" i="11"/>
  <c r="B19" i="11"/>
  <c r="B169" i="11" l="1"/>
  <c r="B171" i="11" s="1"/>
  <c r="I17" i="136"/>
  <c r="I16" i="136"/>
  <c r="J17" i="136"/>
  <c r="J16" i="136"/>
  <c r="F18" i="136" l="1"/>
  <c r="E15" i="15"/>
  <c r="D15" i="15"/>
  <c r="E23" i="15" l="1"/>
  <c r="K238" i="87" l="1"/>
  <c r="K331" i="100"/>
  <c r="K329" i="100"/>
  <c r="K396" i="100"/>
  <c r="K330" i="100"/>
  <c r="K264" i="100"/>
  <c r="K198" i="100"/>
  <c r="K132" i="100"/>
  <c r="K133" i="100" s="1"/>
  <c r="K67" i="100"/>
  <c r="K66" i="100"/>
  <c r="H167" i="11" l="1"/>
  <c r="G167" i="11"/>
  <c r="F167" i="11"/>
  <c r="E167" i="11"/>
  <c r="D167" i="11"/>
  <c r="C167" i="11"/>
  <c r="H163" i="11"/>
  <c r="G163" i="11"/>
  <c r="F163" i="11"/>
  <c r="E163" i="11"/>
  <c r="D163" i="11"/>
  <c r="C163" i="11"/>
  <c r="H159" i="11"/>
  <c r="G159" i="11"/>
  <c r="F159" i="11"/>
  <c r="E159" i="11"/>
  <c r="D159" i="11"/>
  <c r="C159" i="11"/>
  <c r="H155" i="11"/>
  <c r="G155" i="11"/>
  <c r="F155" i="11"/>
  <c r="E155" i="11"/>
  <c r="D155" i="11"/>
  <c r="C155" i="11"/>
  <c r="H151" i="11"/>
  <c r="G151" i="11"/>
  <c r="F151" i="11"/>
  <c r="E151" i="11"/>
  <c r="D151" i="11"/>
  <c r="C151" i="11"/>
  <c r="H147" i="11"/>
  <c r="G147" i="11"/>
  <c r="F147" i="11"/>
  <c r="E147" i="11"/>
  <c r="D147" i="11"/>
  <c r="C147" i="11"/>
  <c r="H143" i="11"/>
  <c r="G143" i="11"/>
  <c r="F143" i="11"/>
  <c r="E143" i="11"/>
  <c r="D143" i="11"/>
  <c r="C143" i="11"/>
  <c r="H139" i="11"/>
  <c r="G139" i="11"/>
  <c r="F139" i="11"/>
  <c r="E139" i="11"/>
  <c r="D139" i="11"/>
  <c r="C139" i="11"/>
  <c r="H135" i="11"/>
  <c r="G135" i="11"/>
  <c r="F135" i="11"/>
  <c r="E135" i="11"/>
  <c r="D135" i="11"/>
  <c r="C135" i="11"/>
  <c r="H131" i="11"/>
  <c r="G131" i="11"/>
  <c r="F131" i="11"/>
  <c r="E131" i="11"/>
  <c r="D131" i="11"/>
  <c r="C131" i="11"/>
  <c r="H127" i="11"/>
  <c r="G127" i="11"/>
  <c r="F127" i="11"/>
  <c r="E127" i="11"/>
  <c r="D127" i="11"/>
  <c r="C127" i="11"/>
  <c r="H123" i="11"/>
  <c r="G123" i="11"/>
  <c r="F123" i="11"/>
  <c r="E123" i="11"/>
  <c r="D123" i="11"/>
  <c r="C123" i="11"/>
  <c r="H119" i="11"/>
  <c r="G119" i="11"/>
  <c r="F119" i="11"/>
  <c r="E119" i="11"/>
  <c r="D119" i="11"/>
  <c r="C119" i="11"/>
  <c r="H115" i="11"/>
  <c r="G115" i="11"/>
  <c r="F115" i="11"/>
  <c r="E115" i="11"/>
  <c r="D115" i="11"/>
  <c r="C115" i="11"/>
  <c r="H111" i="11"/>
  <c r="G111" i="11"/>
  <c r="F111" i="11"/>
  <c r="E111" i="11"/>
  <c r="D111" i="11"/>
  <c r="C111" i="11"/>
  <c r="H107" i="11"/>
  <c r="G107" i="11"/>
  <c r="F107" i="11"/>
  <c r="E107" i="11"/>
  <c r="D107" i="11"/>
  <c r="C107" i="11"/>
  <c r="H103" i="11"/>
  <c r="G103" i="11"/>
  <c r="F103" i="11"/>
  <c r="E103" i="11"/>
  <c r="D103" i="11"/>
  <c r="C103" i="11"/>
  <c r="H99" i="11"/>
  <c r="G99" i="11"/>
  <c r="F99" i="11"/>
  <c r="E99" i="11"/>
  <c r="D99" i="11"/>
  <c r="C99" i="11"/>
  <c r="H95" i="11"/>
  <c r="G95" i="11"/>
  <c r="F95" i="11"/>
  <c r="E95" i="11"/>
  <c r="D95" i="11"/>
  <c r="C95" i="11"/>
  <c r="H91" i="11"/>
  <c r="G91" i="11"/>
  <c r="F91" i="11"/>
  <c r="E91" i="11"/>
  <c r="D91" i="11"/>
  <c r="C91" i="11"/>
  <c r="H87" i="11"/>
  <c r="G87" i="11"/>
  <c r="F87" i="11"/>
  <c r="E87" i="11"/>
  <c r="D87" i="11"/>
  <c r="C87" i="11"/>
  <c r="H83" i="11"/>
  <c r="G83" i="11"/>
  <c r="F83" i="11"/>
  <c r="E83" i="11"/>
  <c r="D83" i="11"/>
  <c r="C83" i="11"/>
  <c r="H79" i="11"/>
  <c r="G79" i="11"/>
  <c r="F79" i="11"/>
  <c r="E79" i="11"/>
  <c r="D79" i="11"/>
  <c r="C79" i="11"/>
  <c r="H75" i="11"/>
  <c r="G75" i="11"/>
  <c r="F75" i="11"/>
  <c r="E75" i="11"/>
  <c r="D75" i="11"/>
  <c r="C75" i="11"/>
  <c r="H71" i="11"/>
  <c r="G71" i="11"/>
  <c r="F71" i="11"/>
  <c r="E71" i="11"/>
  <c r="D71" i="11"/>
  <c r="C71" i="11"/>
  <c r="H67" i="11"/>
  <c r="G67" i="11"/>
  <c r="F67" i="11"/>
  <c r="E67" i="11"/>
  <c r="D67" i="11"/>
  <c r="C67" i="11"/>
  <c r="H63" i="11"/>
  <c r="G63" i="11"/>
  <c r="F63" i="11"/>
  <c r="E63" i="11"/>
  <c r="D63" i="11"/>
  <c r="C63" i="11"/>
  <c r="H59" i="11"/>
  <c r="G59" i="11"/>
  <c r="F59" i="11"/>
  <c r="E59" i="11"/>
  <c r="D59" i="11"/>
  <c r="C59" i="11"/>
  <c r="H55" i="11"/>
  <c r="G55" i="11"/>
  <c r="F55" i="11"/>
  <c r="E55" i="11"/>
  <c r="D55" i="11"/>
  <c r="C55" i="11"/>
  <c r="H51" i="11"/>
  <c r="G51" i="11"/>
  <c r="F51" i="11"/>
  <c r="E51" i="11"/>
  <c r="D51" i="11"/>
  <c r="C51" i="11"/>
  <c r="H47" i="11"/>
  <c r="G47" i="11"/>
  <c r="F47" i="11"/>
  <c r="E47" i="11"/>
  <c r="D47" i="11"/>
  <c r="C47" i="11"/>
  <c r="H43" i="11"/>
  <c r="G43" i="11"/>
  <c r="F43" i="11"/>
  <c r="E43" i="11"/>
  <c r="D43" i="11"/>
  <c r="C43" i="11"/>
  <c r="H39" i="11"/>
  <c r="G39" i="11"/>
  <c r="F39" i="11"/>
  <c r="E39" i="11"/>
  <c r="D39" i="11"/>
  <c r="C39" i="11"/>
  <c r="H35" i="11"/>
  <c r="G35" i="11"/>
  <c r="F35" i="11"/>
  <c r="E35" i="11"/>
  <c r="D35" i="11"/>
  <c r="C35" i="11"/>
  <c r="H31" i="11"/>
  <c r="G31" i="11"/>
  <c r="F31" i="11"/>
  <c r="E31" i="11"/>
  <c r="D31" i="11"/>
  <c r="C31" i="11"/>
  <c r="H27" i="11"/>
  <c r="G27" i="11"/>
  <c r="F27" i="11"/>
  <c r="E27" i="11"/>
  <c r="D27" i="11"/>
  <c r="C27" i="11"/>
  <c r="H23" i="11"/>
  <c r="G23" i="11"/>
  <c r="F23" i="11"/>
  <c r="E23" i="11"/>
  <c r="D23" i="11"/>
  <c r="C23" i="11"/>
  <c r="H19" i="11"/>
  <c r="H169" i="11" s="1"/>
  <c r="H171" i="11" s="1"/>
  <c r="G19" i="11"/>
  <c r="G169" i="11" s="1"/>
  <c r="G171" i="11" s="1"/>
  <c r="F19" i="11"/>
  <c r="E19" i="11"/>
  <c r="D19" i="11"/>
  <c r="C19" i="11"/>
  <c r="H13" i="11"/>
  <c r="G13" i="11"/>
  <c r="F13" i="11"/>
  <c r="E13" i="11" s="1"/>
  <c r="D13" i="11" s="1"/>
  <c r="C13" i="11" s="1"/>
  <c r="C169" i="11" l="1"/>
  <c r="C171" i="11" s="1"/>
  <c r="D169" i="11"/>
  <c r="D171" i="11" s="1"/>
  <c r="E169" i="11"/>
  <c r="E171" i="11" s="1"/>
  <c r="F169" i="11"/>
  <c r="F171" i="11" s="1"/>
  <c r="T348" i="133"/>
  <c r="U348" i="133" s="1"/>
  <c r="S348" i="133"/>
  <c r="R348" i="133"/>
  <c r="Q348" i="133"/>
  <c r="U347" i="133"/>
  <c r="T347" i="133"/>
  <c r="S347" i="133"/>
  <c r="R347" i="133"/>
  <c r="Q347" i="133"/>
  <c r="T346" i="133"/>
  <c r="U346" i="133" s="1"/>
  <c r="S346" i="133"/>
  <c r="R346" i="133"/>
  <c r="Q346" i="133"/>
  <c r="U345" i="133"/>
  <c r="T345" i="133"/>
  <c r="S345" i="133"/>
  <c r="R345" i="133"/>
  <c r="Q345" i="133"/>
  <c r="T344" i="133"/>
  <c r="U344" i="133" s="1"/>
  <c r="S344" i="133"/>
  <c r="R344" i="133"/>
  <c r="Q344" i="133"/>
  <c r="U343" i="133"/>
  <c r="T343" i="133"/>
  <c r="S343" i="133"/>
  <c r="R343" i="133"/>
  <c r="Q343" i="133"/>
  <c r="T342" i="133"/>
  <c r="U342" i="133" s="1"/>
  <c r="S342" i="133"/>
  <c r="R342" i="133"/>
  <c r="Q342" i="133"/>
  <c r="U341" i="133"/>
  <c r="S341" i="133"/>
  <c r="R341" i="133"/>
  <c r="Q340" i="133"/>
  <c r="T305" i="133"/>
  <c r="U305" i="133" s="1"/>
  <c r="S305" i="133"/>
  <c r="R305" i="133"/>
  <c r="Q305" i="133"/>
  <c r="U304" i="133"/>
  <c r="T304" i="133"/>
  <c r="S304" i="133"/>
  <c r="R304" i="133"/>
  <c r="Q304" i="133"/>
  <c r="T303" i="133"/>
  <c r="U303" i="133" s="1"/>
  <c r="S303" i="133"/>
  <c r="R303" i="133"/>
  <c r="Q303" i="133"/>
  <c r="U302" i="133"/>
  <c r="T302" i="133"/>
  <c r="S302" i="133"/>
  <c r="R302" i="133"/>
  <c r="Q302" i="133"/>
  <c r="T301" i="133"/>
  <c r="U301" i="133" s="1"/>
  <c r="S301" i="133"/>
  <c r="R301" i="133"/>
  <c r="Q301" i="133"/>
  <c r="U300" i="133"/>
  <c r="T300" i="133"/>
  <c r="S300" i="133"/>
  <c r="R300" i="133"/>
  <c r="Q300" i="133"/>
  <c r="T299" i="133"/>
  <c r="U299" i="133" s="1"/>
  <c r="S299" i="133"/>
  <c r="R299" i="133"/>
  <c r="Q299" i="133"/>
  <c r="U298" i="133"/>
  <c r="S298" i="133"/>
  <c r="R298" i="133"/>
  <c r="Q297" i="133"/>
  <c r="R213" i="133"/>
  <c r="U219" i="133"/>
  <c r="T219" i="133"/>
  <c r="S219" i="133"/>
  <c r="R219" i="133"/>
  <c r="Q219" i="133"/>
  <c r="T218" i="133"/>
  <c r="U218" i="133" s="1"/>
  <c r="S218" i="133"/>
  <c r="R218" i="133"/>
  <c r="Q218" i="133"/>
  <c r="T217" i="133"/>
  <c r="U217" i="133" s="1"/>
  <c r="S217" i="133"/>
  <c r="R217" i="133"/>
  <c r="Q217" i="133"/>
  <c r="U216" i="133"/>
  <c r="T216" i="133"/>
  <c r="S216" i="133"/>
  <c r="R216" i="133"/>
  <c r="Q216" i="133"/>
  <c r="U215" i="133"/>
  <c r="T215" i="133"/>
  <c r="S215" i="133"/>
  <c r="R215" i="133"/>
  <c r="Q215" i="133"/>
  <c r="U214" i="133"/>
  <c r="T214" i="133"/>
  <c r="S214" i="133"/>
  <c r="R214" i="133"/>
  <c r="Q214" i="133"/>
  <c r="T213" i="133"/>
  <c r="U213" i="133" s="1"/>
  <c r="S213" i="133"/>
  <c r="Q213" i="133"/>
  <c r="U212" i="133"/>
  <c r="S212" i="133"/>
  <c r="R212" i="133"/>
  <c r="Q211" i="133"/>
  <c r="U171" i="133"/>
  <c r="S171" i="133"/>
  <c r="S172" i="133"/>
  <c r="S173" i="133"/>
  <c r="S174" i="133"/>
  <c r="S175" i="133"/>
  <c r="S176" i="133"/>
  <c r="S170" i="133"/>
  <c r="R171" i="133"/>
  <c r="R172" i="133"/>
  <c r="R173" i="133"/>
  <c r="R174" i="133"/>
  <c r="R175" i="133"/>
  <c r="R176" i="133"/>
  <c r="R170" i="133"/>
  <c r="H348" i="133"/>
  <c r="H347" i="133"/>
  <c r="H346" i="133"/>
  <c r="H345" i="133"/>
  <c r="H344" i="133"/>
  <c r="H343" i="133"/>
  <c r="H342" i="133"/>
  <c r="H305" i="133"/>
  <c r="H304" i="133"/>
  <c r="H303" i="133"/>
  <c r="H302" i="133"/>
  <c r="H301" i="133"/>
  <c r="H300" i="133"/>
  <c r="H299" i="133"/>
  <c r="H262" i="133"/>
  <c r="H261" i="133"/>
  <c r="H260" i="133"/>
  <c r="H259" i="133"/>
  <c r="H258" i="133"/>
  <c r="H257" i="133"/>
  <c r="H256" i="133"/>
  <c r="H219" i="133"/>
  <c r="H218" i="133"/>
  <c r="H217" i="133"/>
  <c r="H216" i="133"/>
  <c r="H215" i="133"/>
  <c r="H214" i="133"/>
  <c r="H213" i="133"/>
  <c r="H176" i="133"/>
  <c r="H175" i="133"/>
  <c r="H174" i="133"/>
  <c r="H173" i="133"/>
  <c r="H172" i="133"/>
  <c r="H171" i="133"/>
  <c r="H170" i="133"/>
  <c r="H133" i="133"/>
  <c r="H132" i="133"/>
  <c r="H131" i="133"/>
  <c r="H130" i="133"/>
  <c r="H129" i="133"/>
  <c r="H128" i="133"/>
  <c r="H127" i="133"/>
  <c r="N327" i="133" l="1"/>
  <c r="N326" i="133"/>
  <c r="N325" i="133"/>
  <c r="N324" i="133"/>
  <c r="N323" i="133"/>
  <c r="N322" i="133"/>
  <c r="N321" i="133"/>
  <c r="N284" i="133"/>
  <c r="N283" i="133"/>
  <c r="N282" i="133"/>
  <c r="N281" i="133"/>
  <c r="N280" i="133"/>
  <c r="N279" i="133"/>
  <c r="N278" i="133"/>
  <c r="N241" i="133"/>
  <c r="N240" i="133"/>
  <c r="N239" i="133"/>
  <c r="N238" i="133"/>
  <c r="N237" i="133"/>
  <c r="N236" i="133"/>
  <c r="N235" i="133"/>
  <c r="N198" i="133"/>
  <c r="N197" i="133"/>
  <c r="N196" i="133"/>
  <c r="N195" i="133"/>
  <c r="N194" i="133"/>
  <c r="N193" i="133"/>
  <c r="N192" i="133"/>
  <c r="N155" i="133"/>
  <c r="N154" i="133"/>
  <c r="N153" i="133"/>
  <c r="N152" i="133"/>
  <c r="N151" i="133"/>
  <c r="N150" i="133"/>
  <c r="N149" i="133"/>
  <c r="N112" i="133"/>
  <c r="N111" i="133"/>
  <c r="N110" i="133"/>
  <c r="N109" i="133"/>
  <c r="N108" i="133"/>
  <c r="N107" i="133"/>
  <c r="N106" i="133"/>
  <c r="H327" i="133"/>
  <c r="H326" i="133"/>
  <c r="H325" i="133"/>
  <c r="H324" i="133"/>
  <c r="H323" i="133"/>
  <c r="H322" i="133"/>
  <c r="H321" i="133"/>
  <c r="H284" i="133"/>
  <c r="H283" i="133"/>
  <c r="H282" i="133"/>
  <c r="H281" i="133"/>
  <c r="H280" i="133"/>
  <c r="H279" i="133"/>
  <c r="H278" i="133"/>
  <c r="H241" i="133"/>
  <c r="H240" i="133"/>
  <c r="H239" i="133"/>
  <c r="H238" i="133"/>
  <c r="H237" i="133"/>
  <c r="H236" i="133"/>
  <c r="H235" i="133"/>
  <c r="H198" i="133"/>
  <c r="H197" i="133"/>
  <c r="H196" i="133"/>
  <c r="H195" i="133"/>
  <c r="H194" i="133"/>
  <c r="H193" i="133"/>
  <c r="H192" i="133"/>
  <c r="H155" i="133"/>
  <c r="H154" i="133"/>
  <c r="H153" i="133"/>
  <c r="H152" i="133"/>
  <c r="H151" i="133"/>
  <c r="H150" i="133"/>
  <c r="H149" i="133"/>
  <c r="H112" i="133"/>
  <c r="H111" i="133"/>
  <c r="H110" i="133"/>
  <c r="H109" i="133"/>
  <c r="H108" i="133"/>
  <c r="H107" i="133"/>
  <c r="H106" i="133"/>
  <c r="H23" i="21" l="1"/>
  <c r="B91" i="122" l="1"/>
  <c r="F35" i="122"/>
  <c r="G35" i="122" s="1"/>
  <c r="E35" i="122"/>
  <c r="F36" i="122"/>
  <c r="G36" i="122"/>
  <c r="E36" i="122"/>
  <c r="D35" i="122"/>
  <c r="D34" i="122"/>
  <c r="E34" i="122"/>
  <c r="F34" i="122"/>
  <c r="G34" i="122" s="1"/>
  <c r="C34" i="122"/>
  <c r="B34" i="122"/>
  <c r="E35" i="12" l="1"/>
  <c r="Q22" i="102" l="1"/>
  <c r="O22" i="102"/>
  <c r="L22" i="102"/>
  <c r="I22" i="102"/>
  <c r="F22" i="102"/>
  <c r="C22" i="102"/>
  <c r="C21" i="102"/>
  <c r="D17" i="136" l="1"/>
  <c r="E17" i="136"/>
  <c r="D17" i="49"/>
  <c r="F17" i="136"/>
  <c r="G17" i="136"/>
  <c r="H17" i="136"/>
  <c r="O22" i="50" l="1"/>
  <c r="I22" i="50"/>
  <c r="U487" i="133" l="1"/>
  <c r="S487" i="133"/>
  <c r="R487" i="133"/>
  <c r="O487" i="133"/>
  <c r="M487" i="133"/>
  <c r="L487" i="133"/>
  <c r="K487" i="133"/>
  <c r="Q487" i="133" s="1"/>
  <c r="I487" i="133"/>
  <c r="G487" i="133"/>
  <c r="U466" i="133"/>
  <c r="S466" i="133"/>
  <c r="R466" i="133"/>
  <c r="Q466" i="133"/>
  <c r="O466" i="133"/>
  <c r="M466" i="133"/>
  <c r="L466" i="133"/>
  <c r="K466" i="133"/>
  <c r="I466" i="133"/>
  <c r="G466" i="133"/>
  <c r="U444" i="133"/>
  <c r="S444" i="133"/>
  <c r="R444" i="133"/>
  <c r="Q444" i="133"/>
  <c r="O444" i="133"/>
  <c r="M444" i="133"/>
  <c r="L444" i="133"/>
  <c r="K444" i="133"/>
  <c r="I444" i="133"/>
  <c r="G444" i="133"/>
  <c r="U423" i="133"/>
  <c r="S423" i="133"/>
  <c r="R423" i="133"/>
  <c r="O423" i="133"/>
  <c r="M423" i="133"/>
  <c r="L423" i="133"/>
  <c r="K423" i="133"/>
  <c r="Q423" i="133" s="1"/>
  <c r="I423" i="133"/>
  <c r="G423" i="133"/>
  <c r="U401" i="133"/>
  <c r="S401" i="133"/>
  <c r="R401" i="133"/>
  <c r="Q401" i="133"/>
  <c r="O401" i="133"/>
  <c r="M401" i="133"/>
  <c r="L401" i="133"/>
  <c r="K401" i="133"/>
  <c r="I401" i="133"/>
  <c r="G401" i="133"/>
  <c r="U380" i="133"/>
  <c r="S380" i="133"/>
  <c r="R380" i="133"/>
  <c r="Q380" i="133"/>
  <c r="O380" i="133"/>
  <c r="M380" i="133"/>
  <c r="L380" i="133"/>
  <c r="K380" i="133"/>
  <c r="I380" i="133"/>
  <c r="G380" i="133"/>
  <c r="Q358" i="133"/>
  <c r="M358" i="133"/>
  <c r="L358" i="133"/>
  <c r="K358" i="133"/>
  <c r="G358" i="133"/>
  <c r="Q337" i="133"/>
  <c r="M337" i="133"/>
  <c r="L337" i="133"/>
  <c r="K337" i="133"/>
  <c r="G337" i="133"/>
  <c r="Q315" i="133"/>
  <c r="M315" i="133"/>
  <c r="L315" i="133"/>
  <c r="K315" i="133"/>
  <c r="G315" i="133"/>
  <c r="M294" i="133"/>
  <c r="L294" i="133"/>
  <c r="K294" i="133"/>
  <c r="Q294" i="133" s="1"/>
  <c r="G294" i="133"/>
  <c r="O272" i="133"/>
  <c r="M272" i="133"/>
  <c r="L272" i="133"/>
  <c r="K272" i="133"/>
  <c r="Q272" i="133" s="1"/>
  <c r="G272" i="133"/>
  <c r="Q251" i="133"/>
  <c r="M251" i="133"/>
  <c r="L251" i="133"/>
  <c r="K251" i="133"/>
  <c r="G251" i="133"/>
  <c r="Q229" i="133"/>
  <c r="M229" i="133"/>
  <c r="L229" i="133"/>
  <c r="K229" i="133"/>
  <c r="G229" i="133"/>
  <c r="M208" i="133"/>
  <c r="L208" i="133"/>
  <c r="K208" i="133"/>
  <c r="Q208" i="133" s="1"/>
  <c r="G208" i="133"/>
  <c r="Q186" i="133"/>
  <c r="M186" i="133"/>
  <c r="L186" i="133"/>
  <c r="K186" i="133"/>
  <c r="G186" i="133"/>
  <c r="Q165" i="133"/>
  <c r="M165" i="133"/>
  <c r="L165" i="133"/>
  <c r="K165" i="133"/>
  <c r="G165" i="133"/>
  <c r="O143" i="133"/>
  <c r="M143" i="133"/>
  <c r="L143" i="133"/>
  <c r="K143" i="133"/>
  <c r="Q143" i="133" s="1"/>
  <c r="G143" i="133"/>
  <c r="Q122" i="133"/>
  <c r="M122" i="133"/>
  <c r="L122" i="133"/>
  <c r="K122" i="133"/>
  <c r="G122" i="133"/>
  <c r="Q100" i="133"/>
  <c r="O100" i="133"/>
  <c r="M100" i="133"/>
  <c r="L100" i="133"/>
  <c r="K100" i="133"/>
  <c r="G100" i="133"/>
  <c r="Q79" i="133"/>
  <c r="M79" i="133"/>
  <c r="L79" i="133"/>
  <c r="K79" i="133"/>
  <c r="G79" i="133"/>
  <c r="M55" i="133"/>
  <c r="L55" i="133"/>
  <c r="D35" i="12" l="1"/>
  <c r="J17" i="105" l="1"/>
  <c r="I18" i="105"/>
  <c r="H23" i="5" l="1"/>
  <c r="H18" i="5"/>
  <c r="H19" i="5"/>
  <c r="G19" i="5"/>
  <c r="L28" i="87" l="1"/>
  <c r="F28" i="136" l="1"/>
  <c r="F27" i="136"/>
  <c r="F25" i="136"/>
  <c r="F24" i="136"/>
  <c r="F23" i="136"/>
  <c r="F21" i="136"/>
  <c r="H16" i="136"/>
  <c r="G16" i="136"/>
  <c r="F29" i="136"/>
  <c r="F16" i="136"/>
  <c r="E16" i="136"/>
  <c r="D16" i="136"/>
  <c r="F295" i="87" l="1"/>
  <c r="D295" i="87"/>
  <c r="C295" i="87"/>
  <c r="I294" i="87"/>
  <c r="E294" i="87"/>
  <c r="G294" i="87" s="1"/>
  <c r="J294" i="87" s="1"/>
  <c r="L294" i="87" s="1"/>
  <c r="J293" i="87"/>
  <c r="L293" i="87" s="1"/>
  <c r="I293" i="87"/>
  <c r="E293" i="87"/>
  <c r="G293" i="87" s="1"/>
  <c r="I292" i="87"/>
  <c r="E292" i="87"/>
  <c r="G292" i="87" s="1"/>
  <c r="J292" i="87" s="1"/>
  <c r="L292" i="87" s="1"/>
  <c r="J291" i="87"/>
  <c r="L291" i="87" s="1"/>
  <c r="I291" i="87"/>
  <c r="E291" i="87"/>
  <c r="G291" i="87" s="1"/>
  <c r="J290" i="87"/>
  <c r="L290" i="87" s="1"/>
  <c r="I290" i="87"/>
  <c r="G290" i="87"/>
  <c r="E290" i="87"/>
  <c r="J289" i="87"/>
  <c r="L289" i="87" s="1"/>
  <c r="I289" i="87"/>
  <c r="E289" i="87"/>
  <c r="G289" i="87" s="1"/>
  <c r="J288" i="87"/>
  <c r="L288" i="87" s="1"/>
  <c r="I288" i="87"/>
  <c r="E288" i="87"/>
  <c r="G288" i="87" s="1"/>
  <c r="J287" i="87"/>
  <c r="L287" i="87" s="1"/>
  <c r="I287" i="87"/>
  <c r="E287" i="87"/>
  <c r="G287" i="87" s="1"/>
  <c r="I286" i="87"/>
  <c r="E286" i="87"/>
  <c r="G286" i="87" s="1"/>
  <c r="J286" i="87" s="1"/>
  <c r="L286" i="87" s="1"/>
  <c r="J285" i="87"/>
  <c r="L285" i="87" s="1"/>
  <c r="I285" i="87"/>
  <c r="E285" i="87"/>
  <c r="G285" i="87" s="1"/>
  <c r="J284" i="87"/>
  <c r="L284" i="87" s="1"/>
  <c r="I284" i="87"/>
  <c r="E284" i="87"/>
  <c r="G284" i="87" s="1"/>
  <c r="I283" i="87"/>
  <c r="E283" i="87"/>
  <c r="G283" i="87" s="1"/>
  <c r="J283" i="87" s="1"/>
  <c r="L283" i="87" s="1"/>
  <c r="J282" i="87"/>
  <c r="L282" i="87" s="1"/>
  <c r="I282" i="87"/>
  <c r="E282" i="87"/>
  <c r="G282" i="87" s="1"/>
  <c r="I281" i="87"/>
  <c r="E281" i="87"/>
  <c r="G281" i="87" s="1"/>
  <c r="J281" i="87" s="1"/>
  <c r="L281" i="87" s="1"/>
  <c r="I280" i="87"/>
  <c r="E280" i="87"/>
  <c r="G280" i="87" s="1"/>
  <c r="J280" i="87" s="1"/>
  <c r="L280" i="87" s="1"/>
  <c r="I279" i="87"/>
  <c r="E279" i="87"/>
  <c r="G279" i="87" s="1"/>
  <c r="J279" i="87" s="1"/>
  <c r="L279" i="87" s="1"/>
  <c r="I278" i="87"/>
  <c r="E278" i="87"/>
  <c r="G278" i="87" s="1"/>
  <c r="J278" i="87" s="1"/>
  <c r="L278" i="87" s="1"/>
  <c r="J277" i="87"/>
  <c r="L277" i="87" s="1"/>
  <c r="I277" i="87"/>
  <c r="E277" i="87"/>
  <c r="G277" i="87" s="1"/>
  <c r="J276" i="87"/>
  <c r="L276" i="87" s="1"/>
  <c r="I276" i="87"/>
  <c r="E276" i="87"/>
  <c r="G276" i="87" s="1"/>
  <c r="I275" i="87"/>
  <c r="E275" i="87"/>
  <c r="G275" i="87" s="1"/>
  <c r="J275" i="87" s="1"/>
  <c r="L275" i="87" s="1"/>
  <c r="L274" i="87"/>
  <c r="J274" i="87"/>
  <c r="I274" i="87"/>
  <c r="E274" i="87"/>
  <c r="G274" i="87" s="1"/>
  <c r="I273" i="87"/>
  <c r="E273" i="87"/>
  <c r="G273" i="87" s="1"/>
  <c r="J273" i="87" s="1"/>
  <c r="L273" i="87" s="1"/>
  <c r="J272" i="87"/>
  <c r="L272" i="87" s="1"/>
  <c r="I272" i="87"/>
  <c r="E272" i="87"/>
  <c r="G272" i="87" s="1"/>
  <c r="K295" i="87"/>
  <c r="I271" i="87"/>
  <c r="E271" i="87"/>
  <c r="G271" i="87" s="1"/>
  <c r="J271" i="87" s="1"/>
  <c r="L271" i="87" s="1"/>
  <c r="J270" i="87"/>
  <c r="L270" i="87" s="1"/>
  <c r="I270" i="87"/>
  <c r="E270" i="87"/>
  <c r="G270" i="87" s="1"/>
  <c r="L269" i="87"/>
  <c r="J269" i="87"/>
  <c r="I269" i="87"/>
  <c r="E269" i="87"/>
  <c r="G269" i="87" s="1"/>
  <c r="I268" i="87"/>
  <c r="E268" i="87"/>
  <c r="G268" i="87" s="1"/>
  <c r="J268" i="87" s="1"/>
  <c r="L268" i="87" s="1"/>
  <c r="I267" i="87"/>
  <c r="E267" i="87"/>
  <c r="G267" i="87" s="1"/>
  <c r="J267" i="87" s="1"/>
  <c r="L267" i="87" s="1"/>
  <c r="I266" i="87"/>
  <c r="E266" i="87"/>
  <c r="G266" i="87" s="1"/>
  <c r="J266" i="87" s="1"/>
  <c r="L266" i="87" s="1"/>
  <c r="I265" i="87"/>
  <c r="E265" i="87"/>
  <c r="G265" i="87" s="1"/>
  <c r="J265" i="87" s="1"/>
  <c r="L265" i="87" s="1"/>
  <c r="J264" i="87"/>
  <c r="L264" i="87" s="1"/>
  <c r="I264" i="87"/>
  <c r="E264" i="87"/>
  <c r="G264" i="87" s="1"/>
  <c r="I263" i="87"/>
  <c r="E263" i="87"/>
  <c r="G263" i="87" s="1"/>
  <c r="J263" i="87" s="1"/>
  <c r="L263" i="87" s="1"/>
  <c r="I262" i="87"/>
  <c r="E262" i="87"/>
  <c r="G262" i="87" s="1"/>
  <c r="J262" i="87" s="1"/>
  <c r="L262" i="87" s="1"/>
  <c r="I261" i="87"/>
  <c r="E261" i="87"/>
  <c r="G261" i="87" s="1"/>
  <c r="J261" i="87" s="1"/>
  <c r="L261" i="87" s="1"/>
  <c r="I260" i="87"/>
  <c r="E260" i="87"/>
  <c r="G260" i="87" s="1"/>
  <c r="J260" i="87" s="1"/>
  <c r="L260" i="87" s="1"/>
  <c r="I259" i="87"/>
  <c r="E259" i="87"/>
  <c r="G259" i="87" s="1"/>
  <c r="J259" i="87" s="1"/>
  <c r="L259" i="87" s="1"/>
  <c r="I258" i="87"/>
  <c r="E258" i="87"/>
  <c r="G258" i="87" s="1"/>
  <c r="J258" i="87" s="1"/>
  <c r="L258" i="87" s="1"/>
  <c r="I257" i="87"/>
  <c r="E257" i="87"/>
  <c r="G257" i="87" s="1"/>
  <c r="J257" i="87" s="1"/>
  <c r="L257" i="87" s="1"/>
  <c r="I256" i="87"/>
  <c r="E256" i="87"/>
  <c r="G256" i="87" s="1"/>
  <c r="J256" i="87" s="1"/>
  <c r="L256" i="87" s="1"/>
  <c r="J255" i="87"/>
  <c r="L255" i="87" s="1"/>
  <c r="I255" i="87"/>
  <c r="E255" i="87"/>
  <c r="G255" i="87" s="1"/>
  <c r="I254" i="87"/>
  <c r="E254" i="87"/>
  <c r="G254" i="87" s="1"/>
  <c r="J254" i="87" s="1"/>
  <c r="L254" i="87" s="1"/>
  <c r="J253" i="87"/>
  <c r="L253" i="87" s="1"/>
  <c r="I253" i="87"/>
  <c r="E253" i="87"/>
  <c r="G253" i="87" s="1"/>
  <c r="J252" i="87"/>
  <c r="L252" i="87" s="1"/>
  <c r="I252" i="87"/>
  <c r="E252" i="87"/>
  <c r="G252" i="87" s="1"/>
  <c r="J251" i="87"/>
  <c r="L251" i="87" s="1"/>
  <c r="I251" i="87"/>
  <c r="E251" i="87"/>
  <c r="G251" i="87" s="1"/>
  <c r="J250" i="87"/>
  <c r="L250" i="87" s="1"/>
  <c r="I250" i="87"/>
  <c r="E250" i="87"/>
  <c r="G250" i="87" s="1"/>
  <c r="I249" i="87"/>
  <c r="E249" i="87"/>
  <c r="G249" i="87" s="1"/>
  <c r="J249" i="87" s="1"/>
  <c r="L249" i="87" s="1"/>
  <c r="I248" i="87"/>
  <c r="E248" i="87"/>
  <c r="G248" i="87" s="1"/>
  <c r="K214" i="87"/>
  <c r="F214" i="87"/>
  <c r="F238" i="87" s="1"/>
  <c r="D238" i="87"/>
  <c r="C238" i="87"/>
  <c r="I237" i="87"/>
  <c r="E237" i="87"/>
  <c r="G237" i="87" s="1"/>
  <c r="J237" i="87" s="1"/>
  <c r="L237" i="87" s="1"/>
  <c r="J236" i="87"/>
  <c r="L236" i="87" s="1"/>
  <c r="I236" i="87"/>
  <c r="E236" i="87"/>
  <c r="G236" i="87" s="1"/>
  <c r="I235" i="87"/>
  <c r="E235" i="87"/>
  <c r="G235" i="87" s="1"/>
  <c r="J235" i="87" s="1"/>
  <c r="L235" i="87" s="1"/>
  <c r="J234" i="87"/>
  <c r="L234" i="87" s="1"/>
  <c r="I234" i="87"/>
  <c r="E234" i="87"/>
  <c r="G234" i="87" s="1"/>
  <c r="J233" i="87"/>
  <c r="L233" i="87" s="1"/>
  <c r="I233" i="87"/>
  <c r="G233" i="87"/>
  <c r="E233" i="87"/>
  <c r="J232" i="87"/>
  <c r="L232" i="87" s="1"/>
  <c r="I232" i="87"/>
  <c r="E232" i="87"/>
  <c r="G232" i="87" s="1"/>
  <c r="J231" i="87"/>
  <c r="L231" i="87" s="1"/>
  <c r="I231" i="87"/>
  <c r="E231" i="87"/>
  <c r="G231" i="87" s="1"/>
  <c r="J230" i="87"/>
  <c r="L230" i="87" s="1"/>
  <c r="I230" i="87"/>
  <c r="E230" i="87"/>
  <c r="G230" i="87" s="1"/>
  <c r="I229" i="87"/>
  <c r="E229" i="87"/>
  <c r="G229" i="87" s="1"/>
  <c r="J229" i="87" s="1"/>
  <c r="L229" i="87" s="1"/>
  <c r="J228" i="87"/>
  <c r="L228" i="87" s="1"/>
  <c r="I228" i="87"/>
  <c r="E228" i="87"/>
  <c r="G228" i="87" s="1"/>
  <c r="J227" i="87"/>
  <c r="L227" i="87" s="1"/>
  <c r="I227" i="87"/>
  <c r="E227" i="87"/>
  <c r="G227" i="87" s="1"/>
  <c r="I226" i="87"/>
  <c r="E226" i="87"/>
  <c r="G226" i="87" s="1"/>
  <c r="J226" i="87" s="1"/>
  <c r="L226" i="87" s="1"/>
  <c r="J225" i="87"/>
  <c r="L225" i="87" s="1"/>
  <c r="I225" i="87"/>
  <c r="E225" i="87"/>
  <c r="G225" i="87" s="1"/>
  <c r="I224" i="87"/>
  <c r="E224" i="87"/>
  <c r="G224" i="87" s="1"/>
  <c r="J224" i="87" s="1"/>
  <c r="L224" i="87" s="1"/>
  <c r="I223" i="87"/>
  <c r="E223" i="87"/>
  <c r="G223" i="87" s="1"/>
  <c r="J223" i="87" s="1"/>
  <c r="L223" i="87" s="1"/>
  <c r="I222" i="87"/>
  <c r="E222" i="87"/>
  <c r="G222" i="87" s="1"/>
  <c r="J222" i="87" s="1"/>
  <c r="L222" i="87" s="1"/>
  <c r="I221" i="87"/>
  <c r="G221" i="87"/>
  <c r="J221" i="87" s="1"/>
  <c r="L221" i="87" s="1"/>
  <c r="E221" i="87"/>
  <c r="J220" i="87"/>
  <c r="L220" i="87" s="1"/>
  <c r="I220" i="87"/>
  <c r="E220" i="87"/>
  <c r="G220" i="87" s="1"/>
  <c r="J219" i="87"/>
  <c r="L219" i="87" s="1"/>
  <c r="I219" i="87"/>
  <c r="E219" i="87"/>
  <c r="G219" i="87" s="1"/>
  <c r="I218" i="87"/>
  <c r="E218" i="87"/>
  <c r="G218" i="87" s="1"/>
  <c r="J218" i="87" s="1"/>
  <c r="L218" i="87" s="1"/>
  <c r="J217" i="87"/>
  <c r="L217" i="87" s="1"/>
  <c r="I217" i="87"/>
  <c r="G217" i="87"/>
  <c r="E217" i="87"/>
  <c r="I216" i="87"/>
  <c r="E216" i="87"/>
  <c r="G216" i="87" s="1"/>
  <c r="J216" i="87" s="1"/>
  <c r="L216" i="87" s="1"/>
  <c r="J215" i="87"/>
  <c r="L215" i="87" s="1"/>
  <c r="I215" i="87"/>
  <c r="E215" i="87"/>
  <c r="G215" i="87" s="1"/>
  <c r="I214" i="87"/>
  <c r="E214" i="87"/>
  <c r="J213" i="87"/>
  <c r="L213" i="87" s="1"/>
  <c r="I213" i="87"/>
  <c r="G213" i="87"/>
  <c r="E213" i="87"/>
  <c r="J212" i="87"/>
  <c r="L212" i="87" s="1"/>
  <c r="I212" i="87"/>
  <c r="E212" i="87"/>
  <c r="G212" i="87" s="1"/>
  <c r="I211" i="87"/>
  <c r="E211" i="87"/>
  <c r="G211" i="87" s="1"/>
  <c r="J211" i="87" s="1"/>
  <c r="L211" i="87" s="1"/>
  <c r="I210" i="87"/>
  <c r="E210" i="87"/>
  <c r="G210" i="87" s="1"/>
  <c r="J210" i="87" s="1"/>
  <c r="L210" i="87" s="1"/>
  <c r="I209" i="87"/>
  <c r="E209" i="87"/>
  <c r="G209" i="87" s="1"/>
  <c r="J209" i="87" s="1"/>
  <c r="L209" i="87" s="1"/>
  <c r="I208" i="87"/>
  <c r="E208" i="87"/>
  <c r="G208" i="87" s="1"/>
  <c r="J208" i="87" s="1"/>
  <c r="L208" i="87" s="1"/>
  <c r="J207" i="87"/>
  <c r="L207" i="87" s="1"/>
  <c r="I207" i="87"/>
  <c r="G207" i="87"/>
  <c r="E207" i="87"/>
  <c r="I206" i="87"/>
  <c r="E206" i="87"/>
  <c r="G206" i="87" s="1"/>
  <c r="J206" i="87" s="1"/>
  <c r="L206" i="87" s="1"/>
  <c r="I205" i="87"/>
  <c r="E205" i="87"/>
  <c r="G205" i="87" s="1"/>
  <c r="J205" i="87" s="1"/>
  <c r="L205" i="87" s="1"/>
  <c r="I204" i="87"/>
  <c r="E204" i="87"/>
  <c r="G204" i="87" s="1"/>
  <c r="J204" i="87" s="1"/>
  <c r="L204" i="87" s="1"/>
  <c r="I203" i="87"/>
  <c r="E203" i="87"/>
  <c r="G203" i="87" s="1"/>
  <c r="J203" i="87" s="1"/>
  <c r="L203" i="87" s="1"/>
  <c r="I202" i="87"/>
  <c r="E202" i="87"/>
  <c r="G202" i="87" s="1"/>
  <c r="J202" i="87" s="1"/>
  <c r="L202" i="87" s="1"/>
  <c r="I201" i="87"/>
  <c r="E201" i="87"/>
  <c r="G201" i="87" s="1"/>
  <c r="J201" i="87" s="1"/>
  <c r="L201" i="87" s="1"/>
  <c r="I200" i="87"/>
  <c r="E200" i="87"/>
  <c r="G200" i="87" s="1"/>
  <c r="J200" i="87" s="1"/>
  <c r="L200" i="87" s="1"/>
  <c r="I199" i="87"/>
  <c r="E199" i="87"/>
  <c r="G199" i="87" s="1"/>
  <c r="J199" i="87" s="1"/>
  <c r="L199" i="87" s="1"/>
  <c r="J198" i="87"/>
  <c r="L198" i="87" s="1"/>
  <c r="I198" i="87"/>
  <c r="E198" i="87"/>
  <c r="G198" i="87" s="1"/>
  <c r="I197" i="87"/>
  <c r="E197" i="87"/>
  <c r="G197" i="87" s="1"/>
  <c r="J197" i="87" s="1"/>
  <c r="L197" i="87" s="1"/>
  <c r="J196" i="87"/>
  <c r="L196" i="87" s="1"/>
  <c r="I196" i="87"/>
  <c r="E196" i="87"/>
  <c r="G196" i="87" s="1"/>
  <c r="J195" i="87"/>
  <c r="L195" i="87" s="1"/>
  <c r="I195" i="87"/>
  <c r="E195" i="87"/>
  <c r="G195" i="87" s="1"/>
  <c r="J194" i="87"/>
  <c r="L194" i="87" s="1"/>
  <c r="I194" i="87"/>
  <c r="E194" i="87"/>
  <c r="G194" i="87" s="1"/>
  <c r="J193" i="87"/>
  <c r="L193" i="87" s="1"/>
  <c r="I193" i="87"/>
  <c r="E193" i="87"/>
  <c r="G193" i="87" s="1"/>
  <c r="I192" i="87"/>
  <c r="E192" i="87"/>
  <c r="G192" i="87" s="1"/>
  <c r="I191" i="87"/>
  <c r="E191" i="87"/>
  <c r="G191" i="87" s="1"/>
  <c r="J191" i="87" s="1"/>
  <c r="K181" i="87"/>
  <c r="F181" i="87"/>
  <c r="D181" i="87"/>
  <c r="C181" i="87"/>
  <c r="I180" i="87"/>
  <c r="E180" i="87"/>
  <c r="G180" i="87" s="1"/>
  <c r="J180" i="87" s="1"/>
  <c r="L180" i="87" s="1"/>
  <c r="J179" i="87"/>
  <c r="L179" i="87" s="1"/>
  <c r="I179" i="87"/>
  <c r="E179" i="87"/>
  <c r="G179" i="87" s="1"/>
  <c r="I178" i="87"/>
  <c r="E178" i="87"/>
  <c r="G178" i="87" s="1"/>
  <c r="J178" i="87" s="1"/>
  <c r="L178" i="87" s="1"/>
  <c r="J177" i="87"/>
  <c r="L177" i="87" s="1"/>
  <c r="I177" i="87"/>
  <c r="E177" i="87"/>
  <c r="G177" i="87" s="1"/>
  <c r="J176" i="87"/>
  <c r="L176" i="87" s="1"/>
  <c r="I176" i="87"/>
  <c r="E176" i="87"/>
  <c r="G176" i="87" s="1"/>
  <c r="J175" i="87"/>
  <c r="L175" i="87" s="1"/>
  <c r="I175" i="87"/>
  <c r="E175" i="87"/>
  <c r="G175" i="87" s="1"/>
  <c r="J174" i="87"/>
  <c r="L174" i="87" s="1"/>
  <c r="I174" i="87"/>
  <c r="E174" i="87"/>
  <c r="G174" i="87" s="1"/>
  <c r="J173" i="87"/>
  <c r="L173" i="87" s="1"/>
  <c r="I173" i="87"/>
  <c r="E173" i="87"/>
  <c r="G173" i="87" s="1"/>
  <c r="I172" i="87"/>
  <c r="E172" i="87"/>
  <c r="G172" i="87" s="1"/>
  <c r="J172" i="87" s="1"/>
  <c r="L172" i="87" s="1"/>
  <c r="J171" i="87"/>
  <c r="L171" i="87" s="1"/>
  <c r="I171" i="87"/>
  <c r="E171" i="87"/>
  <c r="G171" i="87" s="1"/>
  <c r="J170" i="87"/>
  <c r="L170" i="87" s="1"/>
  <c r="I170" i="87"/>
  <c r="E170" i="87"/>
  <c r="G170" i="87" s="1"/>
  <c r="I169" i="87"/>
  <c r="E169" i="87"/>
  <c r="G169" i="87" s="1"/>
  <c r="J169" i="87" s="1"/>
  <c r="L169" i="87" s="1"/>
  <c r="J168" i="87"/>
  <c r="L168" i="87" s="1"/>
  <c r="I168" i="87"/>
  <c r="E168" i="87"/>
  <c r="G168" i="87" s="1"/>
  <c r="I167" i="87"/>
  <c r="E167" i="87"/>
  <c r="G167" i="87" s="1"/>
  <c r="J167" i="87" s="1"/>
  <c r="L167" i="87" s="1"/>
  <c r="I166" i="87"/>
  <c r="E166" i="87"/>
  <c r="G166" i="87" s="1"/>
  <c r="J166" i="87" s="1"/>
  <c r="L166" i="87" s="1"/>
  <c r="I165" i="87"/>
  <c r="E165" i="87"/>
  <c r="G165" i="87" s="1"/>
  <c r="J165" i="87" s="1"/>
  <c r="L165" i="87" s="1"/>
  <c r="I164" i="87"/>
  <c r="E164" i="87"/>
  <c r="G164" i="87" s="1"/>
  <c r="J164" i="87" s="1"/>
  <c r="L164" i="87" s="1"/>
  <c r="J163" i="87"/>
  <c r="L163" i="87" s="1"/>
  <c r="I163" i="87"/>
  <c r="E163" i="87"/>
  <c r="G163" i="87" s="1"/>
  <c r="J162" i="87"/>
  <c r="L162" i="87" s="1"/>
  <c r="I162" i="87"/>
  <c r="E162" i="87"/>
  <c r="G162" i="87" s="1"/>
  <c r="I161" i="87"/>
  <c r="E161" i="87"/>
  <c r="G161" i="87" s="1"/>
  <c r="J161" i="87" s="1"/>
  <c r="L161" i="87" s="1"/>
  <c r="J160" i="87"/>
  <c r="L160" i="87" s="1"/>
  <c r="I160" i="87"/>
  <c r="E160" i="87"/>
  <c r="G160" i="87" s="1"/>
  <c r="I159" i="87"/>
  <c r="E159" i="87"/>
  <c r="G159" i="87" s="1"/>
  <c r="J159" i="87" s="1"/>
  <c r="L159" i="87" s="1"/>
  <c r="J158" i="87"/>
  <c r="L158" i="87" s="1"/>
  <c r="I158" i="87"/>
  <c r="E158" i="87"/>
  <c r="G158" i="87" s="1"/>
  <c r="I157" i="87"/>
  <c r="E157" i="87"/>
  <c r="G157" i="87" s="1"/>
  <c r="J157" i="87" s="1"/>
  <c r="L157" i="87" s="1"/>
  <c r="J156" i="87"/>
  <c r="L156" i="87" s="1"/>
  <c r="I156" i="87"/>
  <c r="E156" i="87"/>
  <c r="G156" i="87" s="1"/>
  <c r="J155" i="87"/>
  <c r="L155" i="87" s="1"/>
  <c r="I155" i="87"/>
  <c r="E155" i="87"/>
  <c r="G155" i="87" s="1"/>
  <c r="I154" i="87"/>
  <c r="E154" i="87"/>
  <c r="G154" i="87" s="1"/>
  <c r="J154" i="87" s="1"/>
  <c r="L154" i="87" s="1"/>
  <c r="I153" i="87"/>
  <c r="E153" i="87"/>
  <c r="G153" i="87" s="1"/>
  <c r="J153" i="87" s="1"/>
  <c r="L153" i="87" s="1"/>
  <c r="I152" i="87"/>
  <c r="E152" i="87"/>
  <c r="G152" i="87" s="1"/>
  <c r="J152" i="87" s="1"/>
  <c r="L152" i="87" s="1"/>
  <c r="I151" i="87"/>
  <c r="E151" i="87"/>
  <c r="G151" i="87" s="1"/>
  <c r="J151" i="87" s="1"/>
  <c r="L151" i="87" s="1"/>
  <c r="J150" i="87"/>
  <c r="L150" i="87" s="1"/>
  <c r="I150" i="87"/>
  <c r="E150" i="87"/>
  <c r="G150" i="87" s="1"/>
  <c r="I149" i="87"/>
  <c r="E149" i="87"/>
  <c r="G149" i="87" s="1"/>
  <c r="J149" i="87" s="1"/>
  <c r="L149" i="87" s="1"/>
  <c r="I148" i="87"/>
  <c r="E148" i="87"/>
  <c r="G148" i="87" s="1"/>
  <c r="J148" i="87" s="1"/>
  <c r="L148" i="87" s="1"/>
  <c r="I147" i="87"/>
  <c r="E147" i="87"/>
  <c r="G147" i="87" s="1"/>
  <c r="J147" i="87" s="1"/>
  <c r="L147" i="87" s="1"/>
  <c r="I146" i="87"/>
  <c r="E146" i="87"/>
  <c r="G146" i="87" s="1"/>
  <c r="J146" i="87" s="1"/>
  <c r="L146" i="87" s="1"/>
  <c r="I145" i="87"/>
  <c r="E145" i="87"/>
  <c r="G145" i="87" s="1"/>
  <c r="J145" i="87" s="1"/>
  <c r="L145" i="87" s="1"/>
  <c r="I144" i="87"/>
  <c r="E144" i="87"/>
  <c r="G144" i="87" s="1"/>
  <c r="J144" i="87" s="1"/>
  <c r="L144" i="87" s="1"/>
  <c r="I143" i="87"/>
  <c r="E143" i="87"/>
  <c r="G143" i="87" s="1"/>
  <c r="J143" i="87" s="1"/>
  <c r="L143" i="87" s="1"/>
  <c r="I142" i="87"/>
  <c r="E142" i="87"/>
  <c r="G142" i="87" s="1"/>
  <c r="J142" i="87" s="1"/>
  <c r="L142" i="87" s="1"/>
  <c r="J141" i="87"/>
  <c r="L141" i="87" s="1"/>
  <c r="I141" i="87"/>
  <c r="E141" i="87"/>
  <c r="G141" i="87" s="1"/>
  <c r="I140" i="87"/>
  <c r="E140" i="87"/>
  <c r="G140" i="87" s="1"/>
  <c r="J140" i="87" s="1"/>
  <c r="L140" i="87" s="1"/>
  <c r="J139" i="87"/>
  <c r="L139" i="87" s="1"/>
  <c r="I139" i="87"/>
  <c r="E139" i="87"/>
  <c r="G139" i="87" s="1"/>
  <c r="J138" i="87"/>
  <c r="L138" i="87" s="1"/>
  <c r="I138" i="87"/>
  <c r="E138" i="87"/>
  <c r="G138" i="87" s="1"/>
  <c r="J137" i="87"/>
  <c r="L137" i="87" s="1"/>
  <c r="I137" i="87"/>
  <c r="E137" i="87"/>
  <c r="G137" i="87" s="1"/>
  <c r="J136" i="87"/>
  <c r="L136" i="87" s="1"/>
  <c r="I136" i="87"/>
  <c r="E136" i="87"/>
  <c r="G136" i="87" s="1"/>
  <c r="I135" i="87"/>
  <c r="E135" i="87"/>
  <c r="G135" i="87" s="1"/>
  <c r="J135" i="87" s="1"/>
  <c r="L135" i="87" s="1"/>
  <c r="I134" i="87"/>
  <c r="E134" i="87"/>
  <c r="G134" i="87" s="1"/>
  <c r="K124" i="87"/>
  <c r="D124" i="87"/>
  <c r="C124" i="87"/>
  <c r="I123" i="87"/>
  <c r="E123" i="87"/>
  <c r="G123" i="87" s="1"/>
  <c r="J123" i="87" s="1"/>
  <c r="L123" i="87" s="1"/>
  <c r="J122" i="87"/>
  <c r="L122" i="87" s="1"/>
  <c r="I122" i="87"/>
  <c r="E122" i="87"/>
  <c r="G122" i="87" s="1"/>
  <c r="I121" i="87"/>
  <c r="E121" i="87"/>
  <c r="G121" i="87" s="1"/>
  <c r="J121" i="87" s="1"/>
  <c r="L121" i="87" s="1"/>
  <c r="L120" i="87"/>
  <c r="J120" i="87"/>
  <c r="I120" i="87"/>
  <c r="E120" i="87"/>
  <c r="G120" i="87" s="1"/>
  <c r="J119" i="87"/>
  <c r="L119" i="87" s="1"/>
  <c r="I119" i="87"/>
  <c r="E119" i="87"/>
  <c r="G119" i="87" s="1"/>
  <c r="L118" i="87"/>
  <c r="J118" i="87"/>
  <c r="I118" i="87"/>
  <c r="E118" i="87"/>
  <c r="G118" i="87" s="1"/>
  <c r="J117" i="87"/>
  <c r="L117" i="87" s="1"/>
  <c r="I117" i="87"/>
  <c r="E117" i="87"/>
  <c r="G117" i="87" s="1"/>
  <c r="L116" i="87"/>
  <c r="J116" i="87"/>
  <c r="I116" i="87"/>
  <c r="E116" i="87"/>
  <c r="G116" i="87" s="1"/>
  <c r="I115" i="87"/>
  <c r="E115" i="87"/>
  <c r="G115" i="87" s="1"/>
  <c r="J115" i="87" s="1"/>
  <c r="L115" i="87" s="1"/>
  <c r="J114" i="87"/>
  <c r="L114" i="87" s="1"/>
  <c r="I114" i="87"/>
  <c r="E114" i="87"/>
  <c r="G114" i="87" s="1"/>
  <c r="J113" i="87"/>
  <c r="L113" i="87" s="1"/>
  <c r="I113" i="87"/>
  <c r="E113" i="87"/>
  <c r="G113" i="87" s="1"/>
  <c r="I112" i="87"/>
  <c r="E112" i="87"/>
  <c r="G112" i="87" s="1"/>
  <c r="J112" i="87" s="1"/>
  <c r="L112" i="87" s="1"/>
  <c r="J111" i="87"/>
  <c r="L111" i="87" s="1"/>
  <c r="I111" i="87"/>
  <c r="E111" i="87"/>
  <c r="G111" i="87" s="1"/>
  <c r="I110" i="87"/>
  <c r="E110" i="87"/>
  <c r="G110" i="87" s="1"/>
  <c r="J110" i="87" s="1"/>
  <c r="L110" i="87" s="1"/>
  <c r="I109" i="87"/>
  <c r="F124" i="87"/>
  <c r="E109" i="87"/>
  <c r="G109" i="87" s="1"/>
  <c r="J109" i="87" s="1"/>
  <c r="L109" i="87" s="1"/>
  <c r="I108" i="87"/>
  <c r="E108" i="87"/>
  <c r="G108" i="87" s="1"/>
  <c r="J108" i="87" s="1"/>
  <c r="L108" i="87" s="1"/>
  <c r="I107" i="87"/>
  <c r="E107" i="87"/>
  <c r="G107" i="87" s="1"/>
  <c r="J107" i="87" s="1"/>
  <c r="L107" i="87" s="1"/>
  <c r="J106" i="87"/>
  <c r="L106" i="87" s="1"/>
  <c r="I106" i="87"/>
  <c r="E106" i="87"/>
  <c r="G106" i="87" s="1"/>
  <c r="J105" i="87"/>
  <c r="L105" i="87" s="1"/>
  <c r="I105" i="87"/>
  <c r="E105" i="87"/>
  <c r="G105" i="87" s="1"/>
  <c r="I104" i="87"/>
  <c r="E104" i="87"/>
  <c r="G104" i="87" s="1"/>
  <c r="J104" i="87" s="1"/>
  <c r="L104" i="87" s="1"/>
  <c r="J103" i="87"/>
  <c r="L103" i="87" s="1"/>
  <c r="I103" i="87"/>
  <c r="E103" i="87"/>
  <c r="G103" i="87" s="1"/>
  <c r="I102" i="87"/>
  <c r="E102" i="87"/>
  <c r="G102" i="87" s="1"/>
  <c r="J102" i="87" s="1"/>
  <c r="L102" i="87" s="1"/>
  <c r="J101" i="87"/>
  <c r="L101" i="87" s="1"/>
  <c r="I101" i="87"/>
  <c r="E101" i="87"/>
  <c r="G101" i="87" s="1"/>
  <c r="I100" i="87"/>
  <c r="E100" i="87"/>
  <c r="G100" i="87" s="1"/>
  <c r="J100" i="87" s="1"/>
  <c r="L100" i="87" s="1"/>
  <c r="J99" i="87"/>
  <c r="L99" i="87" s="1"/>
  <c r="I99" i="87"/>
  <c r="E99" i="87"/>
  <c r="G99" i="87" s="1"/>
  <c r="J98" i="87"/>
  <c r="L98" i="87" s="1"/>
  <c r="I98" i="87"/>
  <c r="E98" i="87"/>
  <c r="G98" i="87" s="1"/>
  <c r="I97" i="87"/>
  <c r="E97" i="87"/>
  <c r="G97" i="87" s="1"/>
  <c r="J97" i="87" s="1"/>
  <c r="L97" i="87" s="1"/>
  <c r="I96" i="87"/>
  <c r="E96" i="87"/>
  <c r="G96" i="87" s="1"/>
  <c r="J96" i="87" s="1"/>
  <c r="L96" i="87" s="1"/>
  <c r="I95" i="87"/>
  <c r="E95" i="87"/>
  <c r="G95" i="87" s="1"/>
  <c r="J95" i="87" s="1"/>
  <c r="L95" i="87" s="1"/>
  <c r="I94" i="87"/>
  <c r="E94" i="87"/>
  <c r="G94" i="87" s="1"/>
  <c r="J94" i="87" s="1"/>
  <c r="L94" i="87" s="1"/>
  <c r="J93" i="87"/>
  <c r="L93" i="87" s="1"/>
  <c r="I93" i="87"/>
  <c r="E93" i="87"/>
  <c r="G93" i="87" s="1"/>
  <c r="I92" i="87"/>
  <c r="E92" i="87"/>
  <c r="G92" i="87" s="1"/>
  <c r="J92" i="87" s="1"/>
  <c r="L92" i="87" s="1"/>
  <c r="I91" i="87"/>
  <c r="E91" i="87"/>
  <c r="G91" i="87" s="1"/>
  <c r="J91" i="87" s="1"/>
  <c r="L91" i="87" s="1"/>
  <c r="I90" i="87"/>
  <c r="E90" i="87"/>
  <c r="G90" i="87" s="1"/>
  <c r="J90" i="87" s="1"/>
  <c r="L90" i="87" s="1"/>
  <c r="I89" i="87"/>
  <c r="E89" i="87"/>
  <c r="G89" i="87" s="1"/>
  <c r="J89" i="87" s="1"/>
  <c r="L89" i="87" s="1"/>
  <c r="I88" i="87"/>
  <c r="E88" i="87"/>
  <c r="G88" i="87" s="1"/>
  <c r="J88" i="87" s="1"/>
  <c r="L88" i="87" s="1"/>
  <c r="I87" i="87"/>
  <c r="E87" i="87"/>
  <c r="G87" i="87" s="1"/>
  <c r="J87" i="87" s="1"/>
  <c r="L87" i="87" s="1"/>
  <c r="I86" i="87"/>
  <c r="E86" i="87"/>
  <c r="G86" i="87" s="1"/>
  <c r="J86" i="87" s="1"/>
  <c r="L86" i="87" s="1"/>
  <c r="I85" i="87"/>
  <c r="E85" i="87"/>
  <c r="G85" i="87" s="1"/>
  <c r="J85" i="87" s="1"/>
  <c r="L85" i="87" s="1"/>
  <c r="J84" i="87"/>
  <c r="L84" i="87" s="1"/>
  <c r="I84" i="87"/>
  <c r="E84" i="87"/>
  <c r="G84" i="87" s="1"/>
  <c r="I83" i="87"/>
  <c r="E83" i="87"/>
  <c r="G83" i="87" s="1"/>
  <c r="J83" i="87" s="1"/>
  <c r="L83" i="87" s="1"/>
  <c r="J82" i="87"/>
  <c r="L82" i="87" s="1"/>
  <c r="I82" i="87"/>
  <c r="E82" i="87"/>
  <c r="G82" i="87" s="1"/>
  <c r="J81" i="87"/>
  <c r="L81" i="87" s="1"/>
  <c r="I81" i="87"/>
  <c r="E81" i="87"/>
  <c r="G81" i="87" s="1"/>
  <c r="J80" i="87"/>
  <c r="L80" i="87" s="1"/>
  <c r="I80" i="87"/>
  <c r="E80" i="87"/>
  <c r="G80" i="87" s="1"/>
  <c r="J79" i="87"/>
  <c r="L79" i="87" s="1"/>
  <c r="I79" i="87"/>
  <c r="E79" i="87"/>
  <c r="G79" i="87" s="1"/>
  <c r="I78" i="87"/>
  <c r="E78" i="87"/>
  <c r="G78" i="87" s="1"/>
  <c r="J78" i="87" s="1"/>
  <c r="L78" i="87" s="1"/>
  <c r="I77" i="87"/>
  <c r="E77" i="87"/>
  <c r="G77" i="87" s="1"/>
  <c r="F67" i="87"/>
  <c r="F52" i="87"/>
  <c r="J248" i="87" l="1"/>
  <c r="G295" i="87"/>
  <c r="E295" i="87"/>
  <c r="G214" i="87"/>
  <c r="J214" i="87" s="1"/>
  <c r="L214" i="87" s="1"/>
  <c r="J192" i="87"/>
  <c r="L192" i="87" s="1"/>
  <c r="L191" i="87"/>
  <c r="E238" i="87"/>
  <c r="G181" i="87"/>
  <c r="E181" i="87"/>
  <c r="J134" i="87"/>
  <c r="J77" i="87"/>
  <c r="G124" i="87"/>
  <c r="E124" i="87"/>
  <c r="I53" i="87"/>
  <c r="I52" i="87"/>
  <c r="I51" i="87"/>
  <c r="I50" i="87"/>
  <c r="I49" i="87"/>
  <c r="I48" i="87"/>
  <c r="I47" i="87"/>
  <c r="I46" i="87"/>
  <c r="I45" i="87"/>
  <c r="I44" i="87"/>
  <c r="I43" i="87"/>
  <c r="I42" i="87"/>
  <c r="I41" i="87"/>
  <c r="I40" i="87"/>
  <c r="I39" i="87"/>
  <c r="I38" i="87"/>
  <c r="I37" i="87"/>
  <c r="I36" i="87"/>
  <c r="I35" i="87"/>
  <c r="I34" i="87"/>
  <c r="I33" i="87"/>
  <c r="E53" i="87"/>
  <c r="G53" i="87" s="1"/>
  <c r="J53" i="87" s="1"/>
  <c r="L53" i="87" s="1"/>
  <c r="E52" i="87"/>
  <c r="G52" i="87" s="1"/>
  <c r="J52" i="87" s="1"/>
  <c r="L52" i="87" s="1"/>
  <c r="E51" i="87"/>
  <c r="G51" i="87" s="1"/>
  <c r="J51" i="87" s="1"/>
  <c r="L51" i="87" s="1"/>
  <c r="E40" i="87"/>
  <c r="G40" i="87" s="1"/>
  <c r="J40" i="87" s="1"/>
  <c r="L40" i="87" s="1"/>
  <c r="E39" i="87"/>
  <c r="G39" i="87" s="1"/>
  <c r="J39" i="87" s="1"/>
  <c r="L39" i="87" s="1"/>
  <c r="E38" i="87"/>
  <c r="G38" i="87" s="1"/>
  <c r="J38" i="87" s="1"/>
  <c r="L38" i="87" s="1"/>
  <c r="E37" i="87"/>
  <c r="G37" i="87" s="1"/>
  <c r="J37" i="87" s="1"/>
  <c r="L37" i="87" s="1"/>
  <c r="E34" i="87"/>
  <c r="G34" i="87" s="1"/>
  <c r="J34" i="87" s="1"/>
  <c r="L34" i="87" s="1"/>
  <c r="E33" i="87"/>
  <c r="G33" i="87" s="1"/>
  <c r="J33" i="87" s="1"/>
  <c r="L33" i="87" s="1"/>
  <c r="K395" i="100"/>
  <c r="L389" i="100"/>
  <c r="G389" i="100"/>
  <c r="M389" i="100" s="1"/>
  <c r="L388" i="100"/>
  <c r="G388" i="100"/>
  <c r="M388" i="100" s="1"/>
  <c r="K387" i="100"/>
  <c r="K390" i="100" s="1"/>
  <c r="J387" i="100"/>
  <c r="J390" i="100" s="1"/>
  <c r="J392" i="100" s="1"/>
  <c r="K397" i="100" s="1"/>
  <c r="I387" i="100"/>
  <c r="I390" i="100" s="1"/>
  <c r="F387" i="100"/>
  <c r="F390" i="100" s="1"/>
  <c r="E387" i="100"/>
  <c r="E390" i="100" s="1"/>
  <c r="D387" i="100"/>
  <c r="D390" i="100" s="1"/>
  <c r="L386" i="100"/>
  <c r="G386" i="100"/>
  <c r="L384" i="100"/>
  <c r="G384" i="100"/>
  <c r="M384" i="100" s="1"/>
  <c r="L383" i="100"/>
  <c r="G383" i="100"/>
  <c r="L382" i="100"/>
  <c r="G382" i="100"/>
  <c r="L381" i="100"/>
  <c r="G381" i="100"/>
  <c r="L380" i="100"/>
  <c r="G380" i="100"/>
  <c r="L379" i="100"/>
  <c r="G379" i="100"/>
  <c r="L378" i="100"/>
  <c r="G378" i="100"/>
  <c r="L377" i="100"/>
  <c r="G377" i="100"/>
  <c r="L376" i="100"/>
  <c r="G376" i="100"/>
  <c r="M376" i="100" s="1"/>
  <c r="L375" i="100"/>
  <c r="G375" i="100"/>
  <c r="L374" i="100"/>
  <c r="G374" i="100"/>
  <c r="L373" i="100"/>
  <c r="G373" i="100"/>
  <c r="L372" i="100"/>
  <c r="G372" i="100"/>
  <c r="L371" i="100"/>
  <c r="G371" i="100"/>
  <c r="L370" i="100"/>
  <c r="G370" i="100"/>
  <c r="L369" i="100"/>
  <c r="G369" i="100"/>
  <c r="L368" i="100"/>
  <c r="G368" i="100"/>
  <c r="M368" i="100" s="1"/>
  <c r="L367" i="100"/>
  <c r="G367" i="100"/>
  <c r="L366" i="100"/>
  <c r="G366" i="100"/>
  <c r="M366" i="100" s="1"/>
  <c r="L365" i="100"/>
  <c r="G365" i="100"/>
  <c r="L364" i="100"/>
  <c r="G364" i="100"/>
  <c r="L363" i="100"/>
  <c r="G363" i="100"/>
  <c r="L362" i="100"/>
  <c r="G362" i="100"/>
  <c r="L361" i="100"/>
  <c r="G361" i="100"/>
  <c r="L360" i="100"/>
  <c r="G360" i="100"/>
  <c r="L359" i="100"/>
  <c r="G359" i="100"/>
  <c r="L358" i="100"/>
  <c r="G358" i="100"/>
  <c r="M358" i="100" s="1"/>
  <c r="L357" i="100"/>
  <c r="G357" i="100"/>
  <c r="L356" i="100"/>
  <c r="G356" i="100"/>
  <c r="L355" i="100"/>
  <c r="G355" i="100"/>
  <c r="L354" i="100"/>
  <c r="G354" i="100"/>
  <c r="M354" i="100" s="1"/>
  <c r="L353" i="100"/>
  <c r="G353" i="100"/>
  <c r="L352" i="100"/>
  <c r="G352" i="100"/>
  <c r="M352" i="100" s="1"/>
  <c r="L351" i="100"/>
  <c r="G351" i="100"/>
  <c r="L350" i="100"/>
  <c r="G350" i="100"/>
  <c r="M350" i="100" s="1"/>
  <c r="L349" i="100"/>
  <c r="G349" i="100"/>
  <c r="L348" i="100"/>
  <c r="G348" i="100"/>
  <c r="L347" i="100"/>
  <c r="G347" i="100"/>
  <c r="L346" i="100"/>
  <c r="G346" i="100"/>
  <c r="L345" i="100"/>
  <c r="G345" i="100"/>
  <c r="L344" i="100"/>
  <c r="G344" i="100"/>
  <c r="L343" i="100"/>
  <c r="G343" i="100"/>
  <c r="L342" i="100"/>
  <c r="G342" i="100"/>
  <c r="M342" i="100" s="1"/>
  <c r="L341" i="100"/>
  <c r="G341" i="100"/>
  <c r="L340" i="100"/>
  <c r="G340" i="100"/>
  <c r="L339" i="100"/>
  <c r="G339" i="100"/>
  <c r="L338" i="100"/>
  <c r="G338" i="100"/>
  <c r="G238" i="87" l="1"/>
  <c r="L248" i="87"/>
  <c r="L295" i="87" s="1"/>
  <c r="J295" i="87"/>
  <c r="J297" i="87" s="1"/>
  <c r="J238" i="87"/>
  <c r="J240" i="87" s="1"/>
  <c r="L238" i="87"/>
  <c r="J181" i="87"/>
  <c r="J183" i="87" s="1"/>
  <c r="L134" i="87"/>
  <c r="L181" i="87" s="1"/>
  <c r="J124" i="87"/>
  <c r="J126" i="87" s="1"/>
  <c r="L77" i="87"/>
  <c r="L124" i="87" s="1"/>
  <c r="M349" i="100"/>
  <c r="M346" i="100"/>
  <c r="M386" i="100"/>
  <c r="M369" i="100"/>
  <c r="M343" i="100"/>
  <c r="M351" i="100"/>
  <c r="M367" i="100"/>
  <c r="M372" i="100"/>
  <c r="M338" i="100"/>
  <c r="M362" i="100"/>
  <c r="M345" i="100"/>
  <c r="M353" i="100"/>
  <c r="M357" i="100"/>
  <c r="M361" i="100"/>
  <c r="M365" i="100"/>
  <c r="M373" i="100"/>
  <c r="M377" i="100"/>
  <c r="M381" i="100"/>
  <c r="M341" i="100"/>
  <c r="M360" i="100"/>
  <c r="M375" i="100"/>
  <c r="M383" i="100"/>
  <c r="M344" i="100"/>
  <c r="M359" i="100"/>
  <c r="M370" i="100"/>
  <c r="M374" i="100"/>
  <c r="M378" i="100"/>
  <c r="M382" i="100"/>
  <c r="M356" i="100"/>
  <c r="M339" i="100"/>
  <c r="G387" i="100"/>
  <c r="G390" i="100" s="1"/>
  <c r="M348" i="100"/>
  <c r="M355" i="100"/>
  <c r="M379" i="100"/>
  <c r="M380" i="100"/>
  <c r="M363" i="100"/>
  <c r="M340" i="100"/>
  <c r="M364" i="100"/>
  <c r="M371" i="100"/>
  <c r="M347" i="100"/>
  <c r="L387" i="100"/>
  <c r="L390" i="100" s="1"/>
  <c r="K263" i="100"/>
  <c r="L323" i="100"/>
  <c r="G323" i="100"/>
  <c r="L322" i="100"/>
  <c r="G322" i="100"/>
  <c r="K321" i="100"/>
  <c r="K324" i="100" s="1"/>
  <c r="J321" i="100"/>
  <c r="J324" i="100" s="1"/>
  <c r="J326" i="100" s="1"/>
  <c r="I321" i="100"/>
  <c r="I324" i="100" s="1"/>
  <c r="F321" i="100"/>
  <c r="F324" i="100" s="1"/>
  <c r="E321" i="100"/>
  <c r="E324" i="100" s="1"/>
  <c r="D321" i="100"/>
  <c r="D324" i="100" s="1"/>
  <c r="L320" i="100"/>
  <c r="G320" i="100"/>
  <c r="L318" i="100"/>
  <c r="G318" i="100"/>
  <c r="L317" i="100"/>
  <c r="G317" i="100"/>
  <c r="L316" i="100"/>
  <c r="G316" i="100"/>
  <c r="L315" i="100"/>
  <c r="G315" i="100"/>
  <c r="L314" i="100"/>
  <c r="G314" i="100"/>
  <c r="L313" i="100"/>
  <c r="G313" i="100"/>
  <c r="L312" i="100"/>
  <c r="G312" i="100"/>
  <c r="L311" i="100"/>
  <c r="G311" i="100"/>
  <c r="L310" i="100"/>
  <c r="G310" i="100"/>
  <c r="L309" i="100"/>
  <c r="G309" i="100"/>
  <c r="L308" i="100"/>
  <c r="G308" i="100"/>
  <c r="L307" i="100"/>
  <c r="G307" i="100"/>
  <c r="L306" i="100"/>
  <c r="G306" i="100"/>
  <c r="L305" i="100"/>
  <c r="G305" i="100"/>
  <c r="L304" i="100"/>
  <c r="G304" i="100"/>
  <c r="M304" i="100" s="1"/>
  <c r="L303" i="100"/>
  <c r="G303" i="100"/>
  <c r="L302" i="100"/>
  <c r="G302" i="100"/>
  <c r="L301" i="100"/>
  <c r="G301" i="100"/>
  <c r="L300" i="100"/>
  <c r="G300" i="100"/>
  <c r="L299" i="100"/>
  <c r="G299" i="100"/>
  <c r="L298" i="100"/>
  <c r="G298" i="100"/>
  <c r="L297" i="100"/>
  <c r="G297" i="100"/>
  <c r="L296" i="100"/>
  <c r="G296" i="100"/>
  <c r="M296" i="100" s="1"/>
  <c r="L295" i="100"/>
  <c r="G295" i="100"/>
  <c r="L294" i="100"/>
  <c r="G294" i="100"/>
  <c r="M294" i="100" s="1"/>
  <c r="L293" i="100"/>
  <c r="G293" i="100"/>
  <c r="L292" i="100"/>
  <c r="G292" i="100"/>
  <c r="L291" i="100"/>
  <c r="G291" i="100"/>
  <c r="L290" i="100"/>
  <c r="G290" i="100"/>
  <c r="L289" i="100"/>
  <c r="G289" i="100"/>
  <c r="L288" i="100"/>
  <c r="G288" i="100"/>
  <c r="M288" i="100" s="1"/>
  <c r="L287" i="100"/>
  <c r="G287" i="100"/>
  <c r="L286" i="100"/>
  <c r="G286" i="100"/>
  <c r="L285" i="100"/>
  <c r="G285" i="100"/>
  <c r="L284" i="100"/>
  <c r="G284" i="100"/>
  <c r="L283" i="100"/>
  <c r="G283" i="100"/>
  <c r="L282" i="100"/>
  <c r="G282" i="100"/>
  <c r="L281" i="100"/>
  <c r="G281" i="100"/>
  <c r="L280" i="100"/>
  <c r="G280" i="100"/>
  <c r="L279" i="100"/>
  <c r="G279" i="100"/>
  <c r="L278" i="100"/>
  <c r="G278" i="100"/>
  <c r="L277" i="100"/>
  <c r="G277" i="100"/>
  <c r="L276" i="100"/>
  <c r="G276" i="100"/>
  <c r="L275" i="100"/>
  <c r="G275" i="100"/>
  <c r="L274" i="100"/>
  <c r="G274" i="100"/>
  <c r="M274" i="100" s="1"/>
  <c r="L273" i="100"/>
  <c r="G273" i="100"/>
  <c r="L272" i="100"/>
  <c r="G272" i="100"/>
  <c r="K197" i="100"/>
  <c r="L257" i="100"/>
  <c r="G257" i="100"/>
  <c r="M257" i="100" s="1"/>
  <c r="L256" i="100"/>
  <c r="G256" i="100"/>
  <c r="K255" i="100"/>
  <c r="K258" i="100" s="1"/>
  <c r="J255" i="100"/>
  <c r="J258" i="100" s="1"/>
  <c r="J260" i="100" s="1"/>
  <c r="I255" i="100"/>
  <c r="I258" i="100" s="1"/>
  <c r="F255" i="100"/>
  <c r="F258" i="100" s="1"/>
  <c r="E255" i="100"/>
  <c r="E258" i="100" s="1"/>
  <c r="D255" i="100"/>
  <c r="D258" i="100" s="1"/>
  <c r="L254" i="100"/>
  <c r="G254" i="100"/>
  <c r="L252" i="100"/>
  <c r="G252" i="100"/>
  <c r="L251" i="100"/>
  <c r="G251" i="100"/>
  <c r="L250" i="100"/>
  <c r="G250" i="100"/>
  <c r="L249" i="100"/>
  <c r="G249" i="100"/>
  <c r="L248" i="100"/>
  <c r="G248" i="100"/>
  <c r="L247" i="100"/>
  <c r="G247" i="100"/>
  <c r="L246" i="100"/>
  <c r="G246" i="100"/>
  <c r="L245" i="100"/>
  <c r="G245" i="100"/>
  <c r="L244" i="100"/>
  <c r="G244" i="100"/>
  <c r="L243" i="100"/>
  <c r="G243" i="100"/>
  <c r="M243" i="100" s="1"/>
  <c r="L242" i="100"/>
  <c r="G242" i="100"/>
  <c r="L241" i="100"/>
  <c r="G241" i="100"/>
  <c r="L240" i="100"/>
  <c r="G240" i="100"/>
  <c r="L239" i="100"/>
  <c r="G239" i="100"/>
  <c r="L238" i="100"/>
  <c r="G238" i="100"/>
  <c r="L237" i="100"/>
  <c r="G237" i="100"/>
  <c r="L236" i="100"/>
  <c r="G236" i="100"/>
  <c r="L235" i="100"/>
  <c r="G235" i="100"/>
  <c r="M235" i="100" s="1"/>
  <c r="L234" i="100"/>
  <c r="G234" i="100"/>
  <c r="M234" i="100" s="1"/>
  <c r="L233" i="100"/>
  <c r="G233" i="100"/>
  <c r="M233" i="100" s="1"/>
  <c r="L232" i="100"/>
  <c r="G232" i="100"/>
  <c r="L231" i="100"/>
  <c r="G231" i="100"/>
  <c r="L230" i="100"/>
  <c r="G230" i="100"/>
  <c r="M230" i="100" s="1"/>
  <c r="L229" i="100"/>
  <c r="G229" i="100"/>
  <c r="L228" i="100"/>
  <c r="G228" i="100"/>
  <c r="L227" i="100"/>
  <c r="G227" i="100"/>
  <c r="M227" i="100" s="1"/>
  <c r="L226" i="100"/>
  <c r="G226" i="100"/>
  <c r="M226" i="100" s="1"/>
  <c r="L225" i="100"/>
  <c r="G225" i="100"/>
  <c r="M225" i="100" s="1"/>
  <c r="L224" i="100"/>
  <c r="G224" i="100"/>
  <c r="L223" i="100"/>
  <c r="G223" i="100"/>
  <c r="L222" i="100"/>
  <c r="G222" i="100"/>
  <c r="M222" i="100" s="1"/>
  <c r="L221" i="100"/>
  <c r="G221" i="100"/>
  <c r="M221" i="100" s="1"/>
  <c r="L220" i="100"/>
  <c r="G220" i="100"/>
  <c r="L219" i="100"/>
  <c r="G219" i="100"/>
  <c r="L218" i="100"/>
  <c r="G218" i="100"/>
  <c r="L217" i="100"/>
  <c r="G217" i="100"/>
  <c r="L216" i="100"/>
  <c r="G216" i="100"/>
  <c r="L215" i="100"/>
  <c r="G215" i="100"/>
  <c r="L214" i="100"/>
  <c r="G214" i="100"/>
  <c r="M214" i="100" s="1"/>
  <c r="L213" i="100"/>
  <c r="G213" i="100"/>
  <c r="L212" i="100"/>
  <c r="G212" i="100"/>
  <c r="L211" i="100"/>
  <c r="G211" i="100"/>
  <c r="L210" i="100"/>
  <c r="G210" i="100"/>
  <c r="M210" i="100" s="1"/>
  <c r="L209" i="100"/>
  <c r="G209" i="100"/>
  <c r="L208" i="100"/>
  <c r="G208" i="100"/>
  <c r="L207" i="100"/>
  <c r="G207" i="100"/>
  <c r="L206" i="100"/>
  <c r="G206" i="100"/>
  <c r="K131" i="100"/>
  <c r="K65" i="100"/>
  <c r="L191" i="100"/>
  <c r="G191" i="100"/>
  <c r="M191" i="100" s="1"/>
  <c r="L190" i="100"/>
  <c r="G190" i="100"/>
  <c r="K189" i="100"/>
  <c r="K192" i="100" s="1"/>
  <c r="J189" i="100"/>
  <c r="J192" i="100" s="1"/>
  <c r="J194" i="100" s="1"/>
  <c r="I189" i="100"/>
  <c r="I192" i="100" s="1"/>
  <c r="F189" i="100"/>
  <c r="F192" i="100" s="1"/>
  <c r="E189" i="100"/>
  <c r="E192" i="100" s="1"/>
  <c r="D189" i="100"/>
  <c r="D192" i="100" s="1"/>
  <c r="L188" i="100"/>
  <c r="G188" i="100"/>
  <c r="L186" i="100"/>
  <c r="G186" i="100"/>
  <c r="M186" i="100" s="1"/>
  <c r="L185" i="100"/>
  <c r="G185" i="100"/>
  <c r="M185" i="100" s="1"/>
  <c r="L184" i="100"/>
  <c r="G184" i="100"/>
  <c r="M184" i="100" s="1"/>
  <c r="L183" i="100"/>
  <c r="G183" i="100"/>
  <c r="L182" i="100"/>
  <c r="G182" i="100"/>
  <c r="M182" i="100" s="1"/>
  <c r="L181" i="100"/>
  <c r="G181" i="100"/>
  <c r="M181" i="100" s="1"/>
  <c r="L180" i="100"/>
  <c r="G180" i="100"/>
  <c r="M180" i="100" s="1"/>
  <c r="L179" i="100"/>
  <c r="G179" i="100"/>
  <c r="L178" i="100"/>
  <c r="G178" i="100"/>
  <c r="M178" i="100" s="1"/>
  <c r="L177" i="100"/>
  <c r="G177" i="100"/>
  <c r="M177" i="100" s="1"/>
  <c r="L176" i="100"/>
  <c r="G176" i="100"/>
  <c r="M176" i="100" s="1"/>
  <c r="L175" i="100"/>
  <c r="G175" i="100"/>
  <c r="L174" i="100"/>
  <c r="G174" i="100"/>
  <c r="M174" i="100" s="1"/>
  <c r="L173" i="100"/>
  <c r="G173" i="100"/>
  <c r="M173" i="100" s="1"/>
  <c r="L172" i="100"/>
  <c r="G172" i="100"/>
  <c r="L171" i="100"/>
  <c r="G171" i="100"/>
  <c r="L170" i="100"/>
  <c r="G170" i="100"/>
  <c r="M170" i="100" s="1"/>
  <c r="L169" i="100"/>
  <c r="G169" i="100"/>
  <c r="M169" i="100" s="1"/>
  <c r="L168" i="100"/>
  <c r="G168" i="100"/>
  <c r="M168" i="100" s="1"/>
  <c r="L167" i="100"/>
  <c r="G167" i="100"/>
  <c r="L166" i="100"/>
  <c r="G166" i="100"/>
  <c r="L165" i="100"/>
  <c r="G165" i="100"/>
  <c r="M165" i="100" s="1"/>
  <c r="L164" i="100"/>
  <c r="G164" i="100"/>
  <c r="M164" i="100" s="1"/>
  <c r="L163" i="100"/>
  <c r="G163" i="100"/>
  <c r="L162" i="100"/>
  <c r="G162" i="100"/>
  <c r="M162" i="100" s="1"/>
  <c r="L161" i="100"/>
  <c r="G161" i="100"/>
  <c r="M161" i="100" s="1"/>
  <c r="L160" i="100"/>
  <c r="G160" i="100"/>
  <c r="M160" i="100" s="1"/>
  <c r="L159" i="100"/>
  <c r="G159" i="100"/>
  <c r="L158" i="100"/>
  <c r="G158" i="100"/>
  <c r="M158" i="100" s="1"/>
  <c r="L157" i="100"/>
  <c r="G157" i="100"/>
  <c r="M157" i="100" s="1"/>
  <c r="L156" i="100"/>
  <c r="G156" i="100"/>
  <c r="M156" i="100" s="1"/>
  <c r="L155" i="100"/>
  <c r="G155" i="100"/>
  <c r="L154" i="100"/>
  <c r="G154" i="100"/>
  <c r="M154" i="100" s="1"/>
  <c r="L153" i="100"/>
  <c r="G153" i="100"/>
  <c r="M153" i="100" s="1"/>
  <c r="L152" i="100"/>
  <c r="G152" i="100"/>
  <c r="L151" i="100"/>
  <c r="G151" i="100"/>
  <c r="L150" i="100"/>
  <c r="G150" i="100"/>
  <c r="L149" i="100"/>
  <c r="G149" i="100"/>
  <c r="M149" i="100" s="1"/>
  <c r="L148" i="100"/>
  <c r="G148" i="100"/>
  <c r="M148" i="100" s="1"/>
  <c r="L147" i="100"/>
  <c r="G147" i="100"/>
  <c r="L146" i="100"/>
  <c r="G146" i="100"/>
  <c r="M146" i="100" s="1"/>
  <c r="L145" i="100"/>
  <c r="G145" i="100"/>
  <c r="M145" i="100" s="1"/>
  <c r="L144" i="100"/>
  <c r="G144" i="100"/>
  <c r="M144" i="100" s="1"/>
  <c r="L143" i="100"/>
  <c r="G143" i="100"/>
  <c r="L142" i="100"/>
  <c r="G142" i="100"/>
  <c r="M142" i="100" s="1"/>
  <c r="L141" i="100"/>
  <c r="G141" i="100"/>
  <c r="M141" i="100" s="1"/>
  <c r="L140" i="100"/>
  <c r="G140" i="100"/>
  <c r="L104" i="100"/>
  <c r="L90" i="100"/>
  <c r="G106" i="100"/>
  <c r="G104" i="100"/>
  <c r="G90" i="100"/>
  <c r="L107" i="100"/>
  <c r="L106" i="100"/>
  <c r="L105" i="100"/>
  <c r="L94" i="100"/>
  <c r="L93" i="100"/>
  <c r="L92" i="100"/>
  <c r="L91" i="100"/>
  <c r="L88" i="100"/>
  <c r="L87" i="100"/>
  <c r="M190" i="100" l="1"/>
  <c r="M275" i="100"/>
  <c r="M315" i="100"/>
  <c r="M236" i="100"/>
  <c r="K199" i="100"/>
  <c r="M277" i="100"/>
  <c r="M281" i="100"/>
  <c r="M285" i="100"/>
  <c r="M293" i="100"/>
  <c r="M313" i="100"/>
  <c r="M317" i="100"/>
  <c r="M322" i="100"/>
  <c r="M147" i="100"/>
  <c r="M179" i="100"/>
  <c r="M188" i="100"/>
  <c r="M245" i="100"/>
  <c r="M249" i="100"/>
  <c r="M254" i="100"/>
  <c r="M256" i="100"/>
  <c r="M276" i="100"/>
  <c r="M300" i="100"/>
  <c r="M308" i="100"/>
  <c r="M312" i="100"/>
  <c r="M323" i="100"/>
  <c r="M211" i="100"/>
  <c r="M208" i="100"/>
  <c r="M212" i="100"/>
  <c r="M216" i="100"/>
  <c r="M220" i="100"/>
  <c r="M228" i="100"/>
  <c r="M232" i="100"/>
  <c r="M247" i="100"/>
  <c r="M251" i="100"/>
  <c r="M279" i="100"/>
  <c r="M311" i="100"/>
  <c r="M320" i="100"/>
  <c r="M387" i="100"/>
  <c r="M390" i="100" s="1"/>
  <c r="M303" i="100"/>
  <c r="M290" i="100"/>
  <c r="L321" i="100"/>
  <c r="L324" i="100" s="1"/>
  <c r="M278" i="100"/>
  <c r="M307" i="100"/>
  <c r="M297" i="100"/>
  <c r="M289" i="100"/>
  <c r="M283" i="100"/>
  <c r="M280" i="100"/>
  <c r="G321" i="100"/>
  <c r="G324" i="100" s="1"/>
  <c r="K265" i="100"/>
  <c r="M272" i="100"/>
  <c r="M295" i="100"/>
  <c r="M314" i="100"/>
  <c r="M318" i="100"/>
  <c r="M282" i="100"/>
  <c r="M286" i="100"/>
  <c r="M301" i="100"/>
  <c r="M305" i="100"/>
  <c r="M309" i="100"/>
  <c r="M287" i="100"/>
  <c r="M298" i="100"/>
  <c r="M302" i="100"/>
  <c r="M306" i="100"/>
  <c r="M310" i="100"/>
  <c r="M273" i="100"/>
  <c r="M284" i="100"/>
  <c r="M292" i="100"/>
  <c r="M299" i="100"/>
  <c r="M291" i="100"/>
  <c r="M316" i="100"/>
  <c r="M252" i="100"/>
  <c r="M241" i="100"/>
  <c r="M237" i="100"/>
  <c r="M229" i="100"/>
  <c r="M224" i="100"/>
  <c r="M218" i="100"/>
  <c r="M207" i="100"/>
  <c r="M219" i="100"/>
  <c r="M215" i="100"/>
  <c r="L255" i="100"/>
  <c r="L258" i="100" s="1"/>
  <c r="M238" i="100"/>
  <c r="M242" i="100"/>
  <c r="M246" i="100"/>
  <c r="M250" i="100"/>
  <c r="M209" i="100"/>
  <c r="M213" i="100"/>
  <c r="M217" i="100"/>
  <c r="M240" i="100"/>
  <c r="M244" i="100"/>
  <c r="M248" i="100"/>
  <c r="M223" i="100"/>
  <c r="M239" i="100"/>
  <c r="G255" i="100"/>
  <c r="G258" i="100" s="1"/>
  <c r="M231" i="100"/>
  <c r="M206" i="100"/>
  <c r="M140" i="100"/>
  <c r="M152" i="100"/>
  <c r="M172" i="100"/>
  <c r="M171" i="100"/>
  <c r="M163" i="100"/>
  <c r="M155" i="100"/>
  <c r="M150" i="100"/>
  <c r="L189" i="100"/>
  <c r="L192" i="100" s="1"/>
  <c r="M166" i="100"/>
  <c r="M175" i="100"/>
  <c r="M143" i="100"/>
  <c r="M151" i="100"/>
  <c r="M159" i="100"/>
  <c r="M167" i="100"/>
  <c r="M183" i="100"/>
  <c r="G189" i="100"/>
  <c r="G192" i="100" s="1"/>
  <c r="M106" i="100"/>
  <c r="I123" i="100"/>
  <c r="G107" i="100"/>
  <c r="M107" i="100" s="1"/>
  <c r="G105" i="100"/>
  <c r="M105" i="100" s="1"/>
  <c r="G88" i="100"/>
  <c r="M88" i="100" s="1"/>
  <c r="G87" i="100"/>
  <c r="M87" i="100" s="1"/>
  <c r="G94" i="100"/>
  <c r="M94" i="100" s="1"/>
  <c r="G93" i="100"/>
  <c r="M93" i="100" s="1"/>
  <c r="G92" i="100"/>
  <c r="M92" i="100" s="1"/>
  <c r="G91" i="100"/>
  <c r="M91" i="100" s="1"/>
  <c r="M321" i="100" l="1"/>
  <c r="M324" i="100" s="1"/>
  <c r="M255" i="100"/>
  <c r="M258" i="100" s="1"/>
  <c r="M189" i="100"/>
  <c r="M192" i="100" s="1"/>
  <c r="H30" i="14"/>
  <c r="G30" i="14"/>
  <c r="F30" i="14"/>
  <c r="E30" i="14"/>
  <c r="D30" i="14"/>
  <c r="C30" i="14"/>
  <c r="H35" i="14"/>
  <c r="G35" i="14"/>
  <c r="F35" i="14"/>
  <c r="E35" i="14"/>
  <c r="D35" i="14"/>
  <c r="C35" i="14"/>
  <c r="H34" i="14" l="1"/>
  <c r="G34" i="14"/>
  <c r="F34" i="14"/>
  <c r="E34" i="14"/>
  <c r="D34" i="14"/>
  <c r="C34" i="14"/>
  <c r="H33" i="14"/>
  <c r="G33" i="14"/>
  <c r="F33" i="14"/>
  <c r="E33" i="14"/>
  <c r="D33" i="14"/>
  <c r="C33" i="14"/>
  <c r="H32" i="14"/>
  <c r="G32" i="14"/>
  <c r="F32" i="14"/>
  <c r="E32" i="14"/>
  <c r="D32" i="14"/>
  <c r="C32" i="14"/>
  <c r="B13" i="15" l="1"/>
  <c r="C13" i="15"/>
  <c r="E13" i="15"/>
  <c r="F13" i="15"/>
  <c r="G13" i="15"/>
  <c r="B23" i="15"/>
  <c r="I50" i="50" l="1"/>
  <c r="I27" i="50"/>
  <c r="I46" i="50"/>
  <c r="I45" i="50"/>
  <c r="J58" i="6" l="1"/>
  <c r="H21" i="6"/>
  <c r="J19" i="6"/>
  <c r="J18" i="6"/>
  <c r="H29" i="6"/>
  <c r="J27" i="6"/>
  <c r="J26" i="6"/>
  <c r="H37" i="6"/>
  <c r="J35" i="6"/>
  <c r="J34" i="6"/>
  <c r="H45" i="6"/>
  <c r="J43" i="6"/>
  <c r="J42" i="6"/>
  <c r="H53" i="6"/>
  <c r="J51" i="6"/>
  <c r="J50" i="6"/>
  <c r="D16" i="5"/>
  <c r="J53" i="6" l="1"/>
  <c r="I53" i="6" s="1"/>
  <c r="J21" i="6"/>
  <c r="I21" i="6"/>
  <c r="J29" i="6"/>
  <c r="I29" i="6" s="1"/>
  <c r="J37" i="6"/>
  <c r="I37" i="6" s="1"/>
  <c r="J45" i="6"/>
  <c r="I45" i="6"/>
  <c r="H30" i="105"/>
  <c r="G30" i="105"/>
  <c r="F30" i="105"/>
  <c r="E30" i="105"/>
  <c r="D30" i="105"/>
  <c r="C30" i="105"/>
  <c r="B30" i="105"/>
  <c r="C23" i="15" l="1"/>
  <c r="D23" i="15" l="1"/>
  <c r="D26" i="49"/>
  <c r="F23" i="49"/>
  <c r="E23" i="49"/>
  <c r="E17" i="49"/>
  <c r="D23" i="49"/>
  <c r="F15" i="15" l="1"/>
  <c r="C12" i="14"/>
  <c r="C53" i="14" s="1"/>
  <c r="E52" i="50" l="1"/>
  <c r="K52" i="50" s="1"/>
  <c r="I51" i="50"/>
  <c r="O51" i="50" s="1"/>
  <c r="O50" i="50"/>
  <c r="O52" i="50" s="1"/>
  <c r="E47" i="50"/>
  <c r="K47" i="50" s="1"/>
  <c r="O46" i="50"/>
  <c r="O45" i="50"/>
  <c r="K54" i="50" l="1"/>
  <c r="O47" i="50"/>
  <c r="O54" i="50" s="1"/>
  <c r="I47" i="50"/>
  <c r="I52" i="50"/>
  <c r="L125" i="100"/>
  <c r="G125" i="100"/>
  <c r="M125" i="100" s="1"/>
  <c r="L124" i="100"/>
  <c r="G124" i="100"/>
  <c r="M124" i="100" s="1"/>
  <c r="K123" i="100"/>
  <c r="K126" i="100" s="1"/>
  <c r="J123" i="100"/>
  <c r="J126" i="100" s="1"/>
  <c r="J128" i="100" s="1"/>
  <c r="I126" i="100"/>
  <c r="F123" i="100"/>
  <c r="F126" i="100" s="1"/>
  <c r="E123" i="100"/>
  <c r="E126" i="100" s="1"/>
  <c r="D123" i="100"/>
  <c r="D126" i="100" s="1"/>
  <c r="L122" i="100"/>
  <c r="G122" i="100"/>
  <c r="M122" i="100" s="1"/>
  <c r="L120" i="100"/>
  <c r="G120" i="100"/>
  <c r="L119" i="100"/>
  <c r="G119" i="100"/>
  <c r="L118" i="100"/>
  <c r="G118" i="100"/>
  <c r="M118" i="100" s="1"/>
  <c r="L117" i="100"/>
  <c r="G117" i="100"/>
  <c r="L116" i="100"/>
  <c r="G116" i="100"/>
  <c r="L115" i="100"/>
  <c r="G115" i="100"/>
  <c r="L114" i="100"/>
  <c r="G114" i="100"/>
  <c r="M114" i="100" s="1"/>
  <c r="L113" i="100"/>
  <c r="G113" i="100"/>
  <c r="L112" i="100"/>
  <c r="G112" i="100"/>
  <c r="L111" i="100"/>
  <c r="G111" i="100"/>
  <c r="L110" i="100"/>
  <c r="G110" i="100"/>
  <c r="M110" i="100" s="1"/>
  <c r="L109" i="100"/>
  <c r="G109" i="100"/>
  <c r="L108" i="100"/>
  <c r="G108" i="100"/>
  <c r="M104" i="100"/>
  <c r="L103" i="100"/>
  <c r="G103" i="100"/>
  <c r="M103" i="100" s="1"/>
  <c r="L102" i="100"/>
  <c r="G102" i="100"/>
  <c r="L101" i="100"/>
  <c r="G101" i="100"/>
  <c r="L100" i="100"/>
  <c r="G100" i="100"/>
  <c r="L99" i="100"/>
  <c r="G99" i="100"/>
  <c r="L98" i="100"/>
  <c r="G98" i="100"/>
  <c r="L97" i="100"/>
  <c r="G97" i="100"/>
  <c r="L96" i="100"/>
  <c r="G96" i="100"/>
  <c r="L95" i="100"/>
  <c r="G95" i="100"/>
  <c r="M95" i="100" s="1"/>
  <c r="M90" i="100"/>
  <c r="L89" i="100"/>
  <c r="G89" i="100"/>
  <c r="L86" i="100"/>
  <c r="G86" i="100"/>
  <c r="L85" i="100"/>
  <c r="G85" i="100"/>
  <c r="L84" i="100"/>
  <c r="G84" i="100"/>
  <c r="M84" i="100" s="1"/>
  <c r="L83" i="100"/>
  <c r="G83" i="100"/>
  <c r="L82" i="100"/>
  <c r="G82" i="100"/>
  <c r="L81" i="100"/>
  <c r="G81" i="100"/>
  <c r="L80" i="100"/>
  <c r="G80" i="100"/>
  <c r="M80" i="100" s="1"/>
  <c r="L79" i="100"/>
  <c r="G79" i="100"/>
  <c r="L78" i="100"/>
  <c r="G78" i="100"/>
  <c r="L77" i="100"/>
  <c r="G77" i="100"/>
  <c r="L76" i="100"/>
  <c r="G76" i="100"/>
  <c r="M76" i="100" s="1"/>
  <c r="L75" i="100"/>
  <c r="G75" i="100"/>
  <c r="M75" i="100" s="1"/>
  <c r="L74" i="100"/>
  <c r="G74" i="100"/>
  <c r="M77" i="100" l="1"/>
  <c r="M81" i="100"/>
  <c r="M85" i="100"/>
  <c r="M111" i="100"/>
  <c r="M115" i="100"/>
  <c r="M119" i="100"/>
  <c r="M74" i="100"/>
  <c r="M120" i="100"/>
  <c r="M89" i="100"/>
  <c r="M109" i="100"/>
  <c r="M79" i="100"/>
  <c r="M83" i="100"/>
  <c r="M97" i="100"/>
  <c r="M101" i="100"/>
  <c r="M113" i="100"/>
  <c r="M117" i="100"/>
  <c r="M98" i="100"/>
  <c r="M102" i="100"/>
  <c r="M99" i="100"/>
  <c r="M96" i="100"/>
  <c r="M100" i="100"/>
  <c r="M78" i="100"/>
  <c r="M82" i="100"/>
  <c r="M86" i="100"/>
  <c r="M108" i="100"/>
  <c r="M116" i="100"/>
  <c r="M112" i="100"/>
  <c r="L123" i="100"/>
  <c r="L126" i="100" s="1"/>
  <c r="G123" i="100"/>
  <c r="G126" i="100" s="1"/>
  <c r="M123" i="100" l="1"/>
  <c r="M126" i="100" s="1"/>
  <c r="E23" i="98" l="1"/>
  <c r="D32" i="105" l="1"/>
  <c r="D28" i="5"/>
  <c r="D27" i="5"/>
  <c r="D26" i="5"/>
  <c r="D24" i="5"/>
  <c r="G23" i="5" l="1"/>
  <c r="H22" i="5"/>
  <c r="G22" i="5"/>
  <c r="G18" i="5"/>
  <c r="H14" i="5"/>
  <c r="B23" i="5" l="1"/>
  <c r="B19" i="5"/>
  <c r="B18" i="5"/>
  <c r="B15" i="5"/>
  <c r="F153" i="18" l="1"/>
  <c r="E153" i="18"/>
  <c r="F123" i="18"/>
  <c r="E123" i="18"/>
  <c r="F139" i="18"/>
  <c r="E139" i="18"/>
  <c r="F109" i="18"/>
  <c r="E109" i="18"/>
  <c r="F93" i="18"/>
  <c r="F79" i="18"/>
  <c r="E79" i="18"/>
  <c r="F63" i="18"/>
  <c r="F49" i="18"/>
  <c r="E49" i="18"/>
  <c r="F33" i="18"/>
  <c r="F19" i="18"/>
  <c r="E19" i="18"/>
  <c r="E39" i="12" l="1"/>
  <c r="D39" i="12"/>
  <c r="C39" i="12"/>
  <c r="E36" i="12"/>
  <c r="D36" i="12"/>
  <c r="C36" i="12"/>
  <c r="C35" i="12"/>
  <c r="M486" i="133" l="1"/>
  <c r="G486" i="133"/>
  <c r="D486" i="133"/>
  <c r="K486" i="133" s="1"/>
  <c r="Q486" i="133" s="1"/>
  <c r="S485" i="133"/>
  <c r="M485" i="133"/>
  <c r="G485" i="133"/>
  <c r="D485" i="133"/>
  <c r="K485" i="133" s="1"/>
  <c r="Q485" i="133" s="1"/>
  <c r="S484" i="133"/>
  <c r="M484" i="133"/>
  <c r="L484" i="133"/>
  <c r="G484" i="133"/>
  <c r="S483" i="133"/>
  <c r="M483" i="133"/>
  <c r="L483" i="133"/>
  <c r="G483" i="133"/>
  <c r="S482" i="133"/>
  <c r="M482" i="133"/>
  <c r="L482" i="133"/>
  <c r="G482" i="133"/>
  <c r="S481" i="133"/>
  <c r="M481" i="133"/>
  <c r="L481" i="133"/>
  <c r="G481" i="133"/>
  <c r="I479" i="133"/>
  <c r="O479" i="133" s="1"/>
  <c r="U479" i="133" s="1"/>
  <c r="O478" i="133"/>
  <c r="O486" i="133" s="1"/>
  <c r="I478" i="133"/>
  <c r="S477" i="133"/>
  <c r="R477" i="133"/>
  <c r="H477" i="133"/>
  <c r="D477" i="133"/>
  <c r="S476" i="133"/>
  <c r="S486" i="133" s="1"/>
  <c r="R476" i="133"/>
  <c r="D476" i="133"/>
  <c r="D475" i="133" s="1"/>
  <c r="S475" i="133"/>
  <c r="R475" i="133"/>
  <c r="S474" i="133"/>
  <c r="R474" i="133"/>
  <c r="R484" i="133" s="1"/>
  <c r="S473" i="133"/>
  <c r="R473" i="133"/>
  <c r="R483" i="133" s="1"/>
  <c r="S472" i="133"/>
  <c r="R472" i="133"/>
  <c r="R482" i="133" s="1"/>
  <c r="S471" i="133"/>
  <c r="R471" i="133"/>
  <c r="R481" i="133" s="1"/>
  <c r="U470" i="133"/>
  <c r="S470" i="133"/>
  <c r="R470" i="133"/>
  <c r="O470" i="133"/>
  <c r="D470" i="133"/>
  <c r="Q469" i="133"/>
  <c r="K469" i="133"/>
  <c r="M465" i="133"/>
  <c r="G465" i="133"/>
  <c r="D465" i="133"/>
  <c r="K465" i="133" s="1"/>
  <c r="Q465" i="133" s="1"/>
  <c r="M464" i="133"/>
  <c r="G464" i="133"/>
  <c r="D464" i="133"/>
  <c r="K464" i="133" s="1"/>
  <c r="Q464" i="133" s="1"/>
  <c r="M463" i="133"/>
  <c r="L463" i="133"/>
  <c r="G463" i="133"/>
  <c r="M462" i="133"/>
  <c r="L462" i="133"/>
  <c r="G462" i="133"/>
  <c r="M461" i="133"/>
  <c r="L461" i="133"/>
  <c r="G461" i="133"/>
  <c r="M460" i="133"/>
  <c r="L460" i="133"/>
  <c r="G460" i="133"/>
  <c r="O458" i="133"/>
  <c r="U458" i="133" s="1"/>
  <c r="O457" i="133"/>
  <c r="I457" i="133"/>
  <c r="I465" i="133" s="1"/>
  <c r="S456" i="133"/>
  <c r="R456" i="133"/>
  <c r="K456" i="133"/>
  <c r="K477" i="133" s="1"/>
  <c r="H456" i="133"/>
  <c r="N456" i="133" s="1"/>
  <c r="F456" i="133"/>
  <c r="F477" i="133" s="1"/>
  <c r="D456" i="133"/>
  <c r="S455" i="133"/>
  <c r="S465" i="133" s="1"/>
  <c r="R455" i="133"/>
  <c r="F455" i="133"/>
  <c r="K455" i="133" s="1"/>
  <c r="D455" i="133"/>
  <c r="D454" i="133" s="1"/>
  <c r="S454" i="133"/>
  <c r="S464" i="133" s="1"/>
  <c r="R454" i="133"/>
  <c r="F454" i="133"/>
  <c r="K454" i="133" s="1"/>
  <c r="S453" i="133"/>
  <c r="S463" i="133" s="1"/>
  <c r="R453" i="133"/>
  <c r="R463" i="133" s="1"/>
  <c r="F453" i="133"/>
  <c r="F474" i="133" s="1"/>
  <c r="S452" i="133"/>
  <c r="S462" i="133" s="1"/>
  <c r="R452" i="133"/>
  <c r="R462" i="133" s="1"/>
  <c r="K452" i="133"/>
  <c r="K473" i="133" s="1"/>
  <c r="Q473" i="133" s="1"/>
  <c r="F452" i="133"/>
  <c r="F473" i="133" s="1"/>
  <c r="S451" i="133"/>
  <c r="S461" i="133" s="1"/>
  <c r="R451" i="133"/>
  <c r="R461" i="133" s="1"/>
  <c r="F451" i="133"/>
  <c r="K451" i="133" s="1"/>
  <c r="S450" i="133"/>
  <c r="R450" i="133"/>
  <c r="R460" i="133" s="1"/>
  <c r="F450" i="133"/>
  <c r="K450" i="133" s="1"/>
  <c r="U449" i="133"/>
  <c r="S449" i="133"/>
  <c r="R449" i="133"/>
  <c r="D449" i="133"/>
  <c r="Q448" i="133"/>
  <c r="B446" i="133"/>
  <c r="S443" i="133"/>
  <c r="M443" i="133"/>
  <c r="K443" i="133"/>
  <c r="Q443" i="133" s="1"/>
  <c r="I443" i="133"/>
  <c r="G443" i="133"/>
  <c r="D443" i="133"/>
  <c r="M442" i="133"/>
  <c r="G442" i="133"/>
  <c r="S441" i="133"/>
  <c r="R441" i="133"/>
  <c r="M441" i="133"/>
  <c r="L441" i="133"/>
  <c r="G441" i="133"/>
  <c r="M440" i="133"/>
  <c r="L440" i="133"/>
  <c r="G440" i="133"/>
  <c r="M439" i="133"/>
  <c r="L439" i="133"/>
  <c r="G439" i="133"/>
  <c r="S438" i="133"/>
  <c r="M438" i="133"/>
  <c r="L438" i="133"/>
  <c r="G438" i="133"/>
  <c r="I436" i="133"/>
  <c r="O436" i="133" s="1"/>
  <c r="U436" i="133" s="1"/>
  <c r="O435" i="133"/>
  <c r="I435" i="133"/>
  <c r="S434" i="133"/>
  <c r="R434" i="133"/>
  <c r="H434" i="133"/>
  <c r="D434" i="133"/>
  <c r="S433" i="133"/>
  <c r="R433" i="133"/>
  <c r="D433" i="133"/>
  <c r="D442" i="133" s="1"/>
  <c r="K442" i="133" s="1"/>
  <c r="Q442" i="133" s="1"/>
  <c r="S432" i="133"/>
  <c r="S442" i="133" s="1"/>
  <c r="R432" i="133"/>
  <c r="D432" i="133"/>
  <c r="D441" i="133" s="1"/>
  <c r="K441" i="133" s="1"/>
  <c r="Q441" i="133" s="1"/>
  <c r="S431" i="133"/>
  <c r="R431" i="133"/>
  <c r="S430" i="133"/>
  <c r="S440" i="133" s="1"/>
  <c r="R430" i="133"/>
  <c r="R440" i="133" s="1"/>
  <c r="S429" i="133"/>
  <c r="S439" i="133" s="1"/>
  <c r="R429" i="133"/>
  <c r="R439" i="133" s="1"/>
  <c r="S428" i="133"/>
  <c r="R428" i="133"/>
  <c r="R438" i="133" s="1"/>
  <c r="U427" i="133"/>
  <c r="S427" i="133"/>
  <c r="R427" i="133"/>
  <c r="O427" i="133"/>
  <c r="D427" i="133"/>
  <c r="Q426" i="133"/>
  <c r="K426" i="133"/>
  <c r="M422" i="133"/>
  <c r="L422" i="133"/>
  <c r="K422" i="133"/>
  <c r="Q422" i="133" s="1"/>
  <c r="I422" i="133"/>
  <c r="G422" i="133"/>
  <c r="D422" i="133"/>
  <c r="M421" i="133"/>
  <c r="G421" i="133"/>
  <c r="M420" i="133"/>
  <c r="L420" i="133"/>
  <c r="G420" i="133"/>
  <c r="M419" i="133"/>
  <c r="L419" i="133"/>
  <c r="G419" i="133"/>
  <c r="M418" i="133"/>
  <c r="L418" i="133"/>
  <c r="G418" i="133"/>
  <c r="M417" i="133"/>
  <c r="L417" i="133"/>
  <c r="G417" i="133"/>
  <c r="O415" i="133"/>
  <c r="U415" i="133" s="1"/>
  <c r="O414" i="133"/>
  <c r="I414" i="133"/>
  <c r="S413" i="133"/>
  <c r="R413" i="133"/>
  <c r="Q413" i="133"/>
  <c r="R422" i="133" s="1"/>
  <c r="K413" i="133"/>
  <c r="K434" i="133" s="1"/>
  <c r="H413" i="133"/>
  <c r="N413" i="133" s="1"/>
  <c r="N434" i="133" s="1"/>
  <c r="T434" i="133" s="1"/>
  <c r="U434" i="133" s="1"/>
  <c r="F413" i="133"/>
  <c r="F434" i="133" s="1"/>
  <c r="D413" i="133"/>
  <c r="S412" i="133"/>
  <c r="S422" i="133" s="1"/>
  <c r="R412" i="133"/>
  <c r="F412" i="133"/>
  <c r="F433" i="133" s="1"/>
  <c r="D412" i="133"/>
  <c r="D421" i="133" s="1"/>
  <c r="K421" i="133" s="1"/>
  <c r="Q421" i="133" s="1"/>
  <c r="S411" i="133"/>
  <c r="S421" i="133" s="1"/>
  <c r="R411" i="133"/>
  <c r="F411" i="133"/>
  <c r="K411" i="133" s="1"/>
  <c r="D411" i="133"/>
  <c r="D420" i="133" s="1"/>
  <c r="K420" i="133" s="1"/>
  <c r="Q420" i="133" s="1"/>
  <c r="S410" i="133"/>
  <c r="S420" i="133" s="1"/>
  <c r="R410" i="133"/>
  <c r="R420" i="133" s="1"/>
  <c r="K410" i="133"/>
  <c r="Q410" i="133" s="1"/>
  <c r="F410" i="133"/>
  <c r="F431" i="133" s="1"/>
  <c r="S409" i="133"/>
  <c r="S419" i="133" s="1"/>
  <c r="R409" i="133"/>
  <c r="R419" i="133" s="1"/>
  <c r="Q409" i="133"/>
  <c r="K409" i="133"/>
  <c r="K430" i="133" s="1"/>
  <c r="Q430" i="133" s="1"/>
  <c r="F409" i="133"/>
  <c r="F430" i="133" s="1"/>
  <c r="S408" i="133"/>
  <c r="S418" i="133" s="1"/>
  <c r="R408" i="133"/>
  <c r="R418" i="133" s="1"/>
  <c r="F408" i="133"/>
  <c r="K408" i="133" s="1"/>
  <c r="S407" i="133"/>
  <c r="R407" i="133"/>
  <c r="R417" i="133" s="1"/>
  <c r="F407" i="133"/>
  <c r="K407" i="133" s="1"/>
  <c r="U406" i="133"/>
  <c r="S406" i="133"/>
  <c r="R406" i="133"/>
  <c r="D406" i="133"/>
  <c r="Q405" i="133"/>
  <c r="B403" i="133"/>
  <c r="M400" i="133"/>
  <c r="G400" i="133"/>
  <c r="S399" i="133"/>
  <c r="M399" i="133"/>
  <c r="G399" i="133"/>
  <c r="S398" i="133"/>
  <c r="M398" i="133"/>
  <c r="L398" i="133"/>
  <c r="G398" i="133"/>
  <c r="M397" i="133"/>
  <c r="L397" i="133"/>
  <c r="G397" i="133"/>
  <c r="S396" i="133"/>
  <c r="M396" i="133"/>
  <c r="L396" i="133"/>
  <c r="G396" i="133"/>
  <c r="S395" i="133"/>
  <c r="M395" i="133"/>
  <c r="L395" i="133"/>
  <c r="G395" i="133"/>
  <c r="O393" i="133"/>
  <c r="U393" i="133" s="1"/>
  <c r="I393" i="133"/>
  <c r="O392" i="133"/>
  <c r="O400" i="133" s="1"/>
  <c r="I392" i="133"/>
  <c r="I400" i="133" s="1"/>
  <c r="S391" i="133"/>
  <c r="R391" i="133"/>
  <c r="H391" i="133"/>
  <c r="D391" i="133"/>
  <c r="D400" i="133" s="1"/>
  <c r="K400" i="133" s="1"/>
  <c r="Q400" i="133" s="1"/>
  <c r="S390" i="133"/>
  <c r="S400" i="133" s="1"/>
  <c r="R390" i="133"/>
  <c r="D390" i="133"/>
  <c r="D389" i="133" s="1"/>
  <c r="S389" i="133"/>
  <c r="R389" i="133"/>
  <c r="S388" i="133"/>
  <c r="R388" i="133"/>
  <c r="R398" i="133" s="1"/>
  <c r="S387" i="133"/>
  <c r="S397" i="133" s="1"/>
  <c r="R387" i="133"/>
  <c r="R397" i="133" s="1"/>
  <c r="S386" i="133"/>
  <c r="R386" i="133"/>
  <c r="R396" i="133" s="1"/>
  <c r="S385" i="133"/>
  <c r="R385" i="133"/>
  <c r="R395" i="133" s="1"/>
  <c r="S384" i="133"/>
  <c r="R384" i="133"/>
  <c r="O384" i="133"/>
  <c r="U384" i="133" s="1"/>
  <c r="D384" i="133"/>
  <c r="Q383" i="133"/>
  <c r="K383" i="133"/>
  <c r="R379" i="133"/>
  <c r="O379" i="133"/>
  <c r="M379" i="133"/>
  <c r="L379" i="133"/>
  <c r="G379" i="133"/>
  <c r="D379" i="133"/>
  <c r="K379" i="133" s="1"/>
  <c r="Q379" i="133" s="1"/>
  <c r="M378" i="133"/>
  <c r="G378" i="133"/>
  <c r="M377" i="133"/>
  <c r="L377" i="133"/>
  <c r="G377" i="133"/>
  <c r="M376" i="133"/>
  <c r="L376" i="133"/>
  <c r="G376" i="133"/>
  <c r="R375" i="133"/>
  <c r="M375" i="133"/>
  <c r="L375" i="133"/>
  <c r="G375" i="133"/>
  <c r="M374" i="133"/>
  <c r="L374" i="133"/>
  <c r="G374" i="133"/>
  <c r="U372" i="133"/>
  <c r="O372" i="133"/>
  <c r="O371" i="133"/>
  <c r="I371" i="133"/>
  <c r="I379" i="133" s="1"/>
  <c r="S370" i="133"/>
  <c r="R370" i="133"/>
  <c r="Q370" i="133"/>
  <c r="K370" i="133"/>
  <c r="K391" i="133" s="1"/>
  <c r="H370" i="133"/>
  <c r="N370" i="133" s="1"/>
  <c r="F370" i="133"/>
  <c r="F391" i="133" s="1"/>
  <c r="D370" i="133"/>
  <c r="S369" i="133"/>
  <c r="S379" i="133" s="1"/>
  <c r="R369" i="133"/>
  <c r="F369" i="133"/>
  <c r="K369" i="133" s="1"/>
  <c r="D369" i="133"/>
  <c r="D368" i="133" s="1"/>
  <c r="S368" i="133"/>
  <c r="S378" i="133" s="1"/>
  <c r="R368" i="133"/>
  <c r="K368" i="133"/>
  <c r="Q368" i="133" s="1"/>
  <c r="F368" i="133"/>
  <c r="F389" i="133" s="1"/>
  <c r="S367" i="133"/>
  <c r="S377" i="133" s="1"/>
  <c r="R367" i="133"/>
  <c r="R377" i="133" s="1"/>
  <c r="Q367" i="133"/>
  <c r="K367" i="133"/>
  <c r="K388" i="133" s="1"/>
  <c r="Q388" i="133" s="1"/>
  <c r="F367" i="133"/>
  <c r="F388" i="133" s="1"/>
  <c r="S366" i="133"/>
  <c r="S376" i="133" s="1"/>
  <c r="R366" i="133"/>
  <c r="R376" i="133" s="1"/>
  <c r="Q366" i="133"/>
  <c r="K366" i="133"/>
  <c r="K387" i="133" s="1"/>
  <c r="Q387" i="133" s="1"/>
  <c r="F366" i="133"/>
  <c r="F387" i="133" s="1"/>
  <c r="S365" i="133"/>
  <c r="S375" i="133" s="1"/>
  <c r="R365" i="133"/>
  <c r="F365" i="133"/>
  <c r="F386" i="133" s="1"/>
  <c r="S364" i="133"/>
  <c r="R364" i="133"/>
  <c r="R374" i="133" s="1"/>
  <c r="K364" i="133"/>
  <c r="K385" i="133" s="1"/>
  <c r="Q385" i="133" s="1"/>
  <c r="F364" i="133"/>
  <c r="F385" i="133" s="1"/>
  <c r="U363" i="133"/>
  <c r="S363" i="133"/>
  <c r="R363" i="133"/>
  <c r="D363" i="133"/>
  <c r="Q362" i="133"/>
  <c r="B360" i="133"/>
  <c r="M357" i="133"/>
  <c r="G357" i="133"/>
  <c r="M356" i="133"/>
  <c r="G356" i="133"/>
  <c r="M355" i="133"/>
  <c r="L355" i="133"/>
  <c r="G355" i="133"/>
  <c r="M354" i="133"/>
  <c r="L354" i="133"/>
  <c r="G354" i="133"/>
  <c r="M353" i="133"/>
  <c r="L353" i="133"/>
  <c r="G353" i="133"/>
  <c r="M352" i="133"/>
  <c r="L352" i="133"/>
  <c r="G352" i="133"/>
  <c r="I350" i="133"/>
  <c r="O350" i="133" s="1"/>
  <c r="U350" i="133" s="1"/>
  <c r="O349" i="133"/>
  <c r="O358" i="133" s="1"/>
  <c r="I349" i="133"/>
  <c r="I358" i="133" s="1"/>
  <c r="D348" i="133"/>
  <c r="D357" i="133" s="1"/>
  <c r="K357" i="133" s="1"/>
  <c r="Q357" i="133" s="1"/>
  <c r="D347" i="133"/>
  <c r="D346" i="133" s="1"/>
  <c r="S355" i="133"/>
  <c r="R354" i="133"/>
  <c r="S353" i="133"/>
  <c r="S358" i="133"/>
  <c r="R358" i="133"/>
  <c r="O341" i="133"/>
  <c r="D341" i="133"/>
  <c r="K340" i="133"/>
  <c r="M336" i="133"/>
  <c r="G336" i="133"/>
  <c r="M335" i="133"/>
  <c r="G335" i="133"/>
  <c r="M334" i="133"/>
  <c r="L334" i="133"/>
  <c r="G334" i="133"/>
  <c r="M333" i="133"/>
  <c r="L333" i="133"/>
  <c r="G333" i="133"/>
  <c r="M332" i="133"/>
  <c r="L332" i="133"/>
  <c r="G332" i="133"/>
  <c r="M331" i="133"/>
  <c r="L331" i="133"/>
  <c r="G331" i="133"/>
  <c r="O329" i="133"/>
  <c r="U329" i="133" s="1"/>
  <c r="O328" i="133"/>
  <c r="O337" i="133" s="1"/>
  <c r="I328" i="133"/>
  <c r="I337" i="133" s="1"/>
  <c r="S327" i="133"/>
  <c r="R327" i="133"/>
  <c r="F327" i="133"/>
  <c r="K327" i="133" s="1"/>
  <c r="D327" i="133"/>
  <c r="D336" i="133" s="1"/>
  <c r="K336" i="133" s="1"/>
  <c r="Q336" i="133" s="1"/>
  <c r="S326" i="133"/>
  <c r="S336" i="133" s="1"/>
  <c r="R326" i="133"/>
  <c r="F326" i="133"/>
  <c r="F347" i="133" s="1"/>
  <c r="D326" i="133"/>
  <c r="D325" i="133" s="1"/>
  <c r="S325" i="133"/>
  <c r="S335" i="133" s="1"/>
  <c r="R325" i="133"/>
  <c r="F325" i="133"/>
  <c r="F346" i="133" s="1"/>
  <c r="S324" i="133"/>
  <c r="R324" i="133"/>
  <c r="R334" i="133" s="1"/>
  <c r="K324" i="133"/>
  <c r="Q324" i="133" s="1"/>
  <c r="F324" i="133"/>
  <c r="F345" i="133" s="1"/>
  <c r="S323" i="133"/>
  <c r="S333" i="133" s="1"/>
  <c r="R323" i="133"/>
  <c r="R333" i="133" s="1"/>
  <c r="F323" i="133"/>
  <c r="K323" i="133" s="1"/>
  <c r="S322" i="133"/>
  <c r="R322" i="133"/>
  <c r="F322" i="133"/>
  <c r="F343" i="133" s="1"/>
  <c r="S321" i="133"/>
  <c r="R321" i="133"/>
  <c r="F321" i="133"/>
  <c r="K321" i="133" s="1"/>
  <c r="U320" i="133"/>
  <c r="S320" i="133"/>
  <c r="R320" i="133"/>
  <c r="D320" i="133"/>
  <c r="Q319" i="133"/>
  <c r="B317" i="133"/>
  <c r="B274" i="133"/>
  <c r="M314" i="133"/>
  <c r="I314" i="133"/>
  <c r="G314" i="133"/>
  <c r="M313" i="133"/>
  <c r="G313" i="133"/>
  <c r="M312" i="133"/>
  <c r="L312" i="133"/>
  <c r="G312" i="133"/>
  <c r="M311" i="133"/>
  <c r="L311" i="133"/>
  <c r="G311" i="133"/>
  <c r="M310" i="133"/>
  <c r="L310" i="133"/>
  <c r="G310" i="133"/>
  <c r="M309" i="133"/>
  <c r="L309" i="133"/>
  <c r="G309" i="133"/>
  <c r="I307" i="133"/>
  <c r="O307" i="133" s="1"/>
  <c r="U307" i="133" s="1"/>
  <c r="O306" i="133"/>
  <c r="O315" i="133" s="1"/>
  <c r="I306" i="133"/>
  <c r="I315" i="133" s="1"/>
  <c r="D305" i="133"/>
  <c r="D314" i="133" s="1"/>
  <c r="K314" i="133" s="1"/>
  <c r="Q314" i="133" s="1"/>
  <c r="D304" i="133"/>
  <c r="D303" i="133" s="1"/>
  <c r="S312" i="133"/>
  <c r="R312" i="133"/>
  <c r="S310" i="133"/>
  <c r="R310" i="133"/>
  <c r="R315" i="133"/>
  <c r="O298" i="133"/>
  <c r="D298" i="133"/>
  <c r="K297" i="133"/>
  <c r="M293" i="133"/>
  <c r="L293" i="133"/>
  <c r="G293" i="133"/>
  <c r="M292" i="133"/>
  <c r="G292" i="133"/>
  <c r="M291" i="133"/>
  <c r="L291" i="133"/>
  <c r="G291" i="133"/>
  <c r="M290" i="133"/>
  <c r="L290" i="133"/>
  <c r="G290" i="133"/>
  <c r="M289" i="133"/>
  <c r="L289" i="133"/>
  <c r="G289" i="133"/>
  <c r="M288" i="133"/>
  <c r="L288" i="133"/>
  <c r="G288" i="133"/>
  <c r="O286" i="133"/>
  <c r="U286" i="133" s="1"/>
  <c r="O285" i="133"/>
  <c r="O294" i="133" s="1"/>
  <c r="I285" i="133"/>
  <c r="I294" i="133" s="1"/>
  <c r="S284" i="133"/>
  <c r="R284" i="133"/>
  <c r="Q284" i="133"/>
  <c r="R293" i="133" s="1"/>
  <c r="K284" i="133"/>
  <c r="K305" i="133" s="1"/>
  <c r="F284" i="133"/>
  <c r="F305" i="133" s="1"/>
  <c r="D284" i="133"/>
  <c r="D293" i="133" s="1"/>
  <c r="K293" i="133" s="1"/>
  <c r="Q293" i="133" s="1"/>
  <c r="S283" i="133"/>
  <c r="R283" i="133"/>
  <c r="F283" i="133"/>
  <c r="F304" i="133" s="1"/>
  <c r="D283" i="133"/>
  <c r="D282" i="133" s="1"/>
  <c r="S282" i="133"/>
  <c r="S292" i="133" s="1"/>
  <c r="R282" i="133"/>
  <c r="F282" i="133"/>
  <c r="F303" i="133" s="1"/>
  <c r="S281" i="133"/>
  <c r="R281" i="133"/>
  <c r="R291" i="133" s="1"/>
  <c r="K281" i="133"/>
  <c r="K302" i="133" s="1"/>
  <c r="F281" i="133"/>
  <c r="F302" i="133" s="1"/>
  <c r="S280" i="133"/>
  <c r="S290" i="133" s="1"/>
  <c r="R280" i="133"/>
  <c r="R290" i="133" s="1"/>
  <c r="Q280" i="133"/>
  <c r="K280" i="133"/>
  <c r="K301" i="133" s="1"/>
  <c r="F280" i="133"/>
  <c r="F301" i="133" s="1"/>
  <c r="S279" i="133"/>
  <c r="R279" i="133"/>
  <c r="F279" i="133"/>
  <c r="F300" i="133" s="1"/>
  <c r="S278" i="133"/>
  <c r="R278" i="133"/>
  <c r="F278" i="133"/>
  <c r="F299" i="133" s="1"/>
  <c r="U277" i="133"/>
  <c r="S277" i="133"/>
  <c r="R277" i="133"/>
  <c r="D277" i="133"/>
  <c r="Q276" i="133"/>
  <c r="O271" i="133"/>
  <c r="M271" i="133"/>
  <c r="G271" i="133"/>
  <c r="D271" i="133"/>
  <c r="K271" i="133" s="1"/>
  <c r="Q271" i="133" s="1"/>
  <c r="M270" i="133"/>
  <c r="G270" i="133"/>
  <c r="R269" i="133"/>
  <c r="M269" i="133"/>
  <c r="L269" i="133"/>
  <c r="G269" i="133"/>
  <c r="M268" i="133"/>
  <c r="L268" i="133"/>
  <c r="G268" i="133"/>
  <c r="M267" i="133"/>
  <c r="L267" i="133"/>
  <c r="G267" i="133"/>
  <c r="M266" i="133"/>
  <c r="L266" i="133"/>
  <c r="G266" i="133"/>
  <c r="I264" i="133"/>
  <c r="O264" i="133" s="1"/>
  <c r="U264" i="133" s="1"/>
  <c r="O263" i="133"/>
  <c r="I263" i="133"/>
  <c r="S262" i="133"/>
  <c r="R262" i="133"/>
  <c r="D262" i="133"/>
  <c r="D261" i="133" s="1"/>
  <c r="S261" i="133"/>
  <c r="S271" i="133" s="1"/>
  <c r="R261" i="133"/>
  <c r="S260" i="133"/>
  <c r="S270" i="133" s="1"/>
  <c r="R260" i="133"/>
  <c r="S259" i="133"/>
  <c r="S269" i="133" s="1"/>
  <c r="R259" i="133"/>
  <c r="S258" i="133"/>
  <c r="S268" i="133" s="1"/>
  <c r="R258" i="133"/>
  <c r="R268" i="133" s="1"/>
  <c r="S257" i="133"/>
  <c r="S267" i="133" s="1"/>
  <c r="R257" i="133"/>
  <c r="R267" i="133" s="1"/>
  <c r="S256" i="133"/>
  <c r="S272" i="133" s="1"/>
  <c r="R256" i="133"/>
  <c r="R272" i="133" s="1"/>
  <c r="U255" i="133"/>
  <c r="S255" i="133"/>
  <c r="R255" i="133"/>
  <c r="O255" i="133"/>
  <c r="D255" i="133"/>
  <c r="Q254" i="133"/>
  <c r="K254" i="133"/>
  <c r="M250" i="133"/>
  <c r="G250" i="133"/>
  <c r="D250" i="133"/>
  <c r="K250" i="133" s="1"/>
  <c r="Q250" i="133" s="1"/>
  <c r="M249" i="133"/>
  <c r="G249" i="133"/>
  <c r="D249" i="133"/>
  <c r="K249" i="133" s="1"/>
  <c r="Q249" i="133" s="1"/>
  <c r="M248" i="133"/>
  <c r="L248" i="133"/>
  <c r="G248" i="133"/>
  <c r="M247" i="133"/>
  <c r="L247" i="133"/>
  <c r="G247" i="133"/>
  <c r="M246" i="133"/>
  <c r="L246" i="133"/>
  <c r="G246" i="133"/>
  <c r="M245" i="133"/>
  <c r="L245" i="133"/>
  <c r="G245" i="133"/>
  <c r="O243" i="133"/>
  <c r="U243" i="133" s="1"/>
  <c r="O242" i="133"/>
  <c r="I242" i="133"/>
  <c r="S241" i="133"/>
  <c r="R241" i="133"/>
  <c r="F241" i="133"/>
  <c r="K241" i="133" s="1"/>
  <c r="D241" i="133"/>
  <c r="S240" i="133"/>
  <c r="S250" i="133" s="1"/>
  <c r="R240" i="133"/>
  <c r="K240" i="133"/>
  <c r="K261" i="133" s="1"/>
  <c r="F240" i="133"/>
  <c r="F261" i="133" s="1"/>
  <c r="D240" i="133"/>
  <c r="D239" i="133" s="1"/>
  <c r="S239" i="133"/>
  <c r="R239" i="133"/>
  <c r="F239" i="133"/>
  <c r="F260" i="133" s="1"/>
  <c r="S238" i="133"/>
  <c r="R238" i="133"/>
  <c r="R248" i="133" s="1"/>
  <c r="F238" i="133"/>
  <c r="F259" i="133" s="1"/>
  <c r="S237" i="133"/>
  <c r="R237" i="133"/>
  <c r="F237" i="133"/>
  <c r="F258" i="133" s="1"/>
  <c r="S236" i="133"/>
  <c r="R236" i="133"/>
  <c r="K236" i="133"/>
  <c r="Q236" i="133" s="1"/>
  <c r="F236" i="133"/>
  <c r="F257" i="133" s="1"/>
  <c r="S235" i="133"/>
  <c r="R235" i="133"/>
  <c r="F235" i="133"/>
  <c r="K235" i="133" s="1"/>
  <c r="U234" i="133"/>
  <c r="S234" i="133"/>
  <c r="R234" i="133"/>
  <c r="D234" i="133"/>
  <c r="Q233" i="133"/>
  <c r="M228" i="133"/>
  <c r="G228" i="133"/>
  <c r="M227" i="133"/>
  <c r="G227" i="133"/>
  <c r="M226" i="133"/>
  <c r="L226" i="133"/>
  <c r="G226" i="133"/>
  <c r="M225" i="133"/>
  <c r="L225" i="133"/>
  <c r="G225" i="133"/>
  <c r="M224" i="133"/>
  <c r="L224" i="133"/>
  <c r="G224" i="133"/>
  <c r="M223" i="133"/>
  <c r="L223" i="133"/>
  <c r="G223" i="133"/>
  <c r="O221" i="133"/>
  <c r="U221" i="133" s="1"/>
  <c r="I221" i="133"/>
  <c r="O220" i="133"/>
  <c r="I220" i="133"/>
  <c r="D219" i="133"/>
  <c r="D228" i="133" s="1"/>
  <c r="K228" i="133" s="1"/>
  <c r="Q228" i="133" s="1"/>
  <c r="D218" i="133"/>
  <c r="D217" i="133" s="1"/>
  <c r="S227" i="133"/>
  <c r="R226" i="133"/>
  <c r="S225" i="133"/>
  <c r="R224" i="133"/>
  <c r="O212" i="133"/>
  <c r="D212" i="133"/>
  <c r="K211" i="133"/>
  <c r="R207" i="133"/>
  <c r="M207" i="133"/>
  <c r="L207" i="133"/>
  <c r="G207" i="133"/>
  <c r="D207" i="133"/>
  <c r="K207" i="133" s="1"/>
  <c r="Q207" i="133" s="1"/>
  <c r="M206" i="133"/>
  <c r="G206" i="133"/>
  <c r="M205" i="133"/>
  <c r="L205" i="133"/>
  <c r="G205" i="133"/>
  <c r="M204" i="133"/>
  <c r="L204" i="133"/>
  <c r="G204" i="133"/>
  <c r="M203" i="133"/>
  <c r="L203" i="133"/>
  <c r="G203" i="133"/>
  <c r="M202" i="133"/>
  <c r="L202" i="133"/>
  <c r="G202" i="133"/>
  <c r="U200" i="133"/>
  <c r="O200" i="133"/>
  <c r="O199" i="133"/>
  <c r="O208" i="133" s="1"/>
  <c r="I199" i="133"/>
  <c r="S198" i="133"/>
  <c r="R198" i="133"/>
  <c r="Q198" i="133"/>
  <c r="K198" i="133"/>
  <c r="K219" i="133" s="1"/>
  <c r="F198" i="133"/>
  <c r="F219" i="133" s="1"/>
  <c r="D198" i="133"/>
  <c r="S197" i="133"/>
  <c r="S207" i="133" s="1"/>
  <c r="R197" i="133"/>
  <c r="F197" i="133"/>
  <c r="K197" i="133" s="1"/>
  <c r="D197" i="133"/>
  <c r="D196" i="133" s="1"/>
  <c r="S196" i="133"/>
  <c r="S206" i="133" s="1"/>
  <c r="R196" i="133"/>
  <c r="K196" i="133"/>
  <c r="Q196" i="133" s="1"/>
  <c r="F196" i="133"/>
  <c r="F217" i="133" s="1"/>
  <c r="S195" i="133"/>
  <c r="S205" i="133" s="1"/>
  <c r="R195" i="133"/>
  <c r="R205" i="133" s="1"/>
  <c r="Q195" i="133"/>
  <c r="K195" i="133"/>
  <c r="K216" i="133" s="1"/>
  <c r="F195" i="133"/>
  <c r="F216" i="133" s="1"/>
  <c r="S194" i="133"/>
  <c r="R194" i="133"/>
  <c r="R204" i="133" s="1"/>
  <c r="Q194" i="133"/>
  <c r="K194" i="133"/>
  <c r="K215" i="133" s="1"/>
  <c r="F194" i="133"/>
  <c r="F215" i="133" s="1"/>
  <c r="S193" i="133"/>
  <c r="R193" i="133"/>
  <c r="F193" i="133"/>
  <c r="K193" i="133" s="1"/>
  <c r="S192" i="133"/>
  <c r="R192" i="133"/>
  <c r="K192" i="133"/>
  <c r="Q192" i="133" s="1"/>
  <c r="F192" i="133"/>
  <c r="F213" i="133" s="1"/>
  <c r="U191" i="133"/>
  <c r="S191" i="133"/>
  <c r="R191" i="133"/>
  <c r="D191" i="133"/>
  <c r="Q190" i="133"/>
  <c r="M185" i="133"/>
  <c r="G185" i="133"/>
  <c r="M184" i="133"/>
  <c r="G184" i="133"/>
  <c r="M183" i="133"/>
  <c r="L183" i="133"/>
  <c r="G183" i="133"/>
  <c r="M182" i="133"/>
  <c r="L182" i="133"/>
  <c r="G182" i="133"/>
  <c r="M181" i="133"/>
  <c r="L181" i="133"/>
  <c r="G181" i="133"/>
  <c r="M180" i="133"/>
  <c r="L180" i="133"/>
  <c r="G180" i="133"/>
  <c r="I178" i="133"/>
  <c r="O178" i="133" s="1"/>
  <c r="U178" i="133" s="1"/>
  <c r="O177" i="133"/>
  <c r="O186" i="133" s="1"/>
  <c r="I177" i="133"/>
  <c r="I186" i="133" s="1"/>
  <c r="Q176" i="133"/>
  <c r="R185" i="133" s="1"/>
  <c r="D176" i="133"/>
  <c r="D185" i="133" s="1"/>
  <c r="K185" i="133" s="1"/>
  <c r="Q185" i="133" s="1"/>
  <c r="S185" i="133"/>
  <c r="D175" i="133"/>
  <c r="D174" i="133" s="1"/>
  <c r="S184" i="133"/>
  <c r="F174" i="133"/>
  <c r="S183" i="133"/>
  <c r="K173" i="133"/>
  <c r="Q173" i="133" s="1"/>
  <c r="R182" i="133"/>
  <c r="S181" i="133"/>
  <c r="R181" i="133"/>
  <c r="F170" i="133"/>
  <c r="S169" i="133"/>
  <c r="R169" i="133"/>
  <c r="O169" i="133"/>
  <c r="U169" i="133" s="1"/>
  <c r="D169" i="133"/>
  <c r="Q168" i="133"/>
  <c r="K168" i="133"/>
  <c r="M164" i="133"/>
  <c r="L164" i="133"/>
  <c r="G164" i="133"/>
  <c r="M163" i="133"/>
  <c r="G163" i="133"/>
  <c r="M162" i="133"/>
  <c r="L162" i="133"/>
  <c r="G162" i="133"/>
  <c r="M161" i="133"/>
  <c r="L161" i="133"/>
  <c r="G161" i="133"/>
  <c r="M160" i="133"/>
  <c r="L160" i="133"/>
  <c r="G160" i="133"/>
  <c r="M159" i="133"/>
  <c r="L159" i="133"/>
  <c r="G159" i="133"/>
  <c r="O157" i="133"/>
  <c r="U157" i="133" s="1"/>
  <c r="O156" i="133"/>
  <c r="O165" i="133" s="1"/>
  <c r="I156" i="133"/>
  <c r="I165" i="133" s="1"/>
  <c r="S155" i="133"/>
  <c r="R155" i="133"/>
  <c r="Q155" i="133"/>
  <c r="R164" i="133" s="1"/>
  <c r="K155" i="133"/>
  <c r="K176" i="133" s="1"/>
  <c r="L185" i="133" s="1"/>
  <c r="F155" i="133"/>
  <c r="F176" i="133" s="1"/>
  <c r="D155" i="133"/>
  <c r="D164" i="133" s="1"/>
  <c r="K164" i="133" s="1"/>
  <c r="Q164" i="133" s="1"/>
  <c r="S154" i="133"/>
  <c r="R154" i="133"/>
  <c r="F154" i="133"/>
  <c r="K154" i="133" s="1"/>
  <c r="L163" i="133" s="1"/>
  <c r="D154" i="133"/>
  <c r="S153" i="133"/>
  <c r="S163" i="133" s="1"/>
  <c r="R153" i="133"/>
  <c r="F153" i="133"/>
  <c r="K153" i="133" s="1"/>
  <c r="S152" i="133"/>
  <c r="R152" i="133"/>
  <c r="K152" i="133"/>
  <c r="Q152" i="133" s="1"/>
  <c r="F152" i="133"/>
  <c r="F173" i="133" s="1"/>
  <c r="S151" i="133"/>
  <c r="S161" i="133" s="1"/>
  <c r="R151" i="133"/>
  <c r="R161" i="133" s="1"/>
  <c r="Q151" i="133"/>
  <c r="K151" i="133"/>
  <c r="K172" i="133" s="1"/>
  <c r="Q172" i="133" s="1"/>
  <c r="F151" i="133"/>
  <c r="F172" i="133" s="1"/>
  <c r="S150" i="133"/>
  <c r="R150" i="133"/>
  <c r="F150" i="133"/>
  <c r="F171" i="133" s="1"/>
  <c r="S149" i="133"/>
  <c r="R149" i="133"/>
  <c r="F149" i="133"/>
  <c r="K149" i="133" s="1"/>
  <c r="U148" i="133"/>
  <c r="S148" i="133"/>
  <c r="R148" i="133"/>
  <c r="D148" i="133"/>
  <c r="Q147" i="133"/>
  <c r="F112" i="133"/>
  <c r="K112" i="133" s="1"/>
  <c r="F111" i="133"/>
  <c r="F110" i="133"/>
  <c r="F109" i="133"/>
  <c r="F108" i="133"/>
  <c r="F107" i="133"/>
  <c r="F106" i="133"/>
  <c r="K106" i="133" s="1"/>
  <c r="M142" i="133"/>
  <c r="I142" i="133"/>
  <c r="G142" i="133"/>
  <c r="M141" i="133"/>
  <c r="G141" i="133"/>
  <c r="M140" i="133"/>
  <c r="L140" i="133"/>
  <c r="G140" i="133"/>
  <c r="M139" i="133"/>
  <c r="L139" i="133"/>
  <c r="G139" i="133"/>
  <c r="M138" i="133"/>
  <c r="L138" i="133"/>
  <c r="G138" i="133"/>
  <c r="M137" i="133"/>
  <c r="L137" i="133"/>
  <c r="G137" i="133"/>
  <c r="I135" i="133"/>
  <c r="O135" i="133" s="1"/>
  <c r="U135" i="133" s="1"/>
  <c r="O134" i="133"/>
  <c r="I134" i="133"/>
  <c r="I143" i="133" s="1"/>
  <c r="S133" i="133"/>
  <c r="R133" i="133"/>
  <c r="D133" i="133"/>
  <c r="D142" i="133" s="1"/>
  <c r="K142" i="133" s="1"/>
  <c r="Q142" i="133" s="1"/>
  <c r="S132" i="133"/>
  <c r="S142" i="133" s="1"/>
  <c r="R132" i="133"/>
  <c r="D132" i="133"/>
  <c r="D131" i="133" s="1"/>
  <c r="S131" i="133"/>
  <c r="S141" i="133" s="1"/>
  <c r="R131" i="133"/>
  <c r="S130" i="133"/>
  <c r="S140" i="133" s="1"/>
  <c r="R130" i="133"/>
  <c r="R140" i="133" s="1"/>
  <c r="S129" i="133"/>
  <c r="S139" i="133" s="1"/>
  <c r="R129" i="133"/>
  <c r="R139" i="133" s="1"/>
  <c r="S128" i="133"/>
  <c r="S138" i="133" s="1"/>
  <c r="R128" i="133"/>
  <c r="R138" i="133" s="1"/>
  <c r="S127" i="133"/>
  <c r="S143" i="133" s="1"/>
  <c r="R127" i="133"/>
  <c r="R143" i="133" s="1"/>
  <c r="U126" i="133"/>
  <c r="S126" i="133"/>
  <c r="R126" i="133"/>
  <c r="O126" i="133"/>
  <c r="D126" i="133"/>
  <c r="Q125" i="133"/>
  <c r="K125" i="133"/>
  <c r="M121" i="133"/>
  <c r="G121" i="133"/>
  <c r="M120" i="133"/>
  <c r="G120" i="133"/>
  <c r="M119" i="133"/>
  <c r="L119" i="133"/>
  <c r="G119" i="133"/>
  <c r="M118" i="133"/>
  <c r="L118" i="133"/>
  <c r="G118" i="133"/>
  <c r="M117" i="133"/>
  <c r="L117" i="133"/>
  <c r="G117" i="133"/>
  <c r="M116" i="133"/>
  <c r="L116" i="133"/>
  <c r="G116" i="133"/>
  <c r="O114" i="133"/>
  <c r="U114" i="133" s="1"/>
  <c r="O113" i="133"/>
  <c r="O122" i="133" s="1"/>
  <c r="I113" i="133"/>
  <c r="I122" i="133" s="1"/>
  <c r="S112" i="133"/>
  <c r="R112" i="133"/>
  <c r="D112" i="133"/>
  <c r="D121" i="133" s="1"/>
  <c r="K121" i="133" s="1"/>
  <c r="Q121" i="133" s="1"/>
  <c r="S111" i="133"/>
  <c r="R111" i="133"/>
  <c r="K111" i="133"/>
  <c r="D111" i="133"/>
  <c r="D110" i="133" s="1"/>
  <c r="S110" i="133"/>
  <c r="S120" i="133" s="1"/>
  <c r="R110" i="133"/>
  <c r="F131" i="133"/>
  <c r="S109" i="133"/>
  <c r="R109" i="133"/>
  <c r="K109" i="133"/>
  <c r="K130" i="133" s="1"/>
  <c r="Q130" i="133" s="1"/>
  <c r="F130" i="133"/>
  <c r="S108" i="133"/>
  <c r="S118" i="133" s="1"/>
  <c r="R108" i="133"/>
  <c r="R118" i="133" s="1"/>
  <c r="Q108" i="133"/>
  <c r="K108" i="133"/>
  <c r="K129" i="133" s="1"/>
  <c r="Q129" i="133" s="1"/>
  <c r="F129" i="133"/>
  <c r="S107" i="133"/>
  <c r="R107" i="133"/>
  <c r="K107" i="133"/>
  <c r="S106" i="133"/>
  <c r="R106" i="133"/>
  <c r="U105" i="133"/>
  <c r="S105" i="133"/>
  <c r="R105" i="133"/>
  <c r="D105" i="133"/>
  <c r="Q104" i="133"/>
  <c r="O357" i="133" l="1"/>
  <c r="S357" i="133"/>
  <c r="S356" i="133"/>
  <c r="S354" i="133"/>
  <c r="R353" i="133"/>
  <c r="R355" i="133"/>
  <c r="S314" i="133"/>
  <c r="S313" i="133"/>
  <c r="S315" i="133"/>
  <c r="S311" i="133"/>
  <c r="R311" i="133"/>
  <c r="O228" i="133"/>
  <c r="O229" i="133"/>
  <c r="S229" i="133"/>
  <c r="S228" i="133"/>
  <c r="S224" i="133"/>
  <c r="S226" i="133"/>
  <c r="S223" i="133"/>
  <c r="R225" i="133"/>
  <c r="S186" i="133"/>
  <c r="S182" i="133"/>
  <c r="R186" i="133"/>
  <c r="R183" i="133"/>
  <c r="R352" i="133"/>
  <c r="I357" i="133"/>
  <c r="R309" i="133"/>
  <c r="S266" i="133"/>
  <c r="I271" i="133"/>
  <c r="I272" i="133"/>
  <c r="R266" i="133"/>
  <c r="R223" i="133"/>
  <c r="R229" i="133"/>
  <c r="I228" i="133"/>
  <c r="I229" i="133"/>
  <c r="R180" i="133"/>
  <c r="I185" i="133"/>
  <c r="R137" i="133"/>
  <c r="R294" i="133"/>
  <c r="S245" i="133"/>
  <c r="S203" i="133"/>
  <c r="R332" i="133"/>
  <c r="R337" i="133"/>
  <c r="S334" i="133"/>
  <c r="S337" i="133"/>
  <c r="S332" i="133"/>
  <c r="O336" i="133"/>
  <c r="S289" i="133"/>
  <c r="S293" i="133"/>
  <c r="R289" i="133"/>
  <c r="O293" i="133"/>
  <c r="S294" i="133"/>
  <c r="S291" i="133"/>
  <c r="S247" i="133"/>
  <c r="S251" i="133"/>
  <c r="R246" i="133"/>
  <c r="S249" i="133"/>
  <c r="O250" i="133"/>
  <c r="O251" i="133"/>
  <c r="S246" i="133"/>
  <c r="R247" i="133"/>
  <c r="S248" i="133"/>
  <c r="S208" i="133"/>
  <c r="S204" i="133"/>
  <c r="R203" i="133"/>
  <c r="R165" i="133"/>
  <c r="R162" i="133"/>
  <c r="S164" i="133"/>
  <c r="S165" i="133"/>
  <c r="S162" i="133"/>
  <c r="R160" i="133"/>
  <c r="S160" i="133"/>
  <c r="R117" i="133"/>
  <c r="S119" i="133"/>
  <c r="R122" i="133"/>
  <c r="S117" i="133"/>
  <c r="R119" i="133"/>
  <c r="S121" i="133"/>
  <c r="S122" i="133"/>
  <c r="S331" i="133"/>
  <c r="R331" i="133"/>
  <c r="I336" i="133"/>
  <c r="I293" i="133"/>
  <c r="R288" i="133"/>
  <c r="R245" i="133"/>
  <c r="R251" i="133"/>
  <c r="I250" i="133"/>
  <c r="I251" i="133"/>
  <c r="R202" i="133"/>
  <c r="R208" i="133"/>
  <c r="I207" i="133"/>
  <c r="I208" i="133"/>
  <c r="R159" i="133"/>
  <c r="I164" i="133"/>
  <c r="R116" i="133"/>
  <c r="I121" i="133"/>
  <c r="Q454" i="133"/>
  <c r="K475" i="133"/>
  <c r="Q475" i="133" s="1"/>
  <c r="Q455" i="133"/>
  <c r="R464" i="133" s="1"/>
  <c r="K476" i="133"/>
  <c r="L464" i="133"/>
  <c r="Q451" i="133"/>
  <c r="K472" i="133"/>
  <c r="Q472" i="133" s="1"/>
  <c r="D484" i="133"/>
  <c r="K484" i="133" s="1"/>
  <c r="Q484" i="133" s="1"/>
  <c r="D474" i="133"/>
  <c r="H475" i="133"/>
  <c r="N477" i="133"/>
  <c r="T477" i="133" s="1"/>
  <c r="U477" i="133" s="1"/>
  <c r="T456" i="133"/>
  <c r="U456" i="133" s="1"/>
  <c r="L486" i="133"/>
  <c r="Q477" i="133"/>
  <c r="R486" i="133" s="1"/>
  <c r="Q450" i="133"/>
  <c r="K471" i="133"/>
  <c r="Q471" i="133" s="1"/>
  <c r="D463" i="133"/>
  <c r="K463" i="133" s="1"/>
  <c r="Q463" i="133" s="1"/>
  <c r="D453" i="133"/>
  <c r="H454" i="133"/>
  <c r="N454" i="133" s="1"/>
  <c r="Q452" i="133"/>
  <c r="K453" i="133"/>
  <c r="Q456" i="133"/>
  <c r="R465" i="133" s="1"/>
  <c r="F471" i="133"/>
  <c r="F475" i="133"/>
  <c r="I486" i="133"/>
  <c r="L465" i="133"/>
  <c r="F472" i="133"/>
  <c r="F476" i="133"/>
  <c r="H455" i="133"/>
  <c r="N455" i="133" s="1"/>
  <c r="O465" i="133"/>
  <c r="H476" i="133"/>
  <c r="S460" i="133"/>
  <c r="L443" i="133"/>
  <c r="Q434" i="133"/>
  <c r="R443" i="133" s="1"/>
  <c r="Q408" i="133"/>
  <c r="K429" i="133"/>
  <c r="Q429" i="133" s="1"/>
  <c r="K428" i="133"/>
  <c r="Q428" i="133" s="1"/>
  <c r="Q407" i="133"/>
  <c r="Q411" i="133"/>
  <c r="K432" i="133"/>
  <c r="Q432" i="133" s="1"/>
  <c r="F428" i="133"/>
  <c r="K431" i="133"/>
  <c r="Q431" i="133" s="1"/>
  <c r="F432" i="133"/>
  <c r="H411" i="133"/>
  <c r="N411" i="133" s="1"/>
  <c r="H432" i="133"/>
  <c r="F429" i="133"/>
  <c r="H412" i="133"/>
  <c r="N412" i="133" s="1"/>
  <c r="T413" i="133"/>
  <c r="U413" i="133" s="1"/>
  <c r="O422" i="133"/>
  <c r="H433" i="133"/>
  <c r="K412" i="133"/>
  <c r="S417" i="133"/>
  <c r="O443" i="133"/>
  <c r="D410" i="133"/>
  <c r="D431" i="133"/>
  <c r="D367" i="133"/>
  <c r="D377" i="133"/>
  <c r="K377" i="133" s="1"/>
  <c r="Q377" i="133" s="1"/>
  <c r="H368" i="133"/>
  <c r="N368" i="133" s="1"/>
  <c r="D398" i="133"/>
  <c r="K398" i="133" s="1"/>
  <c r="Q398" i="133" s="1"/>
  <c r="D388" i="133"/>
  <c r="H389" i="133"/>
  <c r="N391" i="133"/>
  <c r="T391" i="133" s="1"/>
  <c r="U391" i="133" s="1"/>
  <c r="T370" i="133"/>
  <c r="U370" i="133" s="1"/>
  <c r="Q391" i="133"/>
  <c r="R400" i="133" s="1"/>
  <c r="L400" i="133"/>
  <c r="L378" i="133"/>
  <c r="Q369" i="133"/>
  <c r="R378" i="133" s="1"/>
  <c r="K390" i="133"/>
  <c r="K389" i="133"/>
  <c r="Q389" i="133" s="1"/>
  <c r="F390" i="133"/>
  <c r="H369" i="133"/>
  <c r="N369" i="133" s="1"/>
  <c r="H390" i="133"/>
  <c r="Q364" i="133"/>
  <c r="K365" i="133"/>
  <c r="S374" i="133"/>
  <c r="D399" i="133"/>
  <c r="K399" i="133" s="1"/>
  <c r="Q399" i="133" s="1"/>
  <c r="D378" i="133"/>
  <c r="K378" i="133" s="1"/>
  <c r="Q378" i="133" s="1"/>
  <c r="K344" i="133"/>
  <c r="Q323" i="133"/>
  <c r="D355" i="133"/>
  <c r="K355" i="133" s="1"/>
  <c r="Q355" i="133" s="1"/>
  <c r="D345" i="133"/>
  <c r="K342" i="133"/>
  <c r="Q321" i="133"/>
  <c r="D334" i="133"/>
  <c r="K334" i="133" s="1"/>
  <c r="Q334" i="133" s="1"/>
  <c r="D324" i="133"/>
  <c r="L336" i="133"/>
  <c r="K348" i="133"/>
  <c r="Q327" i="133"/>
  <c r="R336" i="133" s="1"/>
  <c r="K325" i="133"/>
  <c r="K322" i="133"/>
  <c r="K326" i="133"/>
  <c r="F344" i="133"/>
  <c r="F348" i="133"/>
  <c r="F342" i="133"/>
  <c r="K345" i="133"/>
  <c r="D335" i="133"/>
  <c r="K335" i="133" s="1"/>
  <c r="Q335" i="133" s="1"/>
  <c r="S352" i="133"/>
  <c r="D356" i="133"/>
  <c r="K356" i="133" s="1"/>
  <c r="Q356" i="133" s="1"/>
  <c r="L314" i="133"/>
  <c r="R314" i="133"/>
  <c r="D312" i="133"/>
  <c r="K312" i="133" s="1"/>
  <c r="Q312" i="133" s="1"/>
  <c r="D302" i="133"/>
  <c r="D291" i="133"/>
  <c r="K291" i="133" s="1"/>
  <c r="Q291" i="133" s="1"/>
  <c r="D281" i="133"/>
  <c r="K278" i="133"/>
  <c r="Q281" i="133"/>
  <c r="K282" i="133"/>
  <c r="K279" i="133"/>
  <c r="K283" i="133"/>
  <c r="S288" i="133"/>
  <c r="O314" i="133"/>
  <c r="D292" i="133"/>
  <c r="K292" i="133" s="1"/>
  <c r="Q292" i="133" s="1"/>
  <c r="S309" i="133"/>
  <c r="D313" i="133"/>
  <c r="K313" i="133" s="1"/>
  <c r="Q313" i="133" s="1"/>
  <c r="Q261" i="133"/>
  <c r="R270" i="133" s="1"/>
  <c r="L270" i="133"/>
  <c r="D260" i="133"/>
  <c r="D270" i="133"/>
  <c r="K270" i="133" s="1"/>
  <c r="Q270" i="133" s="1"/>
  <c r="K262" i="133"/>
  <c r="Q241" i="133"/>
  <c r="R250" i="133" s="1"/>
  <c r="L250" i="133"/>
  <c r="N262" i="133"/>
  <c r="T262" i="133" s="1"/>
  <c r="U262" i="133" s="1"/>
  <c r="T241" i="133"/>
  <c r="U241" i="133" s="1"/>
  <c r="K256" i="133"/>
  <c r="Q256" i="133" s="1"/>
  <c r="Q235" i="133"/>
  <c r="D238" i="133"/>
  <c r="D248" i="133"/>
  <c r="K248" i="133" s="1"/>
  <c r="Q248" i="133" s="1"/>
  <c r="F262" i="133"/>
  <c r="F256" i="133"/>
  <c r="K257" i="133"/>
  <c r="Q257" i="133" s="1"/>
  <c r="K237" i="133"/>
  <c r="Q240" i="133"/>
  <c r="R249" i="133" s="1"/>
  <c r="K238" i="133"/>
  <c r="L249" i="133"/>
  <c r="K239" i="133"/>
  <c r="L206" i="133"/>
  <c r="Q197" i="133"/>
  <c r="R206" i="133" s="1"/>
  <c r="K218" i="133"/>
  <c r="N219" i="133"/>
  <c r="T198" i="133"/>
  <c r="U198" i="133" s="1"/>
  <c r="Q193" i="133"/>
  <c r="K214" i="133"/>
  <c r="R228" i="133"/>
  <c r="L228" i="133"/>
  <c r="D205" i="133"/>
  <c r="K205" i="133" s="1"/>
  <c r="Q205" i="133" s="1"/>
  <c r="D195" i="133"/>
  <c r="D216" i="133"/>
  <c r="D226" i="133"/>
  <c r="K226" i="133" s="1"/>
  <c r="Q226" i="133" s="1"/>
  <c r="K213" i="133"/>
  <c r="F214" i="133"/>
  <c r="K217" i="133"/>
  <c r="F218" i="133"/>
  <c r="O207" i="133"/>
  <c r="S202" i="133"/>
  <c r="D206" i="133"/>
  <c r="K206" i="133" s="1"/>
  <c r="Q206" i="133" s="1"/>
  <c r="D227" i="133"/>
  <c r="K227" i="133" s="1"/>
  <c r="Q227" i="133" s="1"/>
  <c r="K174" i="133"/>
  <c r="Q174" i="133" s="1"/>
  <c r="Q153" i="133"/>
  <c r="D183" i="133"/>
  <c r="K183" i="133" s="1"/>
  <c r="Q183" i="133" s="1"/>
  <c r="D173" i="133"/>
  <c r="K170" i="133"/>
  <c r="Q149" i="133"/>
  <c r="D153" i="133"/>
  <c r="D163" i="133"/>
  <c r="K163" i="133" s="1"/>
  <c r="Q163" i="133" s="1"/>
  <c r="Q154" i="133"/>
  <c r="R163" i="133" s="1"/>
  <c r="K175" i="133"/>
  <c r="F175" i="133"/>
  <c r="O164" i="133"/>
  <c r="K150" i="133"/>
  <c r="S159" i="133"/>
  <c r="O185" i="133"/>
  <c r="S180" i="133"/>
  <c r="D184" i="133"/>
  <c r="K184" i="133" s="1"/>
  <c r="Q184" i="133" s="1"/>
  <c r="K133" i="133"/>
  <c r="Q133" i="133" s="1"/>
  <c r="R142" i="133" s="1"/>
  <c r="L121" i="133"/>
  <c r="Q112" i="133"/>
  <c r="R121" i="133" s="1"/>
  <c r="F133" i="133"/>
  <c r="Q107" i="133"/>
  <c r="K128" i="133"/>
  <c r="L120" i="133"/>
  <c r="Q111" i="133"/>
  <c r="R120" i="133" s="1"/>
  <c r="K132" i="133"/>
  <c r="D140" i="133"/>
  <c r="K140" i="133" s="1"/>
  <c r="Q140" i="133" s="1"/>
  <c r="D130" i="133"/>
  <c r="K127" i="133"/>
  <c r="Q106" i="133"/>
  <c r="L142" i="133"/>
  <c r="D119" i="133"/>
  <c r="K119" i="133" s="1"/>
  <c r="Q119" i="133" s="1"/>
  <c r="D109" i="133"/>
  <c r="Q109" i="133"/>
  <c r="K110" i="133"/>
  <c r="F128" i="133"/>
  <c r="F132" i="133"/>
  <c r="O121" i="133"/>
  <c r="F127" i="133"/>
  <c r="S116" i="133"/>
  <c r="O142" i="133"/>
  <c r="D120" i="133"/>
  <c r="K120" i="133" s="1"/>
  <c r="Q120" i="133" s="1"/>
  <c r="S137" i="133"/>
  <c r="D141" i="133"/>
  <c r="K141" i="133" s="1"/>
  <c r="Q141" i="133" s="1"/>
  <c r="P22" i="53"/>
  <c r="P21" i="53"/>
  <c r="H1" i="122"/>
  <c r="N476" i="133" l="1"/>
  <c r="T476" i="133" s="1"/>
  <c r="U476" i="133" s="1"/>
  <c r="T455" i="133"/>
  <c r="U455" i="133" s="1"/>
  <c r="Q453" i="133"/>
  <c r="K474" i="133"/>
  <c r="Q474" i="133" s="1"/>
  <c r="Q476" i="133"/>
  <c r="R485" i="133" s="1"/>
  <c r="L485" i="133"/>
  <c r="T454" i="133"/>
  <c r="U454" i="133" s="1"/>
  <c r="N475" i="133"/>
  <c r="T475" i="133" s="1"/>
  <c r="U475" i="133" s="1"/>
  <c r="H474" i="133"/>
  <c r="D483" i="133"/>
  <c r="K483" i="133" s="1"/>
  <c r="Q483" i="133" s="1"/>
  <c r="D473" i="133"/>
  <c r="H453" i="133"/>
  <c r="N453" i="133" s="1"/>
  <c r="D452" i="133"/>
  <c r="D462" i="133"/>
  <c r="K462" i="133" s="1"/>
  <c r="Q462" i="133" s="1"/>
  <c r="T411" i="133"/>
  <c r="U411" i="133" s="1"/>
  <c r="N432" i="133"/>
  <c r="T432" i="133" s="1"/>
  <c r="U432" i="133" s="1"/>
  <c r="Q412" i="133"/>
  <c r="R421" i="133" s="1"/>
  <c r="K433" i="133"/>
  <c r="L421" i="133"/>
  <c r="D440" i="133"/>
  <c r="K440" i="133" s="1"/>
  <c r="Q440" i="133" s="1"/>
  <c r="H431" i="133"/>
  <c r="D430" i="133"/>
  <c r="N433" i="133"/>
  <c r="T433" i="133" s="1"/>
  <c r="U433" i="133" s="1"/>
  <c r="T412" i="133"/>
  <c r="U412" i="133" s="1"/>
  <c r="D419" i="133"/>
  <c r="K419" i="133" s="1"/>
  <c r="Q419" i="133" s="1"/>
  <c r="H410" i="133"/>
  <c r="N410" i="133" s="1"/>
  <c r="D409" i="133"/>
  <c r="Q365" i="133"/>
  <c r="K386" i="133"/>
  <c r="Q386" i="133" s="1"/>
  <c r="T368" i="133"/>
  <c r="U368" i="133" s="1"/>
  <c r="N389" i="133"/>
  <c r="T389" i="133" s="1"/>
  <c r="U389" i="133" s="1"/>
  <c r="H367" i="133"/>
  <c r="N367" i="133" s="1"/>
  <c r="D376" i="133"/>
  <c r="K376" i="133" s="1"/>
  <c r="Q376" i="133" s="1"/>
  <c r="D366" i="133"/>
  <c r="N390" i="133"/>
  <c r="T390" i="133" s="1"/>
  <c r="U390" i="133" s="1"/>
  <c r="T369" i="133"/>
  <c r="U369" i="133" s="1"/>
  <c r="L399" i="133"/>
  <c r="Q390" i="133"/>
  <c r="R399" i="133" s="1"/>
  <c r="H388" i="133"/>
  <c r="D397" i="133"/>
  <c r="K397" i="133" s="1"/>
  <c r="Q397" i="133" s="1"/>
  <c r="D387" i="133"/>
  <c r="R357" i="133"/>
  <c r="L357" i="133"/>
  <c r="D354" i="133"/>
  <c r="K354" i="133" s="1"/>
  <c r="Q354" i="133" s="1"/>
  <c r="D344" i="133"/>
  <c r="D323" i="133"/>
  <c r="D333" i="133"/>
  <c r="K333" i="133" s="1"/>
  <c r="Q333" i="133" s="1"/>
  <c r="L335" i="133"/>
  <c r="Q326" i="133"/>
  <c r="R335" i="133" s="1"/>
  <c r="K347" i="133"/>
  <c r="Q322" i="133"/>
  <c r="K343" i="133"/>
  <c r="T325" i="133"/>
  <c r="U325" i="133" s="1"/>
  <c r="N346" i="133"/>
  <c r="N347" i="133"/>
  <c r="T326" i="133"/>
  <c r="U326" i="133" s="1"/>
  <c r="N348" i="133"/>
  <c r="T327" i="133"/>
  <c r="U327" i="133" s="1"/>
  <c r="K346" i="133"/>
  <c r="Q325" i="133"/>
  <c r="Q279" i="133"/>
  <c r="K300" i="133"/>
  <c r="D301" i="133"/>
  <c r="D311" i="133"/>
  <c r="K311" i="133" s="1"/>
  <c r="Q311" i="133" s="1"/>
  <c r="K303" i="133"/>
  <c r="Q282" i="133"/>
  <c r="Q278" i="133"/>
  <c r="K299" i="133"/>
  <c r="N305" i="133"/>
  <c r="T284" i="133"/>
  <c r="U284" i="133" s="1"/>
  <c r="T282" i="133"/>
  <c r="U282" i="133" s="1"/>
  <c r="N303" i="133"/>
  <c r="D290" i="133"/>
  <c r="K290" i="133" s="1"/>
  <c r="Q290" i="133" s="1"/>
  <c r="D280" i="133"/>
  <c r="N304" i="133"/>
  <c r="T283" i="133"/>
  <c r="U283" i="133" s="1"/>
  <c r="Q283" i="133"/>
  <c r="R292" i="133" s="1"/>
  <c r="K304" i="133"/>
  <c r="L292" i="133"/>
  <c r="D269" i="133"/>
  <c r="K269" i="133" s="1"/>
  <c r="Q269" i="133" s="1"/>
  <c r="D259" i="133"/>
  <c r="N261" i="133"/>
  <c r="T261" i="133" s="1"/>
  <c r="U261" i="133" s="1"/>
  <c r="T240" i="133"/>
  <c r="U240" i="133" s="1"/>
  <c r="K260" i="133"/>
  <c r="Q260" i="133" s="1"/>
  <c r="Q239" i="133"/>
  <c r="T239" i="133"/>
  <c r="U239" i="133" s="1"/>
  <c r="N260" i="133"/>
  <c r="T260" i="133" s="1"/>
  <c r="U260" i="133" s="1"/>
  <c r="Q238" i="133"/>
  <c r="K259" i="133"/>
  <c r="Q259" i="133" s="1"/>
  <c r="Q262" i="133"/>
  <c r="R271" i="133" s="1"/>
  <c r="L271" i="133"/>
  <c r="D247" i="133"/>
  <c r="K247" i="133" s="1"/>
  <c r="Q247" i="133" s="1"/>
  <c r="D237" i="133"/>
  <c r="K258" i="133"/>
  <c r="Q258" i="133" s="1"/>
  <c r="Q237" i="133"/>
  <c r="T196" i="133"/>
  <c r="U196" i="133" s="1"/>
  <c r="N217" i="133"/>
  <c r="D204" i="133"/>
  <c r="K204" i="133" s="1"/>
  <c r="Q204" i="133" s="1"/>
  <c r="D194" i="133"/>
  <c r="R227" i="133"/>
  <c r="L227" i="133"/>
  <c r="N218" i="133"/>
  <c r="T197" i="133"/>
  <c r="U197" i="133" s="1"/>
  <c r="D225" i="133"/>
  <c r="K225" i="133" s="1"/>
  <c r="Q225" i="133" s="1"/>
  <c r="D215" i="133"/>
  <c r="N176" i="133"/>
  <c r="T176" i="133" s="1"/>
  <c r="U176" i="133" s="1"/>
  <c r="T155" i="133"/>
  <c r="U155" i="133" s="1"/>
  <c r="N175" i="133"/>
  <c r="T175" i="133" s="1"/>
  <c r="U175" i="133" s="1"/>
  <c r="T154" i="133"/>
  <c r="U154" i="133" s="1"/>
  <c r="Q150" i="133"/>
  <c r="K171" i="133"/>
  <c r="D162" i="133"/>
  <c r="K162" i="133" s="1"/>
  <c r="Q162" i="133" s="1"/>
  <c r="D152" i="133"/>
  <c r="Q170" i="133"/>
  <c r="Q175" i="133"/>
  <c r="R184" i="133" s="1"/>
  <c r="L184" i="133"/>
  <c r="D182" i="133"/>
  <c r="K182" i="133" s="1"/>
  <c r="Q182" i="133" s="1"/>
  <c r="D172" i="133"/>
  <c r="Q128" i="133"/>
  <c r="Q127" i="133"/>
  <c r="N133" i="133"/>
  <c r="T133" i="133" s="1"/>
  <c r="U133" i="133" s="1"/>
  <c r="T112" i="133"/>
  <c r="U112" i="133" s="1"/>
  <c r="K131" i="133"/>
  <c r="Q110" i="133"/>
  <c r="T111" i="133"/>
  <c r="U111" i="133" s="1"/>
  <c r="N132" i="133"/>
  <c r="T132" i="133" s="1"/>
  <c r="U132" i="133" s="1"/>
  <c r="D118" i="133"/>
  <c r="K118" i="133" s="1"/>
  <c r="Q118" i="133" s="1"/>
  <c r="D108" i="133"/>
  <c r="D139" i="133"/>
  <c r="K139" i="133" s="1"/>
  <c r="Q139" i="133" s="1"/>
  <c r="D129" i="133"/>
  <c r="T110" i="133"/>
  <c r="U110" i="133" s="1"/>
  <c r="N131" i="133"/>
  <c r="T131" i="133" s="1"/>
  <c r="U131" i="133" s="1"/>
  <c r="Q132" i="133"/>
  <c r="R141" i="133" s="1"/>
  <c r="L141" i="133"/>
  <c r="J28" i="136"/>
  <c r="I28" i="136"/>
  <c r="H28" i="136"/>
  <c r="G28" i="136"/>
  <c r="E28" i="136"/>
  <c r="D28" i="136"/>
  <c r="J27" i="136"/>
  <c r="I27" i="136"/>
  <c r="H27" i="136"/>
  <c r="G27" i="136"/>
  <c r="E27" i="136"/>
  <c r="D27" i="136"/>
  <c r="H25" i="136"/>
  <c r="G25" i="136"/>
  <c r="J24" i="136"/>
  <c r="I24" i="136"/>
  <c r="H24" i="136"/>
  <c r="G24" i="136"/>
  <c r="E24" i="136"/>
  <c r="D24" i="136"/>
  <c r="J23" i="136"/>
  <c r="I23" i="136"/>
  <c r="H23" i="136"/>
  <c r="G23" i="136"/>
  <c r="E23" i="136"/>
  <c r="D23" i="136"/>
  <c r="J21" i="136"/>
  <c r="I21" i="136"/>
  <c r="H21" i="136"/>
  <c r="G21" i="136"/>
  <c r="E21" i="136"/>
  <c r="D21" i="136"/>
  <c r="J18" i="136"/>
  <c r="J25" i="136" s="1"/>
  <c r="I18" i="136"/>
  <c r="I25" i="136" s="1"/>
  <c r="H18" i="136"/>
  <c r="H29" i="136" s="1"/>
  <c r="G18" i="136"/>
  <c r="G29" i="136" s="1"/>
  <c r="E18" i="136"/>
  <c r="E25" i="136" s="1"/>
  <c r="D18" i="136"/>
  <c r="D25" i="136" s="1"/>
  <c r="J13" i="136"/>
  <c r="E13" i="136"/>
  <c r="D13" i="136"/>
  <c r="J1" i="136"/>
  <c r="J29" i="136" l="1"/>
  <c r="I29" i="136"/>
  <c r="E29" i="136"/>
  <c r="D29" i="136"/>
  <c r="D461" i="133"/>
  <c r="K461" i="133" s="1"/>
  <c r="Q461" i="133" s="1"/>
  <c r="D451" i="133"/>
  <c r="H452" i="133"/>
  <c r="N452" i="133" s="1"/>
  <c r="T453" i="133"/>
  <c r="U453" i="133" s="1"/>
  <c r="N474" i="133"/>
  <c r="T474" i="133" s="1"/>
  <c r="U474" i="133" s="1"/>
  <c r="D482" i="133"/>
  <c r="K482" i="133" s="1"/>
  <c r="Q482" i="133" s="1"/>
  <c r="H473" i="133"/>
  <c r="D472" i="133"/>
  <c r="T410" i="133"/>
  <c r="U410" i="133" s="1"/>
  <c r="N431" i="133"/>
  <c r="T431" i="133" s="1"/>
  <c r="U431" i="133" s="1"/>
  <c r="Q433" i="133"/>
  <c r="R442" i="133" s="1"/>
  <c r="L442" i="133"/>
  <c r="D439" i="133"/>
  <c r="K439" i="133" s="1"/>
  <c r="Q439" i="133" s="1"/>
  <c r="D429" i="133"/>
  <c r="H430" i="133"/>
  <c r="D408" i="133"/>
  <c r="D418" i="133"/>
  <c r="K418" i="133" s="1"/>
  <c r="Q418" i="133" s="1"/>
  <c r="H409" i="133"/>
  <c r="N409" i="133" s="1"/>
  <c r="D375" i="133"/>
  <c r="K375" i="133" s="1"/>
  <c r="Q375" i="133" s="1"/>
  <c r="H366" i="133"/>
  <c r="N366" i="133" s="1"/>
  <c r="D365" i="133"/>
  <c r="D396" i="133"/>
  <c r="K396" i="133" s="1"/>
  <c r="Q396" i="133" s="1"/>
  <c r="H387" i="133"/>
  <c r="D386" i="133"/>
  <c r="T367" i="133"/>
  <c r="U367" i="133" s="1"/>
  <c r="N388" i="133"/>
  <c r="T388" i="133" s="1"/>
  <c r="U388" i="133" s="1"/>
  <c r="R356" i="133"/>
  <c r="L356" i="133"/>
  <c r="D332" i="133"/>
  <c r="K332" i="133" s="1"/>
  <c r="Q332" i="133" s="1"/>
  <c r="D322" i="133"/>
  <c r="N345" i="133"/>
  <c r="T324" i="133"/>
  <c r="U324" i="133" s="1"/>
  <c r="D353" i="133"/>
  <c r="K353" i="133" s="1"/>
  <c r="Q353" i="133" s="1"/>
  <c r="D343" i="133"/>
  <c r="D310" i="133"/>
  <c r="K310" i="133" s="1"/>
  <c r="Q310" i="133" s="1"/>
  <c r="D300" i="133"/>
  <c r="D279" i="133"/>
  <c r="D289" i="133"/>
  <c r="K289" i="133" s="1"/>
  <c r="Q289" i="133" s="1"/>
  <c r="T281" i="133"/>
  <c r="U281" i="133" s="1"/>
  <c r="N302" i="133"/>
  <c r="R313" i="133"/>
  <c r="L313" i="133"/>
  <c r="D268" i="133"/>
  <c r="K268" i="133" s="1"/>
  <c r="Q268" i="133" s="1"/>
  <c r="D258" i="133"/>
  <c r="D246" i="133"/>
  <c r="K246" i="133" s="1"/>
  <c r="Q246" i="133" s="1"/>
  <c r="D236" i="133"/>
  <c r="T238" i="133"/>
  <c r="U238" i="133" s="1"/>
  <c r="N259" i="133"/>
  <c r="T259" i="133" s="1"/>
  <c r="U259" i="133" s="1"/>
  <c r="D224" i="133"/>
  <c r="K224" i="133" s="1"/>
  <c r="Q224" i="133" s="1"/>
  <c r="D214" i="133"/>
  <c r="T195" i="133"/>
  <c r="U195" i="133" s="1"/>
  <c r="N216" i="133"/>
  <c r="D203" i="133"/>
  <c r="K203" i="133" s="1"/>
  <c r="Q203" i="133" s="1"/>
  <c r="D193" i="133"/>
  <c r="T153" i="133"/>
  <c r="U153" i="133" s="1"/>
  <c r="N174" i="133"/>
  <c r="T174" i="133" s="1"/>
  <c r="U174" i="133" s="1"/>
  <c r="D181" i="133"/>
  <c r="K181" i="133" s="1"/>
  <c r="Q181" i="133" s="1"/>
  <c r="D171" i="133"/>
  <c r="D161" i="133"/>
  <c r="K161" i="133" s="1"/>
  <c r="Q161" i="133" s="1"/>
  <c r="D151" i="133"/>
  <c r="Q171" i="133"/>
  <c r="Q131" i="133"/>
  <c r="D117" i="133"/>
  <c r="K117" i="133" s="1"/>
  <c r="Q117" i="133" s="1"/>
  <c r="D107" i="133"/>
  <c r="T109" i="133"/>
  <c r="U109" i="133" s="1"/>
  <c r="N130" i="133"/>
  <c r="T130" i="133" s="1"/>
  <c r="U130" i="133" s="1"/>
  <c r="D138" i="133"/>
  <c r="K138" i="133" s="1"/>
  <c r="Q138" i="133" s="1"/>
  <c r="D128" i="133"/>
  <c r="B18" i="135"/>
  <c r="H1" i="135"/>
  <c r="N473" i="133" l="1"/>
  <c r="T473" i="133" s="1"/>
  <c r="U473" i="133" s="1"/>
  <c r="T452" i="133"/>
  <c r="U452" i="133" s="1"/>
  <c r="D450" i="133"/>
  <c r="H451" i="133"/>
  <c r="N451" i="133" s="1"/>
  <c r="D460" i="133"/>
  <c r="K460" i="133" s="1"/>
  <c r="Q460" i="133" s="1"/>
  <c r="D471" i="133"/>
  <c r="D481" i="133"/>
  <c r="K481" i="133" s="1"/>
  <c r="Q481" i="133" s="1"/>
  <c r="H472" i="133"/>
  <c r="N430" i="133"/>
  <c r="T430" i="133" s="1"/>
  <c r="U430" i="133" s="1"/>
  <c r="T409" i="133"/>
  <c r="U409" i="133" s="1"/>
  <c r="D417" i="133"/>
  <c r="K417" i="133" s="1"/>
  <c r="Q417" i="133" s="1"/>
  <c r="D407" i="133"/>
  <c r="H408" i="133"/>
  <c r="N408" i="133" s="1"/>
  <c r="D438" i="133"/>
  <c r="K438" i="133" s="1"/>
  <c r="Q438" i="133" s="1"/>
  <c r="H429" i="133"/>
  <c r="D428" i="133"/>
  <c r="D364" i="133"/>
  <c r="D374" i="133"/>
  <c r="K374" i="133" s="1"/>
  <c r="Q374" i="133" s="1"/>
  <c r="H365" i="133"/>
  <c r="N365" i="133" s="1"/>
  <c r="N387" i="133"/>
  <c r="T387" i="133" s="1"/>
  <c r="U387" i="133" s="1"/>
  <c r="T366" i="133"/>
  <c r="U366" i="133" s="1"/>
  <c r="D385" i="133"/>
  <c r="D395" i="133"/>
  <c r="K395" i="133" s="1"/>
  <c r="Q395" i="133" s="1"/>
  <c r="H386" i="133"/>
  <c r="D342" i="133"/>
  <c r="D352" i="133"/>
  <c r="K352" i="133" s="1"/>
  <c r="Q352" i="133" s="1"/>
  <c r="D321" i="133"/>
  <c r="D331" i="133"/>
  <c r="K331" i="133" s="1"/>
  <c r="Q331" i="133" s="1"/>
  <c r="N344" i="133"/>
  <c r="T323" i="133"/>
  <c r="U323" i="133" s="1"/>
  <c r="D278" i="133"/>
  <c r="D288" i="133"/>
  <c r="K288" i="133" s="1"/>
  <c r="Q288" i="133" s="1"/>
  <c r="D299" i="133"/>
  <c r="D309" i="133"/>
  <c r="K309" i="133" s="1"/>
  <c r="Q309" i="133" s="1"/>
  <c r="N301" i="133"/>
  <c r="T280" i="133"/>
  <c r="U280" i="133" s="1"/>
  <c r="D267" i="133"/>
  <c r="K267" i="133" s="1"/>
  <c r="Q267" i="133" s="1"/>
  <c r="D257" i="133"/>
  <c r="D235" i="133"/>
  <c r="D245" i="133"/>
  <c r="K245" i="133" s="1"/>
  <c r="Q245" i="133" s="1"/>
  <c r="N258" i="133"/>
  <c r="T258" i="133" s="1"/>
  <c r="U258" i="133" s="1"/>
  <c r="T237" i="133"/>
  <c r="U237" i="133" s="1"/>
  <c r="D213" i="133"/>
  <c r="D223" i="133"/>
  <c r="K223" i="133" s="1"/>
  <c r="Q223" i="133" s="1"/>
  <c r="N215" i="133"/>
  <c r="T194" i="133"/>
  <c r="U194" i="133" s="1"/>
  <c r="D192" i="133"/>
  <c r="D202" i="133"/>
  <c r="K202" i="133" s="1"/>
  <c r="Q202" i="133" s="1"/>
  <c r="D160" i="133"/>
  <c r="K160" i="133" s="1"/>
  <c r="Q160" i="133" s="1"/>
  <c r="D150" i="133"/>
  <c r="T152" i="133"/>
  <c r="U152" i="133" s="1"/>
  <c r="N173" i="133"/>
  <c r="T173" i="133" s="1"/>
  <c r="U173" i="133" s="1"/>
  <c r="D170" i="133"/>
  <c r="D180" i="133"/>
  <c r="K180" i="133" s="1"/>
  <c r="Q180" i="133" s="1"/>
  <c r="D106" i="133"/>
  <c r="D116" i="133"/>
  <c r="K116" i="133" s="1"/>
  <c r="Q116" i="133" s="1"/>
  <c r="N129" i="133"/>
  <c r="T129" i="133" s="1"/>
  <c r="U129" i="133" s="1"/>
  <c r="T108" i="133"/>
  <c r="U108" i="133" s="1"/>
  <c r="D127" i="133"/>
  <c r="D137" i="133"/>
  <c r="K137" i="133" s="1"/>
  <c r="Q137" i="133" s="1"/>
  <c r="N56" i="32"/>
  <c r="O56" i="32"/>
  <c r="N57" i="32"/>
  <c r="O57" i="32"/>
  <c r="N58" i="32"/>
  <c r="O58" i="32"/>
  <c r="N59" i="32"/>
  <c r="O59" i="32"/>
  <c r="N60" i="32"/>
  <c r="O60" i="32"/>
  <c r="N61" i="32"/>
  <c r="O61" i="32"/>
  <c r="N62" i="32"/>
  <c r="O62" i="32"/>
  <c r="N63" i="32"/>
  <c r="O63" i="32"/>
  <c r="N64" i="32"/>
  <c r="O64" i="32"/>
  <c r="N65" i="32"/>
  <c r="O65" i="32"/>
  <c r="N66" i="32"/>
  <c r="O66" i="32"/>
  <c r="N67" i="32"/>
  <c r="O67" i="32"/>
  <c r="N68" i="32"/>
  <c r="O68" i="32"/>
  <c r="N69" i="32"/>
  <c r="O69" i="32"/>
  <c r="N70" i="32"/>
  <c r="O70" i="32"/>
  <c r="N71" i="32"/>
  <c r="O71" i="32"/>
  <c r="N72" i="32"/>
  <c r="O72" i="32"/>
  <c r="N73" i="32"/>
  <c r="O73" i="32"/>
  <c r="N74" i="32"/>
  <c r="O74" i="32"/>
  <c r="O55" i="32"/>
  <c r="N55" i="32"/>
  <c r="D459" i="133" l="1"/>
  <c r="K459" i="133" s="1"/>
  <c r="Q459" i="133" s="1"/>
  <c r="H450" i="133"/>
  <c r="N450" i="133" s="1"/>
  <c r="D480" i="133"/>
  <c r="K480" i="133" s="1"/>
  <c r="Q480" i="133" s="1"/>
  <c r="H471" i="133"/>
  <c r="T451" i="133"/>
  <c r="U451" i="133" s="1"/>
  <c r="N472" i="133"/>
  <c r="T472" i="133" s="1"/>
  <c r="U472" i="133" s="1"/>
  <c r="N429" i="133"/>
  <c r="T429" i="133" s="1"/>
  <c r="U429" i="133" s="1"/>
  <c r="T408" i="133"/>
  <c r="U408" i="133" s="1"/>
  <c r="D416" i="133"/>
  <c r="K416" i="133" s="1"/>
  <c r="Q416" i="133" s="1"/>
  <c r="H407" i="133"/>
  <c r="N407" i="133" s="1"/>
  <c r="H428" i="133"/>
  <c r="D437" i="133"/>
  <c r="K437" i="133" s="1"/>
  <c r="Q437" i="133" s="1"/>
  <c r="N386" i="133"/>
  <c r="T386" i="133" s="1"/>
  <c r="U386" i="133" s="1"/>
  <c r="T365" i="133"/>
  <c r="U365" i="133" s="1"/>
  <c r="H364" i="133"/>
  <c r="N364" i="133" s="1"/>
  <c r="D373" i="133"/>
  <c r="K373" i="133" s="1"/>
  <c r="Q373" i="133" s="1"/>
  <c r="H385" i="133"/>
  <c r="D394" i="133"/>
  <c r="K394" i="133" s="1"/>
  <c r="Q394" i="133" s="1"/>
  <c r="D351" i="133"/>
  <c r="K351" i="133" s="1"/>
  <c r="Q351" i="133" s="1"/>
  <c r="N343" i="133"/>
  <c r="T322" i="133"/>
  <c r="U322" i="133" s="1"/>
  <c r="D330" i="133"/>
  <c r="K330" i="133" s="1"/>
  <c r="Q330" i="133" s="1"/>
  <c r="D308" i="133"/>
  <c r="K308" i="133" s="1"/>
  <c r="Q308" i="133" s="1"/>
  <c r="T279" i="133"/>
  <c r="U279" i="133" s="1"/>
  <c r="N300" i="133"/>
  <c r="D287" i="133"/>
  <c r="K287" i="133" s="1"/>
  <c r="Q287" i="133" s="1"/>
  <c r="D256" i="133"/>
  <c r="D266" i="133"/>
  <c r="K266" i="133" s="1"/>
  <c r="Q266" i="133" s="1"/>
  <c r="N257" i="133"/>
  <c r="T257" i="133" s="1"/>
  <c r="U257" i="133" s="1"/>
  <c r="T236" i="133"/>
  <c r="U236" i="133" s="1"/>
  <c r="D244" i="133"/>
  <c r="K244" i="133" s="1"/>
  <c r="Q244" i="133" s="1"/>
  <c r="D222" i="133"/>
  <c r="K222" i="133" s="1"/>
  <c r="Q222" i="133" s="1"/>
  <c r="N214" i="133"/>
  <c r="T193" i="133"/>
  <c r="U193" i="133" s="1"/>
  <c r="D201" i="133"/>
  <c r="K201" i="133" s="1"/>
  <c r="Q201" i="133" s="1"/>
  <c r="D149" i="133"/>
  <c r="D159" i="133"/>
  <c r="K159" i="133" s="1"/>
  <c r="Q159" i="133" s="1"/>
  <c r="N172" i="133"/>
  <c r="T172" i="133" s="1"/>
  <c r="U172" i="133" s="1"/>
  <c r="T151" i="133"/>
  <c r="U151" i="133" s="1"/>
  <c r="D179" i="133"/>
  <c r="K179" i="133" s="1"/>
  <c r="Q179" i="133" s="1"/>
  <c r="N128" i="133"/>
  <c r="T128" i="133" s="1"/>
  <c r="U128" i="133" s="1"/>
  <c r="T107" i="133"/>
  <c r="U107" i="133" s="1"/>
  <c r="D115" i="133"/>
  <c r="K115" i="133" s="1"/>
  <c r="Q115" i="133" s="1"/>
  <c r="D136" i="133"/>
  <c r="K136" i="133" s="1"/>
  <c r="Q136" i="133" s="1"/>
  <c r="U92" i="133"/>
  <c r="O92" i="133"/>
  <c r="I92" i="133"/>
  <c r="U71" i="133"/>
  <c r="O71" i="133"/>
  <c r="O83" i="133"/>
  <c r="K55" i="133"/>
  <c r="F69" i="133"/>
  <c r="F68" i="133"/>
  <c r="F67" i="133"/>
  <c r="F66" i="133"/>
  <c r="F65" i="133"/>
  <c r="F64" i="133"/>
  <c r="F63" i="133"/>
  <c r="L53" i="133"/>
  <c r="M54" i="133"/>
  <c r="M53" i="133"/>
  <c r="M52" i="133"/>
  <c r="L52" i="133"/>
  <c r="M51" i="133"/>
  <c r="L51" i="133"/>
  <c r="M50" i="133"/>
  <c r="L50" i="133"/>
  <c r="M49" i="133"/>
  <c r="L49" i="133"/>
  <c r="O46" i="133"/>
  <c r="L54" i="133"/>
  <c r="D45" i="133"/>
  <c r="D44" i="133" s="1"/>
  <c r="N44" i="133" s="1"/>
  <c r="D38" i="133"/>
  <c r="O54" i="133" l="1"/>
  <c r="O55" i="133"/>
  <c r="T450" i="133"/>
  <c r="U450" i="133" s="1"/>
  <c r="U457" i="133" s="1"/>
  <c r="N471" i="133"/>
  <c r="T471" i="133" s="1"/>
  <c r="U471" i="133" s="1"/>
  <c r="U478" i="133" s="1"/>
  <c r="T407" i="133"/>
  <c r="U407" i="133" s="1"/>
  <c r="U414" i="133" s="1"/>
  <c r="N428" i="133"/>
  <c r="T428" i="133" s="1"/>
  <c r="U428" i="133" s="1"/>
  <c r="U435" i="133" s="1"/>
  <c r="T364" i="133"/>
  <c r="U364" i="133" s="1"/>
  <c r="U371" i="133" s="1"/>
  <c r="N385" i="133"/>
  <c r="T385" i="133" s="1"/>
  <c r="U385" i="133" s="1"/>
  <c r="U392" i="133" s="1"/>
  <c r="T321" i="133"/>
  <c r="U321" i="133" s="1"/>
  <c r="U328" i="133" s="1"/>
  <c r="U337" i="133" s="1"/>
  <c r="N342" i="133"/>
  <c r="U349" i="133" s="1"/>
  <c r="U358" i="133" s="1"/>
  <c r="T278" i="133"/>
  <c r="U278" i="133" s="1"/>
  <c r="U285" i="133" s="1"/>
  <c r="U294" i="133" s="1"/>
  <c r="N299" i="133"/>
  <c r="U306" i="133" s="1"/>
  <c r="U315" i="133" s="1"/>
  <c r="D265" i="133"/>
  <c r="K265" i="133" s="1"/>
  <c r="Q265" i="133" s="1"/>
  <c r="T235" i="133"/>
  <c r="U235" i="133" s="1"/>
  <c r="U242" i="133" s="1"/>
  <c r="U251" i="133" s="1"/>
  <c r="N256" i="133"/>
  <c r="T256" i="133" s="1"/>
  <c r="U256" i="133" s="1"/>
  <c r="U263" i="133" s="1"/>
  <c r="U272" i="133" s="1"/>
  <c r="T192" i="133"/>
  <c r="U192" i="133" s="1"/>
  <c r="U199" i="133" s="1"/>
  <c r="U208" i="133" s="1"/>
  <c r="N213" i="133"/>
  <c r="U220" i="133" s="1"/>
  <c r="U229" i="133" s="1"/>
  <c r="N171" i="133"/>
  <c r="T171" i="133" s="1"/>
  <c r="T150" i="133"/>
  <c r="U150" i="133" s="1"/>
  <c r="D158" i="133"/>
  <c r="K158" i="133" s="1"/>
  <c r="Q158" i="133" s="1"/>
  <c r="T106" i="133"/>
  <c r="U106" i="133" s="1"/>
  <c r="U113" i="133" s="1"/>
  <c r="U122" i="133" s="1"/>
  <c r="N127" i="133"/>
  <c r="T127" i="133" s="1"/>
  <c r="U127" i="133" s="1"/>
  <c r="U134" i="133" s="1"/>
  <c r="U143" i="133" s="1"/>
  <c r="N45" i="133"/>
  <c r="D43" i="133"/>
  <c r="N43" i="133" s="1"/>
  <c r="D53" i="133"/>
  <c r="K53" i="133" s="1"/>
  <c r="D54" i="133"/>
  <c r="K54" i="133" s="1"/>
  <c r="Q82" i="133"/>
  <c r="S90" i="133"/>
  <c r="R90" i="133"/>
  <c r="S89" i="133"/>
  <c r="S99" i="133" s="1"/>
  <c r="R89" i="133"/>
  <c r="S88" i="133"/>
  <c r="S98" i="133" s="1"/>
  <c r="R88" i="133"/>
  <c r="S87" i="133"/>
  <c r="S97" i="133" s="1"/>
  <c r="R87" i="133"/>
  <c r="R97" i="133" s="1"/>
  <c r="S86" i="133"/>
  <c r="S96" i="133" s="1"/>
  <c r="R86" i="133"/>
  <c r="R96" i="133" s="1"/>
  <c r="S85" i="133"/>
  <c r="S95" i="133" s="1"/>
  <c r="R85" i="133"/>
  <c r="R95" i="133" s="1"/>
  <c r="S84" i="133"/>
  <c r="R84" i="133"/>
  <c r="U83" i="133"/>
  <c r="S83" i="133"/>
  <c r="R83" i="133"/>
  <c r="U62" i="133"/>
  <c r="S69" i="133"/>
  <c r="S68" i="133"/>
  <c r="S67" i="133"/>
  <c r="S77" i="133" s="1"/>
  <c r="S66" i="133"/>
  <c r="S65" i="133"/>
  <c r="S75" i="133" s="1"/>
  <c r="S64" i="133"/>
  <c r="S63" i="133"/>
  <c r="S62" i="133"/>
  <c r="R62" i="133"/>
  <c r="R69" i="133"/>
  <c r="R68" i="133"/>
  <c r="R67" i="133"/>
  <c r="R66" i="133"/>
  <c r="R76" i="133" s="1"/>
  <c r="R65" i="133"/>
  <c r="R75" i="133" s="1"/>
  <c r="R64" i="133"/>
  <c r="R74" i="133" s="1"/>
  <c r="R63" i="133"/>
  <c r="Q61" i="133"/>
  <c r="F90" i="133"/>
  <c r="F89" i="133"/>
  <c r="F88" i="133"/>
  <c r="F87" i="133"/>
  <c r="F86" i="133"/>
  <c r="F85" i="133"/>
  <c r="F84" i="133"/>
  <c r="G99" i="133"/>
  <c r="G98" i="133"/>
  <c r="G97" i="133"/>
  <c r="G96" i="133"/>
  <c r="G95" i="133"/>
  <c r="G94" i="133"/>
  <c r="I91" i="133"/>
  <c r="I100" i="133" s="1"/>
  <c r="D90" i="133"/>
  <c r="D99" i="133" s="1"/>
  <c r="K99" i="133" s="1"/>
  <c r="Q99" i="133" s="1"/>
  <c r="D83" i="133"/>
  <c r="K82" i="133"/>
  <c r="M99" i="133"/>
  <c r="M98" i="133"/>
  <c r="M97" i="133"/>
  <c r="L97" i="133"/>
  <c r="M96" i="133"/>
  <c r="L96" i="133"/>
  <c r="M95" i="133"/>
  <c r="L95" i="133"/>
  <c r="M94" i="133"/>
  <c r="L94" i="133"/>
  <c r="O91" i="133"/>
  <c r="O70" i="133"/>
  <c r="O79" i="133" s="1"/>
  <c r="M78" i="133"/>
  <c r="M77" i="133"/>
  <c r="M76" i="133"/>
  <c r="M75" i="133"/>
  <c r="M74" i="133"/>
  <c r="M73" i="133"/>
  <c r="L76" i="133"/>
  <c r="L75" i="133"/>
  <c r="L74" i="133"/>
  <c r="L73" i="133"/>
  <c r="K64" i="133"/>
  <c r="K85" i="133" s="1"/>
  <c r="Q85" i="133" s="1"/>
  <c r="K65" i="133"/>
  <c r="K86" i="133" s="1"/>
  <c r="Q86" i="133" s="1"/>
  <c r="K66" i="133"/>
  <c r="K87" i="133" s="1"/>
  <c r="Q87" i="133" s="1"/>
  <c r="K67" i="133"/>
  <c r="K88" i="133" s="1"/>
  <c r="Q88" i="133" s="1"/>
  <c r="K68" i="133"/>
  <c r="L77" i="133" s="1"/>
  <c r="K69" i="133"/>
  <c r="L78" i="133" s="1"/>
  <c r="K63" i="133"/>
  <c r="K84" i="133" s="1"/>
  <c r="Q84" i="133" s="1"/>
  <c r="I70" i="133"/>
  <c r="I79" i="133" s="1"/>
  <c r="G74" i="133"/>
  <c r="G75" i="133"/>
  <c r="G76" i="133"/>
  <c r="G77" i="133"/>
  <c r="G78" i="133"/>
  <c r="G73" i="133"/>
  <c r="D62" i="133"/>
  <c r="D69" i="133"/>
  <c r="D68" i="133" s="1"/>
  <c r="D67" i="133" s="1"/>
  <c r="D66" i="133" s="1"/>
  <c r="D65" i="133" s="1"/>
  <c r="D64" i="133" s="1"/>
  <c r="D63" i="133" s="1"/>
  <c r="D72" i="133" s="1"/>
  <c r="K72" i="133" s="1"/>
  <c r="Q72" i="133" s="1"/>
  <c r="U1" i="133"/>
  <c r="R100" i="133" l="1"/>
  <c r="R94" i="133"/>
  <c r="S100" i="133"/>
  <c r="S94" i="133"/>
  <c r="S76" i="133"/>
  <c r="S78" i="133"/>
  <c r="S74" i="133"/>
  <c r="S79" i="133"/>
  <c r="S73" i="133"/>
  <c r="R79" i="133"/>
  <c r="R73" i="133"/>
  <c r="U486" i="133"/>
  <c r="U465" i="133"/>
  <c r="U443" i="133"/>
  <c r="U422" i="133"/>
  <c r="U400" i="133"/>
  <c r="U379" i="133"/>
  <c r="U357" i="133"/>
  <c r="U336" i="133"/>
  <c r="U314" i="133"/>
  <c r="U293" i="133"/>
  <c r="U250" i="133"/>
  <c r="U271" i="133"/>
  <c r="U228" i="133"/>
  <c r="U207" i="133"/>
  <c r="T149" i="133"/>
  <c r="U149" i="133" s="1"/>
  <c r="U156" i="133" s="1"/>
  <c r="U165" i="133" s="1"/>
  <c r="N170" i="133"/>
  <c r="T170" i="133" s="1"/>
  <c r="U170" i="133" s="1"/>
  <c r="U177" i="133" s="1"/>
  <c r="U186" i="133" s="1"/>
  <c r="U142" i="133"/>
  <c r="U121" i="133"/>
  <c r="O99" i="133"/>
  <c r="I99" i="133"/>
  <c r="O78" i="133"/>
  <c r="I78" i="133"/>
  <c r="D42" i="133"/>
  <c r="N42" i="133" s="1"/>
  <c r="D52" i="133"/>
  <c r="K52" i="133" s="1"/>
  <c r="Q63" i="133"/>
  <c r="Q68" i="133"/>
  <c r="R77" i="133" s="1"/>
  <c r="Q69" i="133"/>
  <c r="R78" i="133" s="1"/>
  <c r="Q64" i="133"/>
  <c r="Q65" i="133"/>
  <c r="Q66" i="133"/>
  <c r="Q67" i="133"/>
  <c r="K90" i="133"/>
  <c r="K89" i="133"/>
  <c r="H90" i="133"/>
  <c r="D89" i="133"/>
  <c r="H89" i="133" s="1"/>
  <c r="H65" i="133"/>
  <c r="N65" i="133" s="1"/>
  <c r="D74" i="133"/>
  <c r="K74" i="133" s="1"/>
  <c r="Q74" i="133" s="1"/>
  <c r="H64" i="133"/>
  <c r="N64" i="133" s="1"/>
  <c r="D73" i="133"/>
  <c r="K73" i="133" s="1"/>
  <c r="Q73" i="133" s="1"/>
  <c r="H66" i="133"/>
  <c r="N66" i="133" s="1"/>
  <c r="D76" i="133"/>
  <c r="K76" i="133" s="1"/>
  <c r="Q76" i="133" s="1"/>
  <c r="H69" i="133"/>
  <c r="N69" i="133" s="1"/>
  <c r="D75" i="133"/>
  <c r="K75" i="133" s="1"/>
  <c r="Q75" i="133" s="1"/>
  <c r="H63" i="133"/>
  <c r="N63" i="133" s="1"/>
  <c r="D78" i="133"/>
  <c r="K78" i="133" s="1"/>
  <c r="H67" i="133"/>
  <c r="N67" i="133" s="1"/>
  <c r="D77" i="133"/>
  <c r="K77" i="133" s="1"/>
  <c r="Q77" i="133" s="1"/>
  <c r="H68" i="133"/>
  <c r="N68" i="133" s="1"/>
  <c r="R1" i="132"/>
  <c r="U185" i="133" l="1"/>
  <c r="U164" i="133"/>
  <c r="Q78" i="133"/>
  <c r="D41" i="133"/>
  <c r="N41" i="133" s="1"/>
  <c r="D51" i="133"/>
  <c r="K51" i="133" s="1"/>
  <c r="L98" i="133"/>
  <c r="Q89" i="133"/>
  <c r="R98" i="133" s="1"/>
  <c r="L99" i="133"/>
  <c r="Q90" i="133"/>
  <c r="R99" i="133" s="1"/>
  <c r="N90" i="133"/>
  <c r="T90" i="133" s="1"/>
  <c r="U90" i="133" s="1"/>
  <c r="T69" i="133"/>
  <c r="U69" i="133" s="1"/>
  <c r="N89" i="133"/>
  <c r="T89" i="133" s="1"/>
  <c r="U89" i="133" s="1"/>
  <c r="T68" i="133"/>
  <c r="U68" i="133" s="1"/>
  <c r="N87" i="133"/>
  <c r="T87" i="133" s="1"/>
  <c r="U87" i="133" s="1"/>
  <c r="T66" i="133"/>
  <c r="U66" i="133" s="1"/>
  <c r="N88" i="133"/>
  <c r="T88" i="133" s="1"/>
  <c r="U88" i="133" s="1"/>
  <c r="T67" i="133"/>
  <c r="U67" i="133" s="1"/>
  <c r="N85" i="133"/>
  <c r="T85" i="133" s="1"/>
  <c r="U85" i="133" s="1"/>
  <c r="T64" i="133"/>
  <c r="U64" i="133" s="1"/>
  <c r="N84" i="133"/>
  <c r="T84" i="133" s="1"/>
  <c r="U84" i="133" s="1"/>
  <c r="T63" i="133"/>
  <c r="U63" i="133" s="1"/>
  <c r="N86" i="133"/>
  <c r="T86" i="133" s="1"/>
  <c r="U86" i="133" s="1"/>
  <c r="T65" i="133"/>
  <c r="U65" i="133" s="1"/>
  <c r="D98" i="133"/>
  <c r="K98" i="133" s="1"/>
  <c r="Q98" i="133" s="1"/>
  <c r="D88" i="133"/>
  <c r="D97" i="133" s="1"/>
  <c r="K97" i="133" s="1"/>
  <c r="Q97" i="133" s="1"/>
  <c r="D40" i="133" l="1"/>
  <c r="N40" i="133" s="1"/>
  <c r="D50" i="133"/>
  <c r="K50" i="133" s="1"/>
  <c r="U70" i="133"/>
  <c r="U79" i="133" s="1"/>
  <c r="U91" i="133"/>
  <c r="U100" i="133" s="1"/>
  <c r="H88" i="133"/>
  <c r="D87" i="133"/>
  <c r="H87" i="133" s="1"/>
  <c r="H68" i="54"/>
  <c r="H85" i="54" s="1"/>
  <c r="S18" i="98"/>
  <c r="T53" i="98" s="1"/>
  <c r="P18" i="98"/>
  <c r="Q53" i="98" s="1"/>
  <c r="R17" i="54"/>
  <c r="U17" i="54" s="1"/>
  <c r="O17" i="54"/>
  <c r="P52" i="54" s="1"/>
  <c r="G68" i="55"/>
  <c r="F68" i="55" s="1"/>
  <c r="E68" i="55" s="1"/>
  <c r="D68" i="55" s="1"/>
  <c r="C68" i="55" s="1"/>
  <c r="G31" i="55"/>
  <c r="F31" i="55" s="1"/>
  <c r="E31" i="55" s="1"/>
  <c r="D31" i="55" s="1"/>
  <c r="C31" i="55" s="1"/>
  <c r="U99" i="133" l="1"/>
  <c r="U78" i="133"/>
  <c r="D49" i="133"/>
  <c r="K49" i="133" s="1"/>
  <c r="D39" i="133"/>
  <c r="N39" i="133" s="1"/>
  <c r="D86" i="133"/>
  <c r="D85" i="133" s="1"/>
  <c r="D96" i="133"/>
  <c r="K96" i="133" s="1"/>
  <c r="Q96" i="133" s="1"/>
  <c r="S52" i="54"/>
  <c r="H31" i="55"/>
  <c r="I31" i="55" s="1"/>
  <c r="J31" i="55" s="1"/>
  <c r="K31" i="55" s="1"/>
  <c r="I68" i="54"/>
  <c r="J68" i="54" s="1"/>
  <c r="K68" i="54" s="1"/>
  <c r="V52" i="54"/>
  <c r="X17" i="54"/>
  <c r="G68" i="54"/>
  <c r="V18" i="98"/>
  <c r="D27" i="20"/>
  <c r="E27" i="20"/>
  <c r="F27" i="20"/>
  <c r="G27" i="20"/>
  <c r="H27" i="20"/>
  <c r="I27" i="20"/>
  <c r="J27" i="20"/>
  <c r="K27" i="20"/>
  <c r="L27" i="20"/>
  <c r="D28" i="20"/>
  <c r="E28" i="20"/>
  <c r="F28" i="20"/>
  <c r="G28" i="20"/>
  <c r="H28" i="20"/>
  <c r="I28" i="20"/>
  <c r="J28" i="20"/>
  <c r="K28" i="20"/>
  <c r="L28" i="20"/>
  <c r="D29" i="20"/>
  <c r="E29" i="20"/>
  <c r="F29" i="20"/>
  <c r="G29" i="20"/>
  <c r="H29" i="20"/>
  <c r="I29" i="20"/>
  <c r="J29" i="20"/>
  <c r="K29" i="20"/>
  <c r="L29" i="20"/>
  <c r="C29" i="20"/>
  <c r="C28" i="20"/>
  <c r="C27" i="20"/>
  <c r="D23" i="20"/>
  <c r="E23" i="20"/>
  <c r="F23" i="20"/>
  <c r="G23" i="20"/>
  <c r="H23" i="20"/>
  <c r="I23" i="20"/>
  <c r="J23" i="20"/>
  <c r="K23" i="20"/>
  <c r="L23" i="20"/>
  <c r="D24" i="20"/>
  <c r="E24" i="20"/>
  <c r="F24" i="20"/>
  <c r="G24" i="20"/>
  <c r="H24" i="20"/>
  <c r="I24" i="20"/>
  <c r="J24" i="20"/>
  <c r="K24" i="20"/>
  <c r="L24" i="20"/>
  <c r="D25" i="20"/>
  <c r="E25" i="20"/>
  <c r="F25" i="20"/>
  <c r="G25" i="20"/>
  <c r="H25" i="20"/>
  <c r="I25" i="20"/>
  <c r="J25" i="20"/>
  <c r="K25" i="20"/>
  <c r="L25" i="20"/>
  <c r="C25" i="20"/>
  <c r="C24" i="20"/>
  <c r="C23" i="20"/>
  <c r="L21" i="20"/>
  <c r="D21" i="20"/>
  <c r="E21" i="20"/>
  <c r="F21" i="20"/>
  <c r="G21" i="20"/>
  <c r="H21" i="20"/>
  <c r="I21" i="20"/>
  <c r="J21" i="20"/>
  <c r="K21" i="20"/>
  <c r="C21" i="20"/>
  <c r="D18" i="20"/>
  <c r="E18" i="20"/>
  <c r="F18" i="20"/>
  <c r="G18" i="20"/>
  <c r="H18" i="20"/>
  <c r="I18" i="20"/>
  <c r="J18" i="20"/>
  <c r="K18" i="20"/>
  <c r="L18" i="20"/>
  <c r="C18" i="20"/>
  <c r="F32" i="131"/>
  <c r="K31" i="131"/>
  <c r="E30" i="131"/>
  <c r="E32" i="131" s="1"/>
  <c r="F30" i="131"/>
  <c r="G30" i="131"/>
  <c r="G32" i="131" s="1"/>
  <c r="H30" i="131"/>
  <c r="H32" i="131" s="1"/>
  <c r="I30" i="131"/>
  <c r="I32" i="131" s="1"/>
  <c r="J30" i="131"/>
  <c r="J32" i="131" s="1"/>
  <c r="K29" i="131"/>
  <c r="K28" i="131"/>
  <c r="D30" i="131"/>
  <c r="D32" i="131" s="1"/>
  <c r="J26" i="131"/>
  <c r="K1" i="131"/>
  <c r="K32" i="131" l="1"/>
  <c r="K30" i="131"/>
  <c r="J85" i="54"/>
  <c r="D48" i="133"/>
  <c r="K48" i="133" s="1"/>
  <c r="D95" i="133"/>
  <c r="K95" i="133" s="1"/>
  <c r="Q95" i="133" s="1"/>
  <c r="H86" i="133"/>
  <c r="H85" i="133"/>
  <c r="D94" i="133"/>
  <c r="K94" i="133" s="1"/>
  <c r="Q94" i="133" s="1"/>
  <c r="D84" i="133"/>
  <c r="I85" i="54"/>
  <c r="W53" i="98"/>
  <c r="Y18" i="98"/>
  <c r="G85" i="54"/>
  <c r="F68" i="54"/>
  <c r="K85" i="54"/>
  <c r="L68" i="54"/>
  <c r="L85" i="54" s="1"/>
  <c r="AA17" i="54"/>
  <c r="AB52" i="54" s="1"/>
  <c r="Y52" i="54"/>
  <c r="D62" i="122"/>
  <c r="F62" i="122" s="1"/>
  <c r="C62" i="122"/>
  <c r="E61" i="122"/>
  <c r="E60" i="122"/>
  <c r="E59" i="122"/>
  <c r="E58" i="122"/>
  <c r="E57" i="122"/>
  <c r="E56" i="122"/>
  <c r="A39" i="122"/>
  <c r="A38" i="122"/>
  <c r="A37" i="122"/>
  <c r="A36" i="122"/>
  <c r="A35" i="122"/>
  <c r="A34" i="122"/>
  <c r="A1" i="122"/>
  <c r="H84" i="133" l="1"/>
  <c r="D93" i="133"/>
  <c r="K93" i="133" s="1"/>
  <c r="Q93" i="133" s="1"/>
  <c r="F85" i="54"/>
  <c r="E68" i="54"/>
  <c r="Z53" i="98"/>
  <c r="AB18" i="98"/>
  <c r="AC53" i="98" s="1"/>
  <c r="G91" i="122"/>
  <c r="G94" i="122" s="1"/>
  <c r="F91" i="122"/>
  <c r="F94" i="122" s="1"/>
  <c r="B40" i="122"/>
  <c r="E62" i="122"/>
  <c r="E91" i="122" s="1"/>
  <c r="E94" i="122" s="1"/>
  <c r="D68" i="54" l="1"/>
  <c r="D85" i="54" s="1"/>
  <c r="E85" i="54"/>
  <c r="B94" i="122" l="1"/>
  <c r="H34" i="122" l="1"/>
  <c r="C40" i="122" l="1"/>
  <c r="C89" i="122" l="1"/>
  <c r="C91" i="122" l="1"/>
  <c r="H35" i="122" l="1"/>
  <c r="C94" i="122"/>
  <c r="D89" i="122" l="1"/>
  <c r="D40" i="122"/>
  <c r="D91" i="122" l="1"/>
  <c r="H89" i="122"/>
  <c r="H36" i="122" l="1"/>
  <c r="D94" i="122"/>
  <c r="H94" i="122" s="1"/>
  <c r="H91" i="122"/>
  <c r="E40" i="122" l="1"/>
  <c r="F40" i="122" l="1"/>
  <c r="H38" i="122" l="1"/>
  <c r="H39" i="122"/>
  <c r="G40" i="122"/>
  <c r="H37" i="122"/>
  <c r="H40" i="122" l="1"/>
  <c r="B26" i="122" s="1"/>
  <c r="G27" i="122"/>
  <c r="D28" i="122"/>
  <c r="E28" i="122"/>
  <c r="F28" i="122"/>
  <c r="G28" i="122"/>
  <c r="E29" i="122"/>
  <c r="F29" i="122"/>
  <c r="F30" i="122"/>
  <c r="G29" i="122"/>
  <c r="G31" i="122"/>
  <c r="H31" i="122" s="1"/>
  <c r="G30" i="122"/>
  <c r="F27" i="122" l="1"/>
  <c r="E27" i="122"/>
  <c r="D27" i="122"/>
  <c r="C27" i="122"/>
  <c r="H27" i="122" s="1"/>
  <c r="G26" i="122"/>
  <c r="G32" i="122" s="1"/>
  <c r="F26" i="122"/>
  <c r="E26" i="122"/>
  <c r="E32" i="122" s="1"/>
  <c r="D26" i="122"/>
  <c r="D32" i="122" s="1"/>
  <c r="C26" i="122"/>
  <c r="H29" i="122"/>
  <c r="H28" i="122"/>
  <c r="F32" i="122"/>
  <c r="H30" i="122"/>
  <c r="B32" i="122"/>
  <c r="L13" i="20"/>
  <c r="K13" i="20"/>
  <c r="J13" i="20"/>
  <c r="I13" i="20"/>
  <c r="C32" i="122" l="1"/>
  <c r="H26" i="122"/>
  <c r="H32" i="122"/>
  <c r="M18" i="80"/>
  <c r="M19" i="80"/>
  <c r="M20" i="80"/>
  <c r="M21" i="80"/>
  <c r="M22" i="80"/>
  <c r="M23" i="80"/>
  <c r="M24" i="80"/>
  <c r="M25" i="80"/>
  <c r="M26" i="80"/>
  <c r="M27" i="80"/>
  <c r="M28" i="80"/>
  <c r="M17" i="80"/>
  <c r="M29" i="80" l="1"/>
  <c r="E29" i="80"/>
  <c r="G58" i="130" l="1"/>
  <c r="C58" i="130"/>
  <c r="E57" i="130"/>
  <c r="E56" i="130"/>
  <c r="E55" i="130"/>
  <c r="E54" i="130"/>
  <c r="E53" i="130"/>
  <c r="E52" i="130"/>
  <c r="E51" i="130"/>
  <c r="E50" i="130"/>
  <c r="E49" i="130"/>
  <c r="E48" i="130"/>
  <c r="E47" i="130"/>
  <c r="E46" i="130"/>
  <c r="E45" i="130"/>
  <c r="E44" i="130"/>
  <c r="E43" i="130"/>
  <c r="E42" i="130"/>
  <c r="E41" i="130"/>
  <c r="E40" i="130"/>
  <c r="E39" i="130"/>
  <c r="E38" i="130"/>
  <c r="E37" i="130"/>
  <c r="E36" i="130"/>
  <c r="E35" i="130"/>
  <c r="E34" i="130"/>
  <c r="E33" i="130"/>
  <c r="E32" i="130"/>
  <c r="E31" i="130"/>
  <c r="E30" i="130"/>
  <c r="E29" i="130"/>
  <c r="E28" i="130"/>
  <c r="E27" i="130"/>
  <c r="E26" i="130"/>
  <c r="E25" i="130"/>
  <c r="E24" i="130"/>
  <c r="E23" i="130"/>
  <c r="E22" i="130"/>
  <c r="E21" i="130"/>
  <c r="E20" i="130"/>
  <c r="K1" i="130"/>
  <c r="C31" i="118" l="1"/>
  <c r="D28" i="118" s="1"/>
  <c r="D31" i="118" s="1"/>
  <c r="C25" i="118"/>
  <c r="D22" i="118" s="1"/>
  <c r="D25" i="118" s="1"/>
  <c r="D33" i="118" l="1"/>
  <c r="C33" i="118"/>
  <c r="I20" i="120"/>
  <c r="J58" i="120"/>
  <c r="I57" i="120"/>
  <c r="I56" i="120"/>
  <c r="I55" i="120"/>
  <c r="I54" i="120"/>
  <c r="I53" i="120"/>
  <c r="I52" i="120"/>
  <c r="I51" i="120"/>
  <c r="I50" i="120"/>
  <c r="I49" i="120"/>
  <c r="I48" i="120"/>
  <c r="I47" i="120"/>
  <c r="I46" i="120"/>
  <c r="I45" i="120"/>
  <c r="I44" i="120"/>
  <c r="I43" i="120"/>
  <c r="I42" i="120"/>
  <c r="I41" i="120"/>
  <c r="I40" i="120"/>
  <c r="I39" i="120"/>
  <c r="I38" i="120"/>
  <c r="I37" i="120"/>
  <c r="I36" i="120"/>
  <c r="I35" i="120"/>
  <c r="I34" i="120"/>
  <c r="I33" i="120"/>
  <c r="I32" i="120"/>
  <c r="I31" i="120"/>
  <c r="I30" i="120"/>
  <c r="I29" i="120"/>
  <c r="I28" i="120"/>
  <c r="I27" i="120"/>
  <c r="I26" i="120"/>
  <c r="I25" i="120"/>
  <c r="I24" i="120"/>
  <c r="I23" i="120"/>
  <c r="I22" i="120"/>
  <c r="I21" i="120"/>
  <c r="I58" i="120" l="1"/>
  <c r="E15" i="81"/>
  <c r="D15" i="81"/>
  <c r="B16" i="53" l="1"/>
  <c r="G16" i="53" s="1"/>
  <c r="L16" i="53" s="1"/>
  <c r="C16" i="53"/>
  <c r="H16" i="53" s="1"/>
  <c r="M16" i="53" s="1"/>
  <c r="D16" i="53"/>
  <c r="I16" i="53" s="1"/>
  <c r="N16" i="53" s="1"/>
  <c r="E16" i="53"/>
  <c r="J16" i="53" s="1"/>
  <c r="O16" i="53" s="1"/>
  <c r="F16" i="53"/>
  <c r="K29" i="53" s="1"/>
  <c r="C17" i="118"/>
  <c r="D17" i="118"/>
  <c r="E17" i="118"/>
  <c r="F17" i="118"/>
  <c r="F32" i="71"/>
  <c r="D32" i="71" s="1"/>
  <c r="F15" i="71"/>
  <c r="B15" i="71" s="1"/>
  <c r="D15" i="71" l="1"/>
  <c r="C15" i="71"/>
  <c r="K16" i="53"/>
  <c r="P16" i="53" s="1"/>
  <c r="C32" i="71"/>
  <c r="B32" i="71"/>
  <c r="E15" i="71"/>
  <c r="E32" i="71"/>
  <c r="G29" i="53"/>
  <c r="H29" i="53"/>
  <c r="I29" i="53"/>
  <c r="J29" i="53"/>
  <c r="AB23" i="98" l="1"/>
  <c r="Y23" i="98"/>
  <c r="V23" i="98"/>
  <c r="S23" i="98"/>
  <c r="P23" i="98"/>
  <c r="M23" i="98"/>
  <c r="J23" i="98"/>
  <c r="G23" i="98"/>
  <c r="D23" i="98"/>
  <c r="AB22" i="98"/>
  <c r="Y22" i="98"/>
  <c r="V22" i="98"/>
  <c r="S22" i="98"/>
  <c r="P22" i="98"/>
  <c r="M22" i="98"/>
  <c r="J22" i="98"/>
  <c r="G22" i="98"/>
  <c r="D22" i="98"/>
  <c r="L72" i="54"/>
  <c r="L88" i="54" s="1"/>
  <c r="K72" i="54"/>
  <c r="J72" i="54"/>
  <c r="I72" i="54"/>
  <c r="H72" i="54"/>
  <c r="G72" i="54"/>
  <c r="F72" i="54"/>
  <c r="E72" i="54"/>
  <c r="D72" i="54"/>
  <c r="AA22" i="54"/>
  <c r="X22" i="54"/>
  <c r="U22" i="54"/>
  <c r="R22" i="54"/>
  <c r="O22" i="54"/>
  <c r="L22" i="54"/>
  <c r="I22" i="54"/>
  <c r="F22" i="54"/>
  <c r="AA21" i="54"/>
  <c r="X21" i="54"/>
  <c r="U21" i="54"/>
  <c r="R21" i="54"/>
  <c r="O21" i="54"/>
  <c r="L21" i="54"/>
  <c r="I21" i="54"/>
  <c r="F21" i="54"/>
  <c r="C22" i="54"/>
  <c r="C21" i="54"/>
  <c r="I88" i="54"/>
  <c r="J88" i="54"/>
  <c r="K88" i="54"/>
  <c r="O58" i="98" l="1"/>
  <c r="N58" i="98"/>
  <c r="L58" i="98"/>
  <c r="K58" i="98"/>
  <c r="I58" i="98"/>
  <c r="H58" i="98"/>
  <c r="F58" i="98"/>
  <c r="E58" i="98"/>
  <c r="AD23" i="98"/>
  <c r="AA23" i="98"/>
  <c r="Z23" i="98"/>
  <c r="X23" i="98"/>
  <c r="X24" i="98" s="1"/>
  <c r="W23" i="98"/>
  <c r="R23" i="98"/>
  <c r="O23" i="98"/>
  <c r="N23" i="98"/>
  <c r="L23" i="98"/>
  <c r="L24" i="98" s="1"/>
  <c r="K23" i="98"/>
  <c r="F23" i="98"/>
  <c r="AC22" i="98"/>
  <c r="Z22" i="98"/>
  <c r="W22" i="98"/>
  <c r="W37" i="98" s="1"/>
  <c r="T22" i="98"/>
  <c r="Q22" i="98"/>
  <c r="N22" i="98"/>
  <c r="K22" i="98"/>
  <c r="H22" i="98"/>
  <c r="E22" i="98"/>
  <c r="O1" i="98"/>
  <c r="D72" i="98"/>
  <c r="D88" i="98" s="1"/>
  <c r="E72" i="98"/>
  <c r="E77" i="98" s="1"/>
  <c r="F72" i="98"/>
  <c r="F77" i="98" s="1"/>
  <c r="G72" i="98"/>
  <c r="I72" i="98"/>
  <c r="I77" i="98" s="1"/>
  <c r="J72" i="98"/>
  <c r="K72" i="98"/>
  <c r="L72" i="98"/>
  <c r="L88" i="98" s="1"/>
  <c r="D73" i="98"/>
  <c r="E71" i="98" s="1"/>
  <c r="E73" i="98"/>
  <c r="F71" i="98" s="1"/>
  <c r="E76" i="98"/>
  <c r="D77" i="98"/>
  <c r="D78" i="98" s="1"/>
  <c r="D38" i="98" s="1"/>
  <c r="G77" i="98"/>
  <c r="J77" i="98"/>
  <c r="K77" i="98"/>
  <c r="L77" i="98"/>
  <c r="D80" i="98"/>
  <c r="D81" i="98"/>
  <c r="D82" i="98" s="1"/>
  <c r="D21" i="98" s="1"/>
  <c r="E88" i="98"/>
  <c r="E90" i="98" s="1"/>
  <c r="G88" i="98"/>
  <c r="I88" i="98"/>
  <c r="I90" i="98" s="1"/>
  <c r="J88" i="98"/>
  <c r="J90" i="98" s="1"/>
  <c r="K88" i="98"/>
  <c r="D89" i="98"/>
  <c r="D90" i="98"/>
  <c r="G90" i="98"/>
  <c r="K90" i="98"/>
  <c r="L90" i="98"/>
  <c r="D91" i="98"/>
  <c r="D94" i="98" s="1"/>
  <c r="D92" i="98"/>
  <c r="E92" i="98"/>
  <c r="F92" i="98"/>
  <c r="G92" i="98"/>
  <c r="H92" i="98"/>
  <c r="I92" i="98"/>
  <c r="J92" i="98"/>
  <c r="K92" i="98"/>
  <c r="L92" i="98"/>
  <c r="D93" i="98"/>
  <c r="E93" i="98"/>
  <c r="F93" i="98"/>
  <c r="G93" i="98"/>
  <c r="H93" i="98"/>
  <c r="I93" i="98"/>
  <c r="J93" i="98"/>
  <c r="K93" i="98"/>
  <c r="L93" i="98"/>
  <c r="G93" i="54"/>
  <c r="H93" i="54" s="1"/>
  <c r="I93" i="54" s="1"/>
  <c r="J93" i="54" s="1"/>
  <c r="K93" i="54" s="1"/>
  <c r="L93" i="54" s="1"/>
  <c r="E93" i="54"/>
  <c r="F93" i="54" s="1"/>
  <c r="D93" i="54"/>
  <c r="H92" i="54"/>
  <c r="I92" i="54" s="1"/>
  <c r="J92" i="54" s="1"/>
  <c r="K92" i="54" s="1"/>
  <c r="L92" i="54" s="1"/>
  <c r="D92" i="54"/>
  <c r="E92" i="54" s="1"/>
  <c r="F92" i="54" s="1"/>
  <c r="G92" i="54" s="1"/>
  <c r="J90" i="54"/>
  <c r="I90" i="54"/>
  <c r="L90" i="54"/>
  <c r="K90" i="54"/>
  <c r="D88" i="54"/>
  <c r="D80" i="54"/>
  <c r="I77" i="54"/>
  <c r="E77" i="54"/>
  <c r="D76" i="54"/>
  <c r="L77" i="54"/>
  <c r="K77" i="54"/>
  <c r="J77" i="54"/>
  <c r="H77" i="54"/>
  <c r="G88" i="54"/>
  <c r="G90" i="54" s="1"/>
  <c r="F88" i="54"/>
  <c r="F90" i="54" s="1"/>
  <c r="E88" i="54"/>
  <c r="E90" i="54" s="1"/>
  <c r="O37" i="54"/>
  <c r="H37" i="54"/>
  <c r="H56" i="54" s="1"/>
  <c r="G37" i="54"/>
  <c r="G56" i="54" s="1"/>
  <c r="F37" i="54"/>
  <c r="Q23" i="54"/>
  <c r="AB22" i="54"/>
  <c r="AB23" i="54" s="1"/>
  <c r="AC22" i="54"/>
  <c r="AC36" i="54" s="1"/>
  <c r="Y22" i="54"/>
  <c r="W22" i="54"/>
  <c r="W36" i="54" s="1"/>
  <c r="V22" i="54"/>
  <c r="T22" i="54"/>
  <c r="S22" i="54"/>
  <c r="Q22" i="54"/>
  <c r="Q36" i="54" s="1"/>
  <c r="N22" i="54"/>
  <c r="M22" i="54"/>
  <c r="K22" i="54"/>
  <c r="K36" i="54" s="1"/>
  <c r="J22" i="54"/>
  <c r="H22" i="54"/>
  <c r="D22" i="54"/>
  <c r="E22" i="54"/>
  <c r="E36" i="54" s="1"/>
  <c r="AB21" i="54"/>
  <c r="Y21" i="54"/>
  <c r="V21" i="54"/>
  <c r="V36" i="54" s="1"/>
  <c r="S21" i="54"/>
  <c r="S23" i="54" s="1"/>
  <c r="P21" i="54"/>
  <c r="M21" i="54"/>
  <c r="J21" i="54"/>
  <c r="J23" i="54" s="1"/>
  <c r="G21" i="54"/>
  <c r="D21" i="54"/>
  <c r="K101" i="55"/>
  <c r="J101" i="55"/>
  <c r="I101" i="55"/>
  <c r="H101" i="55"/>
  <c r="G101" i="55"/>
  <c r="F101" i="55"/>
  <c r="E101" i="55"/>
  <c r="D101" i="55"/>
  <c r="C101" i="55"/>
  <c r="K100" i="55"/>
  <c r="J100" i="55"/>
  <c r="I100" i="55"/>
  <c r="H100" i="55"/>
  <c r="G100" i="55"/>
  <c r="F100" i="55"/>
  <c r="E100" i="55"/>
  <c r="D100" i="55"/>
  <c r="C100" i="55"/>
  <c r="K99" i="55"/>
  <c r="J99" i="55"/>
  <c r="I99" i="55"/>
  <c r="H99" i="55"/>
  <c r="G99" i="55"/>
  <c r="H72" i="98" s="1"/>
  <c r="F99" i="55"/>
  <c r="E99" i="55"/>
  <c r="D99" i="55"/>
  <c r="C99" i="55"/>
  <c r="H68" i="55"/>
  <c r="I68" i="55" s="1"/>
  <c r="J68" i="55" s="1"/>
  <c r="K68" i="55" s="1"/>
  <c r="K64" i="55"/>
  <c r="J64" i="55"/>
  <c r="I64" i="55"/>
  <c r="H64" i="55"/>
  <c r="G64" i="55"/>
  <c r="F64" i="55"/>
  <c r="E64" i="55"/>
  <c r="D64" i="55"/>
  <c r="C64" i="55"/>
  <c r="K63" i="55"/>
  <c r="J63" i="55"/>
  <c r="I63" i="55"/>
  <c r="H63" i="55"/>
  <c r="G63" i="55"/>
  <c r="F63" i="55"/>
  <c r="E63" i="55"/>
  <c r="D63" i="55"/>
  <c r="C63" i="55"/>
  <c r="K62" i="55"/>
  <c r="J62" i="55"/>
  <c r="I62" i="55"/>
  <c r="H62" i="55"/>
  <c r="G62" i="55"/>
  <c r="F62" i="55"/>
  <c r="E62" i="55"/>
  <c r="D62" i="55"/>
  <c r="C62" i="55"/>
  <c r="E38" i="98" l="1"/>
  <c r="E57" i="98" s="1"/>
  <c r="F38" i="98"/>
  <c r="F57" i="98" s="1"/>
  <c r="H88" i="98"/>
  <c r="H90" i="98" s="1"/>
  <c r="H77" i="98"/>
  <c r="Y36" i="54"/>
  <c r="X37" i="98"/>
  <c r="K23" i="54"/>
  <c r="K24" i="98"/>
  <c r="M36" i="54"/>
  <c r="AC23" i="54"/>
  <c r="E23" i="54"/>
  <c r="D23" i="54"/>
  <c r="F21" i="98"/>
  <c r="E21" i="98"/>
  <c r="N37" i="98"/>
  <c r="N24" i="98"/>
  <c r="R37" i="98"/>
  <c r="R24" i="98"/>
  <c r="F37" i="98"/>
  <c r="F24" i="98"/>
  <c r="U23" i="98"/>
  <c r="T23" i="98"/>
  <c r="T37" i="98" s="1"/>
  <c r="Z37" i="98"/>
  <c r="Z24" i="98"/>
  <c r="H23" i="98"/>
  <c r="H37" i="98" s="1"/>
  <c r="I23" i="98"/>
  <c r="AA37" i="98"/>
  <c r="AA24" i="98"/>
  <c r="Q24" i="98"/>
  <c r="K37" i="98"/>
  <c r="O37" i="98"/>
  <c r="O24" i="98"/>
  <c r="AD37" i="98"/>
  <c r="AD24" i="98"/>
  <c r="W24" i="98"/>
  <c r="E37" i="98"/>
  <c r="Q23" i="98"/>
  <c r="Q37" i="98" s="1"/>
  <c r="AC23" i="98"/>
  <c r="AC37" i="98" s="1"/>
  <c r="L37" i="98"/>
  <c r="D95" i="98"/>
  <c r="E87" i="98" s="1"/>
  <c r="E89" i="98" s="1"/>
  <c r="F73" i="98"/>
  <c r="F76" i="98"/>
  <c r="E75" i="98"/>
  <c r="F88" i="98"/>
  <c r="F90" i="98" s="1"/>
  <c r="H36" i="54"/>
  <c r="H23" i="54"/>
  <c r="N36" i="54"/>
  <c r="N23" i="54"/>
  <c r="D36" i="54"/>
  <c r="J36" i="54"/>
  <c r="P36" i="54"/>
  <c r="AB36" i="54"/>
  <c r="G22" i="54"/>
  <c r="G23" i="54" s="1"/>
  <c r="P22" i="54"/>
  <c r="Z22" i="54"/>
  <c r="M23" i="54"/>
  <c r="V23" i="54"/>
  <c r="P37" i="54"/>
  <c r="P56" i="54" s="1"/>
  <c r="Q37" i="54"/>
  <c r="Q56" i="54" s="1"/>
  <c r="P23" i="54"/>
  <c r="W23" i="54"/>
  <c r="S36" i="54"/>
  <c r="Y23" i="54"/>
  <c r="T36" i="54"/>
  <c r="T23" i="54"/>
  <c r="D90" i="54"/>
  <c r="D89" i="54"/>
  <c r="D77" i="54"/>
  <c r="D73" i="54"/>
  <c r="H88" i="54"/>
  <c r="H90" i="54" s="1"/>
  <c r="F77" i="54"/>
  <c r="I37" i="54" s="1"/>
  <c r="G77" i="54"/>
  <c r="L37" i="54" s="1"/>
  <c r="G36" i="54" l="1"/>
  <c r="F25" i="98"/>
  <c r="F30" i="98" s="1"/>
  <c r="F34" i="98" s="1"/>
  <c r="F56" i="98" s="1"/>
  <c r="F59" i="98" s="1"/>
  <c r="F63" i="98" s="1"/>
  <c r="F65" i="98" s="1"/>
  <c r="F66" i="98" s="1"/>
  <c r="F39" i="98" s="1"/>
  <c r="AC24" i="98"/>
  <c r="H24" i="98"/>
  <c r="E24" i="98"/>
  <c r="E25" i="98" s="1"/>
  <c r="T24" i="98"/>
  <c r="U24" i="98"/>
  <c r="U37" i="98"/>
  <c r="I37" i="98"/>
  <c r="I24" i="98"/>
  <c r="G71" i="98"/>
  <c r="E80" i="98"/>
  <c r="E78" i="98"/>
  <c r="G38" i="98" s="1"/>
  <c r="E91" i="98"/>
  <c r="E94" i="98" s="1"/>
  <c r="E95" i="98"/>
  <c r="F87" i="98" s="1"/>
  <c r="F89" i="98" s="1"/>
  <c r="N37" i="54"/>
  <c r="N56" i="54" s="1"/>
  <c r="M37" i="54"/>
  <c r="M56" i="54" s="1"/>
  <c r="D78" i="54"/>
  <c r="E75" i="54" s="1"/>
  <c r="C37" i="54"/>
  <c r="J37" i="54"/>
  <c r="J56" i="54" s="1"/>
  <c r="K37" i="54"/>
  <c r="K56" i="54" s="1"/>
  <c r="D91" i="54"/>
  <c r="D94" i="54" s="1"/>
  <c r="Z36" i="54"/>
  <c r="Z23" i="54"/>
  <c r="E71" i="54"/>
  <c r="F28" i="98" l="1"/>
  <c r="F32" i="98" s="1"/>
  <c r="H38" i="98"/>
  <c r="H57" i="98" s="1"/>
  <c r="I38" i="98"/>
  <c r="I57" i="98" s="1"/>
  <c r="F29" i="98"/>
  <c r="F33" i="98" s="1"/>
  <c r="F35" i="98"/>
  <c r="F41" i="98" s="1"/>
  <c r="F44" i="98" s="1"/>
  <c r="F46" i="98" s="1"/>
  <c r="D81" i="54"/>
  <c r="D82" i="54" s="1"/>
  <c r="C20" i="54" s="1"/>
  <c r="E20" i="54" s="1"/>
  <c r="E24" i="54" s="1"/>
  <c r="E30" i="98"/>
  <c r="E34" i="98" s="1"/>
  <c r="E56" i="98" s="1"/>
  <c r="E59" i="98" s="1"/>
  <c r="E63" i="98" s="1"/>
  <c r="E65" i="98" s="1"/>
  <c r="E66" i="98" s="1"/>
  <c r="E39" i="98" s="1"/>
  <c r="E28" i="98"/>
  <c r="E32" i="98" s="1"/>
  <c r="E29" i="98"/>
  <c r="E33" i="98" s="1"/>
  <c r="F75" i="98"/>
  <c r="E81" i="98"/>
  <c r="E82" i="98" s="1"/>
  <c r="G21" i="98" s="1"/>
  <c r="G73" i="98"/>
  <c r="G76" i="98"/>
  <c r="F91" i="98"/>
  <c r="F94" i="98" s="1"/>
  <c r="F95" i="98"/>
  <c r="G87" i="98" s="1"/>
  <c r="G89" i="98" s="1"/>
  <c r="E76" i="54"/>
  <c r="E78" i="54" s="1"/>
  <c r="F75" i="54" s="1"/>
  <c r="E80" i="54"/>
  <c r="E73" i="54"/>
  <c r="D57" i="54"/>
  <c r="E57" i="54"/>
  <c r="D37" i="54"/>
  <c r="D56" i="54" s="1"/>
  <c r="E37" i="54"/>
  <c r="E56" i="54" s="1"/>
  <c r="D20" i="54"/>
  <c r="D24" i="54" s="1"/>
  <c r="D95" i="54"/>
  <c r="E87" i="54" s="1"/>
  <c r="E89" i="54" s="1"/>
  <c r="I21" i="98" l="1"/>
  <c r="I25" i="98" s="1"/>
  <c r="H21" i="98"/>
  <c r="H25" i="98" s="1"/>
  <c r="E35" i="98"/>
  <c r="E41" i="98" s="1"/>
  <c r="F78" i="98"/>
  <c r="J38" i="98" s="1"/>
  <c r="F80" i="98"/>
  <c r="G91" i="98"/>
  <c r="G94" i="98" s="1"/>
  <c r="G95" i="98"/>
  <c r="H87" i="98" s="1"/>
  <c r="H89" i="98" s="1"/>
  <c r="H71" i="98"/>
  <c r="E91" i="54"/>
  <c r="E94" i="54" s="1"/>
  <c r="E82" i="54"/>
  <c r="F20" i="54" s="1"/>
  <c r="D28" i="54"/>
  <c r="D32" i="54" s="1"/>
  <c r="D29" i="54"/>
  <c r="D33" i="54" s="1"/>
  <c r="D55" i="54" s="1"/>
  <c r="D58" i="54" s="1"/>
  <c r="D62" i="54" s="1"/>
  <c r="D64" i="54" s="1"/>
  <c r="D65" i="54" s="1"/>
  <c r="D38" i="54" s="1"/>
  <c r="D27" i="54"/>
  <c r="D31" i="54" s="1"/>
  <c r="E28" i="54"/>
  <c r="E32" i="54" s="1"/>
  <c r="E27" i="54"/>
  <c r="E31" i="54" s="1"/>
  <c r="E29" i="54"/>
  <c r="E33" i="54" s="1"/>
  <c r="E55" i="54" s="1"/>
  <c r="E58" i="54" s="1"/>
  <c r="E62" i="54" s="1"/>
  <c r="E64" i="54" s="1"/>
  <c r="E65" i="54" s="1"/>
  <c r="E38" i="54" s="1"/>
  <c r="E81" i="54"/>
  <c r="F71" i="54"/>
  <c r="H29" i="98" l="1"/>
  <c r="H33" i="98" s="1"/>
  <c r="H30" i="98"/>
  <c r="H34" i="98" s="1"/>
  <c r="H56" i="98" s="1"/>
  <c r="H59" i="98" s="1"/>
  <c r="H63" i="98" s="1"/>
  <c r="H65" i="98" s="1"/>
  <c r="H66" i="98" s="1"/>
  <c r="H39" i="98" s="1"/>
  <c r="H28" i="98"/>
  <c r="H32" i="98" s="1"/>
  <c r="H35" i="98" s="1"/>
  <c r="H41" i="98" s="1"/>
  <c r="L38" i="98"/>
  <c r="L57" i="98" s="1"/>
  <c r="K38" i="98"/>
  <c r="K57" i="98" s="1"/>
  <c r="I28" i="98"/>
  <c r="I32" i="98" s="1"/>
  <c r="I30" i="98"/>
  <c r="I34" i="98" s="1"/>
  <c r="I56" i="98" s="1"/>
  <c r="I59" i="98" s="1"/>
  <c r="I63" i="98" s="1"/>
  <c r="I65" i="98" s="1"/>
  <c r="I66" i="98" s="1"/>
  <c r="I39" i="98" s="1"/>
  <c r="I29" i="98"/>
  <c r="I33" i="98" s="1"/>
  <c r="H76" i="98"/>
  <c r="P38" i="98" s="1"/>
  <c r="H73" i="98"/>
  <c r="G75" i="98"/>
  <c r="F81" i="98"/>
  <c r="F82" i="98" s="1"/>
  <c r="J21" i="98" s="1"/>
  <c r="H91" i="98"/>
  <c r="H94" i="98" s="1"/>
  <c r="H57" i="54"/>
  <c r="G57" i="54"/>
  <c r="E34" i="54"/>
  <c r="E40" i="54" s="1"/>
  <c r="E43" i="54" s="1"/>
  <c r="E45" i="54" s="1"/>
  <c r="F80" i="54"/>
  <c r="F73" i="54"/>
  <c r="F76" i="54"/>
  <c r="F78" i="54" s="1"/>
  <c r="G75" i="54" s="1"/>
  <c r="H20" i="54"/>
  <c r="H24" i="54" s="1"/>
  <c r="G20" i="54"/>
  <c r="G24" i="54" s="1"/>
  <c r="D34" i="54"/>
  <c r="D40" i="54" s="1"/>
  <c r="E95" i="54"/>
  <c r="F87" i="54" s="1"/>
  <c r="F89" i="54" s="1"/>
  <c r="I35" i="98" l="1"/>
  <c r="I41" i="98" s="1"/>
  <c r="I44" i="98" s="1"/>
  <c r="I46" i="98" s="1"/>
  <c r="K21" i="98"/>
  <c r="K25" i="98" s="1"/>
  <c r="L21" i="98"/>
  <c r="L25" i="98" s="1"/>
  <c r="R38" i="98"/>
  <c r="R57" i="98" s="1"/>
  <c r="Q38" i="98"/>
  <c r="Q57" i="98" s="1"/>
  <c r="R58" i="98"/>
  <c r="Q58" i="98"/>
  <c r="G78" i="98"/>
  <c r="M38" i="98" s="1"/>
  <c r="G80" i="98"/>
  <c r="H95" i="98"/>
  <c r="I87" i="98" s="1"/>
  <c r="I89" i="98" s="1"/>
  <c r="I71" i="98"/>
  <c r="F91" i="54"/>
  <c r="F94" i="54" s="1"/>
  <c r="F81" i="54"/>
  <c r="G71" i="54"/>
  <c r="G29" i="54"/>
  <c r="G33" i="54" s="1"/>
  <c r="G55" i="54" s="1"/>
  <c r="G58" i="54" s="1"/>
  <c r="G62" i="54" s="1"/>
  <c r="G64" i="54" s="1"/>
  <c r="G65" i="54" s="1"/>
  <c r="G38" i="54" s="1"/>
  <c r="G28" i="54"/>
  <c r="G32" i="54" s="1"/>
  <c r="G27" i="54"/>
  <c r="G31" i="54" s="1"/>
  <c r="F82" i="54"/>
  <c r="I20" i="54" s="1"/>
  <c r="H29" i="54"/>
  <c r="H33" i="54" s="1"/>
  <c r="H55" i="54" s="1"/>
  <c r="H58" i="54" s="1"/>
  <c r="H62" i="54" s="1"/>
  <c r="H64" i="54" s="1"/>
  <c r="H65" i="54" s="1"/>
  <c r="H38" i="54" s="1"/>
  <c r="H27" i="54"/>
  <c r="H31" i="54" s="1"/>
  <c r="H28" i="54"/>
  <c r="H32" i="54" s="1"/>
  <c r="O38" i="98" l="1"/>
  <c r="O57" i="98" s="1"/>
  <c r="N38" i="98"/>
  <c r="N57" i="98" s="1"/>
  <c r="K28" i="98"/>
  <c r="K32" i="98" s="1"/>
  <c r="K29" i="98"/>
  <c r="K33" i="98" s="1"/>
  <c r="K30" i="98"/>
  <c r="K34" i="98" s="1"/>
  <c r="K56" i="98" s="1"/>
  <c r="K59" i="98" s="1"/>
  <c r="K63" i="98" s="1"/>
  <c r="K65" i="98" s="1"/>
  <c r="K66" i="98" s="1"/>
  <c r="K39" i="98" s="1"/>
  <c r="L30" i="98"/>
  <c r="L34" i="98" s="1"/>
  <c r="L56" i="98" s="1"/>
  <c r="L59" i="98" s="1"/>
  <c r="L63" i="98" s="1"/>
  <c r="L65" i="98" s="1"/>
  <c r="L66" i="98" s="1"/>
  <c r="L39" i="98" s="1"/>
  <c r="L28" i="98"/>
  <c r="L32" i="98" s="1"/>
  <c r="L29" i="98"/>
  <c r="L33" i="98" s="1"/>
  <c r="I73" i="98"/>
  <c r="I76" i="98"/>
  <c r="S38" i="98" s="1"/>
  <c r="I91" i="98"/>
  <c r="I94" i="98" s="1"/>
  <c r="I95" i="98"/>
  <c r="J87" i="98" s="1"/>
  <c r="J89" i="98" s="1"/>
  <c r="H75" i="98"/>
  <c r="H78" i="98" s="1"/>
  <c r="G81" i="98"/>
  <c r="H80" i="98" s="1"/>
  <c r="K57" i="54"/>
  <c r="J57" i="54"/>
  <c r="J20" i="54"/>
  <c r="J24" i="54" s="1"/>
  <c r="K20" i="54"/>
  <c r="K24" i="54" s="1"/>
  <c r="G76" i="54"/>
  <c r="G78" i="54" s="1"/>
  <c r="H75" i="54" s="1"/>
  <c r="G80" i="54"/>
  <c r="G73" i="54"/>
  <c r="F95" i="54"/>
  <c r="G87" i="54" s="1"/>
  <c r="G89" i="54" s="1"/>
  <c r="G34" i="54"/>
  <c r="G40" i="54" s="1"/>
  <c r="H34" i="54"/>
  <c r="H40" i="54" s="1"/>
  <c r="H43" i="54" s="1"/>
  <c r="H45" i="54" s="1"/>
  <c r="L35" i="98" l="1"/>
  <c r="L41" i="98" s="1"/>
  <c r="L44" i="98" s="1"/>
  <c r="L46" i="98" s="1"/>
  <c r="K35" i="98"/>
  <c r="K41" i="98" s="1"/>
  <c r="T38" i="98"/>
  <c r="T57" i="98" s="1"/>
  <c r="U38" i="98"/>
  <c r="U57" i="98" s="1"/>
  <c r="U58" i="98"/>
  <c r="T58" i="98"/>
  <c r="J91" i="98"/>
  <c r="J94" i="98" s="1"/>
  <c r="I75" i="98"/>
  <c r="I78" i="98" s="1"/>
  <c r="J75" i="98" s="1"/>
  <c r="H81" i="98"/>
  <c r="I80" i="98" s="1"/>
  <c r="J71" i="98"/>
  <c r="G82" i="98"/>
  <c r="M21" i="98" s="1"/>
  <c r="G91" i="54"/>
  <c r="G94" i="54" s="1"/>
  <c r="K28" i="54"/>
  <c r="K32" i="54" s="1"/>
  <c r="K27" i="54"/>
  <c r="K31" i="54" s="1"/>
  <c r="K29" i="54"/>
  <c r="K33" i="54" s="1"/>
  <c r="K55" i="54" s="1"/>
  <c r="K58" i="54" s="1"/>
  <c r="K62" i="54" s="1"/>
  <c r="K64" i="54" s="1"/>
  <c r="K65" i="54" s="1"/>
  <c r="K38" i="54" s="1"/>
  <c r="H71" i="54"/>
  <c r="G81" i="54"/>
  <c r="G82" i="54" s="1"/>
  <c r="L20" i="54" s="1"/>
  <c r="J29" i="54"/>
  <c r="J33" i="54" s="1"/>
  <c r="J55" i="54" s="1"/>
  <c r="J58" i="54" s="1"/>
  <c r="J62" i="54" s="1"/>
  <c r="J64" i="54" s="1"/>
  <c r="J65" i="54" s="1"/>
  <c r="J38" i="54" s="1"/>
  <c r="J27" i="54"/>
  <c r="J31" i="54" s="1"/>
  <c r="J28" i="54"/>
  <c r="J32" i="54" s="1"/>
  <c r="O21" i="98" l="1"/>
  <c r="O25" i="98" s="1"/>
  <c r="N21" i="98"/>
  <c r="N25" i="98" s="1"/>
  <c r="X58" i="98"/>
  <c r="W58" i="98"/>
  <c r="I81" i="98"/>
  <c r="J80" i="98" s="1"/>
  <c r="K34" i="54"/>
  <c r="K40" i="54" s="1"/>
  <c r="K43" i="54" s="1"/>
  <c r="K45" i="54" s="1"/>
  <c r="I82" i="98"/>
  <c r="S21" i="98" s="1"/>
  <c r="H82" i="98"/>
  <c r="P21" i="98" s="1"/>
  <c r="Q21" i="98" s="1"/>
  <c r="J73" i="98"/>
  <c r="J76" i="98"/>
  <c r="V38" i="98" s="1"/>
  <c r="J95" i="98"/>
  <c r="K87" i="98" s="1"/>
  <c r="K89" i="98" s="1"/>
  <c r="N20" i="54"/>
  <c r="N24" i="54" s="1"/>
  <c r="M20" i="54"/>
  <c r="M24" i="54" s="1"/>
  <c r="H76" i="54"/>
  <c r="H78" i="54" s="1"/>
  <c r="I75" i="54" s="1"/>
  <c r="H80" i="54"/>
  <c r="H73" i="54"/>
  <c r="N57" i="54"/>
  <c r="M57" i="54"/>
  <c r="J34" i="54"/>
  <c r="J40" i="54" s="1"/>
  <c r="G95" i="54"/>
  <c r="H87" i="54" s="1"/>
  <c r="H89" i="54" s="1"/>
  <c r="N29" i="98" l="1"/>
  <c r="N33" i="98" s="1"/>
  <c r="N28" i="98"/>
  <c r="N32" i="98" s="1"/>
  <c r="N30" i="98"/>
  <c r="N34" i="98" s="1"/>
  <c r="N56" i="98" s="1"/>
  <c r="N59" i="98" s="1"/>
  <c r="N63" i="98" s="1"/>
  <c r="N65" i="98" s="1"/>
  <c r="N66" i="98" s="1"/>
  <c r="N39" i="98" s="1"/>
  <c r="O29" i="98"/>
  <c r="O33" i="98" s="1"/>
  <c r="O28" i="98"/>
  <c r="O32" i="98" s="1"/>
  <c r="O30" i="98"/>
  <c r="O34" i="98" s="1"/>
  <c r="O56" i="98" s="1"/>
  <c r="O59" i="98" s="1"/>
  <c r="O63" i="98" s="1"/>
  <c r="O65" i="98" s="1"/>
  <c r="O66" i="98" s="1"/>
  <c r="O39" i="98" s="1"/>
  <c r="X38" i="98"/>
  <c r="X57" i="98" s="1"/>
  <c r="W38" i="98"/>
  <c r="W57" i="98" s="1"/>
  <c r="T21" i="98"/>
  <c r="T25" i="98" s="1"/>
  <c r="U21" i="98"/>
  <c r="U25" i="98" s="1"/>
  <c r="Q25" i="98"/>
  <c r="R21" i="98"/>
  <c r="R25" i="98" s="1"/>
  <c r="J78" i="98"/>
  <c r="K75" i="98" s="1"/>
  <c r="K71" i="98"/>
  <c r="K91" i="98"/>
  <c r="K94" i="98" s="1"/>
  <c r="M29" i="54"/>
  <c r="M33" i="54" s="1"/>
  <c r="M55" i="54" s="1"/>
  <c r="M58" i="54" s="1"/>
  <c r="M62" i="54" s="1"/>
  <c r="M64" i="54" s="1"/>
  <c r="M65" i="54" s="1"/>
  <c r="M38" i="54" s="1"/>
  <c r="M28" i="54"/>
  <c r="M32" i="54" s="1"/>
  <c r="M27" i="54"/>
  <c r="M31" i="54" s="1"/>
  <c r="H91" i="54"/>
  <c r="H94" i="54" s="1"/>
  <c r="H81" i="54"/>
  <c r="I80" i="54" s="1"/>
  <c r="I71" i="54"/>
  <c r="N29" i="54"/>
  <c r="N33" i="54" s="1"/>
  <c r="N55" i="54" s="1"/>
  <c r="N58" i="54" s="1"/>
  <c r="N62" i="54" s="1"/>
  <c r="N64" i="54" s="1"/>
  <c r="N65" i="54" s="1"/>
  <c r="N38" i="54" s="1"/>
  <c r="N27" i="54"/>
  <c r="N31" i="54" s="1"/>
  <c r="N28" i="54"/>
  <c r="N32" i="54" s="1"/>
  <c r="O35" i="98" l="1"/>
  <c r="O41" i="98" s="1"/>
  <c r="O44" i="98" s="1"/>
  <c r="O46" i="98" s="1"/>
  <c r="N35" i="98"/>
  <c r="N41" i="98" s="1"/>
  <c r="J81" i="98"/>
  <c r="J82" i="98" s="1"/>
  <c r="V21" i="98" s="1"/>
  <c r="R28" i="98"/>
  <c r="R32" i="98" s="1"/>
  <c r="R29" i="98"/>
  <c r="R33" i="98" s="1"/>
  <c r="R30" i="98"/>
  <c r="R34" i="98" s="1"/>
  <c r="R56" i="98" s="1"/>
  <c r="R59" i="98" s="1"/>
  <c r="R63" i="98" s="1"/>
  <c r="R65" i="98" s="1"/>
  <c r="R66" i="98" s="1"/>
  <c r="R39" i="98" s="1"/>
  <c r="U30" i="98"/>
  <c r="U34" i="98" s="1"/>
  <c r="U56" i="98" s="1"/>
  <c r="U59" i="98" s="1"/>
  <c r="U63" i="98" s="1"/>
  <c r="U65" i="98" s="1"/>
  <c r="U66" i="98" s="1"/>
  <c r="U39" i="98" s="1"/>
  <c r="U29" i="98"/>
  <c r="U33" i="98" s="1"/>
  <c r="U28" i="98"/>
  <c r="U32" i="98" s="1"/>
  <c r="AA58" i="98"/>
  <c r="Z58" i="98"/>
  <c r="Q30" i="98"/>
  <c r="Q34" i="98" s="1"/>
  <c r="Q56" i="98" s="1"/>
  <c r="Q59" i="98" s="1"/>
  <c r="Q63" i="98" s="1"/>
  <c r="Q65" i="98" s="1"/>
  <c r="Q66" i="98" s="1"/>
  <c r="Q39" i="98" s="1"/>
  <c r="Q28" i="98"/>
  <c r="Q32" i="98" s="1"/>
  <c r="Q29" i="98"/>
  <c r="Q33" i="98" s="1"/>
  <c r="T28" i="98"/>
  <c r="T32" i="98" s="1"/>
  <c r="T30" i="98"/>
  <c r="T34" i="98" s="1"/>
  <c r="T56" i="98" s="1"/>
  <c r="T59" i="98" s="1"/>
  <c r="T63" i="98" s="1"/>
  <c r="T65" i="98" s="1"/>
  <c r="T66" i="98" s="1"/>
  <c r="T39" i="98" s="1"/>
  <c r="T29" i="98"/>
  <c r="T33" i="98" s="1"/>
  <c r="K95" i="98"/>
  <c r="L87" i="98" s="1"/>
  <c r="L89" i="98" s="1"/>
  <c r="K73" i="98"/>
  <c r="K76" i="98"/>
  <c r="Y38" i="98" s="1"/>
  <c r="N34" i="54"/>
  <c r="N40" i="54" s="1"/>
  <c r="N43" i="54" s="1"/>
  <c r="N45" i="54" s="1"/>
  <c r="P57" i="54"/>
  <c r="Q57" i="54"/>
  <c r="H95" i="54"/>
  <c r="I87" i="54" s="1"/>
  <c r="I89" i="54" s="1"/>
  <c r="H82" i="54"/>
  <c r="O20" i="54" s="1"/>
  <c r="I76" i="54"/>
  <c r="I73" i="54"/>
  <c r="M34" i="54"/>
  <c r="M40" i="54" s="1"/>
  <c r="K36" i="122"/>
  <c r="K80" i="98" l="1"/>
  <c r="U35" i="98"/>
  <c r="U41" i="98" s="1"/>
  <c r="U44" i="98" s="1"/>
  <c r="U46" i="98" s="1"/>
  <c r="T35" i="98"/>
  <c r="T41" i="98" s="1"/>
  <c r="AA38" i="98"/>
  <c r="AA57" i="98" s="1"/>
  <c r="Z38" i="98"/>
  <c r="Z57" i="98" s="1"/>
  <c r="Q35" i="98"/>
  <c r="Q41" i="98" s="1"/>
  <c r="R35" i="98"/>
  <c r="R41" i="98" s="1"/>
  <c r="R44" i="98" s="1"/>
  <c r="R46" i="98" s="1"/>
  <c r="W21" i="98"/>
  <c r="W25" i="98" s="1"/>
  <c r="X21" i="98"/>
  <c r="X25" i="98" s="1"/>
  <c r="L71" i="98"/>
  <c r="L91" i="98"/>
  <c r="L94" i="98" s="1"/>
  <c r="L95" i="98"/>
  <c r="K78" i="98"/>
  <c r="L75" i="98" s="1"/>
  <c r="Q20" i="54"/>
  <c r="Q24" i="54" s="1"/>
  <c r="P20" i="54"/>
  <c r="P24" i="54" s="1"/>
  <c r="I91" i="54"/>
  <c r="I94" i="54" s="1"/>
  <c r="I81" i="54"/>
  <c r="J71" i="54"/>
  <c r="R37" i="54"/>
  <c r="I78" i="54"/>
  <c r="J75" i="54" s="1"/>
  <c r="H22" i="23"/>
  <c r="F22" i="23"/>
  <c r="X28" i="98" l="1"/>
  <c r="X32" i="98" s="1"/>
  <c r="X29" i="98"/>
  <c r="X33" i="98" s="1"/>
  <c r="X30" i="98"/>
  <c r="X34" i="98" s="1"/>
  <c r="X56" i="98" s="1"/>
  <c r="X59" i="98" s="1"/>
  <c r="X63" i="98" s="1"/>
  <c r="X65" i="98" s="1"/>
  <c r="X66" i="98" s="1"/>
  <c r="X39" i="98" s="1"/>
  <c r="W30" i="98"/>
  <c r="W34" i="98" s="1"/>
  <c r="W56" i="98" s="1"/>
  <c r="W59" i="98" s="1"/>
  <c r="W63" i="98" s="1"/>
  <c r="W65" i="98" s="1"/>
  <c r="W66" i="98" s="1"/>
  <c r="W39" i="98" s="1"/>
  <c r="W28" i="98"/>
  <c r="W32" i="98" s="1"/>
  <c r="W29" i="98"/>
  <c r="W33" i="98" s="1"/>
  <c r="AD58" i="98"/>
  <c r="AC58" i="98"/>
  <c r="K81" i="98"/>
  <c r="L80" i="98" s="1"/>
  <c r="K82" i="98"/>
  <c r="Y21" i="98" s="1"/>
  <c r="L73" i="98"/>
  <c r="L76" i="98"/>
  <c r="AB38" i="98" s="1"/>
  <c r="J73" i="54"/>
  <c r="J76" i="54"/>
  <c r="U37" i="54" s="1"/>
  <c r="P29" i="54"/>
  <c r="P33" i="54" s="1"/>
  <c r="P55" i="54" s="1"/>
  <c r="P58" i="54" s="1"/>
  <c r="P62" i="54" s="1"/>
  <c r="P64" i="54" s="1"/>
  <c r="P65" i="54" s="1"/>
  <c r="P38" i="54" s="1"/>
  <c r="P27" i="54"/>
  <c r="P31" i="54" s="1"/>
  <c r="P28" i="54"/>
  <c r="P32" i="54" s="1"/>
  <c r="J80" i="54"/>
  <c r="I82" i="54"/>
  <c r="R20" i="54" s="1"/>
  <c r="Q28" i="54"/>
  <c r="Q32" i="54" s="1"/>
  <c r="Q27" i="54"/>
  <c r="Q31" i="54" s="1"/>
  <c r="Q29" i="54"/>
  <c r="Q33" i="54" s="1"/>
  <c r="Q55" i="54" s="1"/>
  <c r="Q58" i="54" s="1"/>
  <c r="Q62" i="54" s="1"/>
  <c r="Q64" i="54" s="1"/>
  <c r="Q65" i="54" s="1"/>
  <c r="Q38" i="54" s="1"/>
  <c r="T57" i="54"/>
  <c r="S57" i="54"/>
  <c r="T37" i="54"/>
  <c r="T56" i="54" s="1"/>
  <c r="S37" i="54"/>
  <c r="S56" i="54" s="1"/>
  <c r="I95" i="54"/>
  <c r="J87" i="54" s="1"/>
  <c r="J89" i="54" s="1"/>
  <c r="F21" i="81"/>
  <c r="E35" i="81"/>
  <c r="D35" i="81"/>
  <c r="E20" i="81"/>
  <c r="E22" i="81" s="1"/>
  <c r="D20" i="81"/>
  <c r="D22" i="81" s="1"/>
  <c r="B47" i="71"/>
  <c r="B27" i="71"/>
  <c r="D57" i="100"/>
  <c r="D60" i="100" s="1"/>
  <c r="W35" i="98" l="1"/>
  <c r="W41" i="98" s="1"/>
  <c r="AA21" i="98"/>
  <c r="AA25" i="98" s="1"/>
  <c r="Z21" i="98"/>
  <c r="Z25" i="98" s="1"/>
  <c r="AD38" i="98"/>
  <c r="AD57" i="98" s="1"/>
  <c r="AC38" i="98"/>
  <c r="AC57" i="98" s="1"/>
  <c r="X35" i="98"/>
  <c r="X41" i="98" s="1"/>
  <c r="X44" i="98" s="1"/>
  <c r="X46" i="98" s="1"/>
  <c r="F20" i="81"/>
  <c r="F22" i="81"/>
  <c r="L78" i="98"/>
  <c r="L81" i="98" s="1"/>
  <c r="L82" i="98" s="1"/>
  <c r="AB21" i="98" s="1"/>
  <c r="V37" i="54"/>
  <c r="V56" i="54" s="1"/>
  <c r="W37" i="54"/>
  <c r="W56" i="54" s="1"/>
  <c r="Q34" i="54"/>
  <c r="Q40" i="54" s="1"/>
  <c r="Q43" i="54" s="1"/>
  <c r="Q45" i="54" s="1"/>
  <c r="K71" i="54"/>
  <c r="J91" i="54"/>
  <c r="J94" i="54" s="1"/>
  <c r="P34" i="54"/>
  <c r="P40" i="54" s="1"/>
  <c r="J78" i="54"/>
  <c r="K75" i="54" s="1"/>
  <c r="T20" i="54"/>
  <c r="T24" i="54" s="1"/>
  <c r="S20" i="54"/>
  <c r="S24" i="54" s="1"/>
  <c r="E57" i="61"/>
  <c r="Z29" i="98" l="1"/>
  <c r="Z33" i="98" s="1"/>
  <c r="Z28" i="98"/>
  <c r="Z32" i="98" s="1"/>
  <c r="Z30" i="98"/>
  <c r="Z34" i="98" s="1"/>
  <c r="Z56" i="98" s="1"/>
  <c r="Z59" i="98" s="1"/>
  <c r="Z63" i="98" s="1"/>
  <c r="Z65" i="98" s="1"/>
  <c r="Z66" i="98" s="1"/>
  <c r="Z39" i="98" s="1"/>
  <c r="AA28" i="98"/>
  <c r="AA32" i="98" s="1"/>
  <c r="AA30" i="98"/>
  <c r="AA34" i="98" s="1"/>
  <c r="AA56" i="98" s="1"/>
  <c r="AA59" i="98" s="1"/>
  <c r="AA63" i="98" s="1"/>
  <c r="AA65" i="98" s="1"/>
  <c r="AA66" i="98" s="1"/>
  <c r="AA39" i="98" s="1"/>
  <c r="AA29" i="98"/>
  <c r="AA33" i="98" s="1"/>
  <c r="AC21" i="98"/>
  <c r="AC25" i="98" s="1"/>
  <c r="AD21" i="98"/>
  <c r="AD25" i="98" s="1"/>
  <c r="K76" i="54"/>
  <c r="X37" i="54" s="1"/>
  <c r="K73" i="54"/>
  <c r="J81" i="54"/>
  <c r="S29" i="54"/>
  <c r="S33" i="54" s="1"/>
  <c r="S55" i="54" s="1"/>
  <c r="S58" i="54" s="1"/>
  <c r="S62" i="54" s="1"/>
  <c r="S64" i="54" s="1"/>
  <c r="S65" i="54" s="1"/>
  <c r="S38" i="54" s="1"/>
  <c r="S28" i="54"/>
  <c r="S32" i="54" s="1"/>
  <c r="S27" i="54"/>
  <c r="S31" i="54" s="1"/>
  <c r="W57" i="54"/>
  <c r="V57" i="54"/>
  <c r="T29" i="54"/>
  <c r="T33" i="54" s="1"/>
  <c r="T55" i="54" s="1"/>
  <c r="T58" i="54" s="1"/>
  <c r="T62" i="54" s="1"/>
  <c r="T64" i="54" s="1"/>
  <c r="T65" i="54" s="1"/>
  <c r="T38" i="54" s="1"/>
  <c r="T27" i="54"/>
  <c r="T31" i="54" s="1"/>
  <c r="T28" i="54"/>
  <c r="T32" i="54" s="1"/>
  <c r="J95" i="54"/>
  <c r="K87" i="54" s="1"/>
  <c r="K89" i="54" s="1"/>
  <c r="C58" i="120"/>
  <c r="I20" i="61"/>
  <c r="I20" i="62"/>
  <c r="J58" i="62"/>
  <c r="I57" i="62"/>
  <c r="I56" i="62"/>
  <c r="I55" i="62"/>
  <c r="I54" i="62"/>
  <c r="I53" i="62"/>
  <c r="I52" i="62"/>
  <c r="I51" i="62"/>
  <c r="I50" i="62"/>
  <c r="I49" i="62"/>
  <c r="I48" i="62"/>
  <c r="I47" i="62"/>
  <c r="I46" i="62"/>
  <c r="I45" i="62"/>
  <c r="I44" i="62"/>
  <c r="I43" i="62"/>
  <c r="I42" i="62"/>
  <c r="I41" i="62"/>
  <c r="I40" i="62"/>
  <c r="I39" i="62"/>
  <c r="I38" i="62"/>
  <c r="I37" i="62"/>
  <c r="I36" i="62"/>
  <c r="I35" i="62"/>
  <c r="I34" i="62"/>
  <c r="I33" i="62"/>
  <c r="I32" i="62"/>
  <c r="I31" i="62"/>
  <c r="I30" i="62"/>
  <c r="I29" i="62"/>
  <c r="I28" i="62"/>
  <c r="I27" i="62"/>
  <c r="I26" i="62"/>
  <c r="I25" i="62"/>
  <c r="I24" i="62"/>
  <c r="I23" i="62"/>
  <c r="I22" i="62"/>
  <c r="I21" i="62"/>
  <c r="G58" i="120"/>
  <c r="E57" i="120"/>
  <c r="E56" i="120"/>
  <c r="E55" i="120"/>
  <c r="E54" i="120"/>
  <c r="E53" i="120"/>
  <c r="E52" i="120"/>
  <c r="E51" i="120"/>
  <c r="E50" i="120"/>
  <c r="E49" i="120"/>
  <c r="E48" i="120"/>
  <c r="E47" i="120"/>
  <c r="E46" i="120"/>
  <c r="E45" i="120"/>
  <c r="E44" i="120"/>
  <c r="E43" i="120"/>
  <c r="E42" i="120"/>
  <c r="E41" i="120"/>
  <c r="E40" i="120"/>
  <c r="E39" i="120"/>
  <c r="E38" i="120"/>
  <c r="E37" i="120"/>
  <c r="E36" i="120"/>
  <c r="E35" i="120"/>
  <c r="E34" i="120"/>
  <c r="E33" i="120"/>
  <c r="E32" i="120"/>
  <c r="E31" i="120"/>
  <c r="E30" i="120"/>
  <c r="E29" i="120"/>
  <c r="E28" i="120"/>
  <c r="E27" i="120"/>
  <c r="E26" i="120"/>
  <c r="E25" i="120"/>
  <c r="E24" i="120"/>
  <c r="E23" i="120"/>
  <c r="E22" i="120"/>
  <c r="E21" i="120"/>
  <c r="E20" i="120"/>
  <c r="K1" i="120"/>
  <c r="AA35" i="98" l="1"/>
  <c r="AA41" i="98" s="1"/>
  <c r="AA44" i="98" s="1"/>
  <c r="AA46" i="98" s="1"/>
  <c r="AD30" i="98"/>
  <c r="AD34" i="98" s="1"/>
  <c r="AD56" i="98" s="1"/>
  <c r="AD59" i="98" s="1"/>
  <c r="AD63" i="98" s="1"/>
  <c r="AD65" i="98" s="1"/>
  <c r="AD66" i="98" s="1"/>
  <c r="AD39" i="98" s="1"/>
  <c r="AD29" i="98"/>
  <c r="AD33" i="98" s="1"/>
  <c r="AD28" i="98"/>
  <c r="AD32" i="98" s="1"/>
  <c r="AC30" i="98"/>
  <c r="AC34" i="98" s="1"/>
  <c r="AC56" i="98" s="1"/>
  <c r="AC59" i="98" s="1"/>
  <c r="AC63" i="98" s="1"/>
  <c r="AC65" i="98" s="1"/>
  <c r="AC66" i="98" s="1"/>
  <c r="AC39" i="98" s="1"/>
  <c r="AC28" i="98"/>
  <c r="AC32" i="98" s="1"/>
  <c r="AC29" i="98"/>
  <c r="AC33" i="98" s="1"/>
  <c r="Z35" i="98"/>
  <c r="Z41" i="98" s="1"/>
  <c r="Z37" i="54"/>
  <c r="Z56" i="54" s="1"/>
  <c r="Y37" i="54"/>
  <c r="Y56" i="54" s="1"/>
  <c r="K91" i="54"/>
  <c r="K94" i="54" s="1"/>
  <c r="K78" i="54"/>
  <c r="L75" i="54" s="1"/>
  <c r="K80" i="54"/>
  <c r="J82" i="54"/>
  <c r="U20" i="54" s="1"/>
  <c r="T34" i="54"/>
  <c r="T40" i="54" s="1"/>
  <c r="T43" i="54" s="1"/>
  <c r="T45" i="54" s="1"/>
  <c r="S34" i="54"/>
  <c r="S40" i="54" s="1"/>
  <c r="L71" i="54"/>
  <c r="I58" i="62"/>
  <c r="C31" i="75"/>
  <c r="D28" i="75" s="1"/>
  <c r="D31" i="75" s="1"/>
  <c r="F28" i="75" s="1"/>
  <c r="F31" i="75" s="1"/>
  <c r="C25" i="75"/>
  <c r="C31" i="119"/>
  <c r="D28" i="119" s="1"/>
  <c r="D31" i="119" s="1"/>
  <c r="C25" i="119"/>
  <c r="J1" i="119"/>
  <c r="E28" i="118"/>
  <c r="E31" i="118" s="1"/>
  <c r="B17" i="118"/>
  <c r="I1" i="118"/>
  <c r="AD35" i="98" l="1"/>
  <c r="AD41" i="98" s="1"/>
  <c r="AD44" i="98" s="1"/>
  <c r="AD46" i="98" s="1"/>
  <c r="AC35" i="98"/>
  <c r="AC41" i="98" s="1"/>
  <c r="F28" i="119"/>
  <c r="F31" i="119" s="1"/>
  <c r="E28" i="119"/>
  <c r="E31" i="119" s="1"/>
  <c r="L76" i="54"/>
  <c r="AA37" i="54" s="1"/>
  <c r="L73" i="54"/>
  <c r="Z57" i="54"/>
  <c r="Y57" i="54"/>
  <c r="K81" i="54"/>
  <c r="L80" i="54" s="1"/>
  <c r="V20" i="54"/>
  <c r="V24" i="54" s="1"/>
  <c r="W20" i="54"/>
  <c r="W24" i="54" s="1"/>
  <c r="K95" i="54"/>
  <c r="L87" i="54" s="1"/>
  <c r="L89" i="54" s="1"/>
  <c r="C33" i="119"/>
  <c r="C33" i="75"/>
  <c r="D22" i="75"/>
  <c r="D25" i="75" s="1"/>
  <c r="E22" i="118"/>
  <c r="E25" i="118" s="1"/>
  <c r="E33" i="118" s="1"/>
  <c r="F38" i="118" s="1"/>
  <c r="D22" i="119"/>
  <c r="D25" i="119" s="1"/>
  <c r="E22" i="119" s="1"/>
  <c r="E25" i="119" s="1"/>
  <c r="E26" i="32"/>
  <c r="G13" i="136" l="1"/>
  <c r="I13" i="136"/>
  <c r="H13" i="136"/>
  <c r="L17" i="54"/>
  <c r="M18" i="98"/>
  <c r="I26" i="131"/>
  <c r="H26" i="131" s="1"/>
  <c r="G26" i="131" s="1"/>
  <c r="F26" i="131" s="1"/>
  <c r="E26" i="131" s="1"/>
  <c r="D26" i="131" s="1"/>
  <c r="E33" i="119"/>
  <c r="D33" i="75"/>
  <c r="F22" i="75"/>
  <c r="F25" i="75" s="1"/>
  <c r="F33" i="75" s="1"/>
  <c r="L91" i="54"/>
  <c r="L94" i="54" s="1"/>
  <c r="W28" i="54"/>
  <c r="W32" i="54" s="1"/>
  <c r="W29" i="54"/>
  <c r="W33" i="54" s="1"/>
  <c r="W55" i="54" s="1"/>
  <c r="W58" i="54" s="1"/>
  <c r="W62" i="54" s="1"/>
  <c r="W64" i="54" s="1"/>
  <c r="W65" i="54" s="1"/>
  <c r="W38" i="54" s="1"/>
  <c r="W27" i="54"/>
  <c r="W31" i="54" s="1"/>
  <c r="AB37" i="54"/>
  <c r="AB56" i="54" s="1"/>
  <c r="AC37" i="54"/>
  <c r="AC56" i="54" s="1"/>
  <c r="V28" i="54"/>
  <c r="V32" i="54" s="1"/>
  <c r="V29" i="54"/>
  <c r="V33" i="54" s="1"/>
  <c r="V55" i="54" s="1"/>
  <c r="V58" i="54" s="1"/>
  <c r="V62" i="54" s="1"/>
  <c r="V64" i="54" s="1"/>
  <c r="V65" i="54" s="1"/>
  <c r="V38" i="54" s="1"/>
  <c r="V27" i="54"/>
  <c r="V31" i="54" s="1"/>
  <c r="L78" i="54"/>
  <c r="L81" i="54" s="1"/>
  <c r="L82" i="54" s="1"/>
  <c r="AA20" i="54" s="1"/>
  <c r="K82" i="54"/>
  <c r="X20" i="54" s="1"/>
  <c r="F37" i="118"/>
  <c r="F39" i="118" s="1"/>
  <c r="D33" i="119"/>
  <c r="F22" i="119"/>
  <c r="F25" i="119" s="1"/>
  <c r="F33" i="119" s="1"/>
  <c r="O1" i="54"/>
  <c r="K1" i="55"/>
  <c r="G1" i="71"/>
  <c r="F47" i="71"/>
  <c r="E47" i="71"/>
  <c r="D47" i="71"/>
  <c r="C47" i="71"/>
  <c r="C49" i="71" s="1"/>
  <c r="B49" i="71"/>
  <c r="H29" i="80"/>
  <c r="I29" i="80"/>
  <c r="K29" i="80"/>
  <c r="C27" i="71"/>
  <c r="D27" i="71"/>
  <c r="D49" i="71"/>
  <c r="E27" i="71"/>
  <c r="E49" i="71" s="1"/>
  <c r="F27" i="71"/>
  <c r="G12" i="14"/>
  <c r="G53" i="14" s="1"/>
  <c r="F21" i="23"/>
  <c r="H21" i="23"/>
  <c r="C1" i="110"/>
  <c r="Q101" i="109"/>
  <c r="P101" i="109"/>
  <c r="O101" i="109"/>
  <c r="M101" i="109"/>
  <c r="Q100" i="109"/>
  <c r="P100" i="109"/>
  <c r="O100" i="109"/>
  <c r="M100" i="109"/>
  <c r="Q99" i="109"/>
  <c r="P99" i="109"/>
  <c r="O99" i="109"/>
  <c r="M99" i="109"/>
  <c r="Q98" i="109"/>
  <c r="P98" i="109"/>
  <c r="O98" i="109"/>
  <c r="M98" i="109"/>
  <c r="Q97" i="109"/>
  <c r="P97" i="109"/>
  <c r="O97" i="109"/>
  <c r="M97" i="109"/>
  <c r="Q96" i="109"/>
  <c r="P96" i="109"/>
  <c r="O96" i="109"/>
  <c r="M96" i="109"/>
  <c r="Q95" i="109"/>
  <c r="P95" i="109"/>
  <c r="O95" i="109"/>
  <c r="M95" i="109"/>
  <c r="Q94" i="109"/>
  <c r="P94" i="109"/>
  <c r="O94" i="109"/>
  <c r="M94" i="109"/>
  <c r="Q93" i="109"/>
  <c r="P93" i="109"/>
  <c r="O93" i="109"/>
  <c r="M93" i="109"/>
  <c r="Q92" i="109"/>
  <c r="P92" i="109"/>
  <c r="O92" i="109"/>
  <c r="M92" i="109"/>
  <c r="Q91" i="109"/>
  <c r="P91" i="109"/>
  <c r="O91" i="109"/>
  <c r="M91" i="109"/>
  <c r="Q90" i="109"/>
  <c r="P90" i="109"/>
  <c r="O90" i="109"/>
  <c r="M90" i="109"/>
  <c r="Q89" i="109"/>
  <c r="P89" i="109"/>
  <c r="O89" i="109"/>
  <c r="M89" i="109"/>
  <c r="Q88" i="109"/>
  <c r="P88" i="109"/>
  <c r="O88" i="109"/>
  <c r="M88" i="109"/>
  <c r="Q87" i="109"/>
  <c r="P87" i="109"/>
  <c r="O87" i="109"/>
  <c r="M87" i="109"/>
  <c r="Q86" i="109"/>
  <c r="P86" i="109"/>
  <c r="O86" i="109"/>
  <c r="M86" i="109"/>
  <c r="Q85" i="109"/>
  <c r="P85" i="109"/>
  <c r="O85" i="109"/>
  <c r="M85" i="109"/>
  <c r="Q84" i="109"/>
  <c r="P84" i="109"/>
  <c r="O84" i="109"/>
  <c r="M84" i="109"/>
  <c r="Q83" i="109"/>
  <c r="P83" i="109"/>
  <c r="O83" i="109"/>
  <c r="M83" i="109"/>
  <c r="O82" i="109"/>
  <c r="M82" i="109"/>
  <c r="Q81" i="109"/>
  <c r="P81" i="109"/>
  <c r="O81" i="109"/>
  <c r="M81" i="109"/>
  <c r="Q80" i="109"/>
  <c r="P80" i="109"/>
  <c r="O80" i="109"/>
  <c r="M80" i="109"/>
  <c r="Q79" i="109"/>
  <c r="P79" i="109"/>
  <c r="O79" i="109"/>
  <c r="M79" i="109"/>
  <c r="Q78" i="109"/>
  <c r="P78" i="109"/>
  <c r="O78" i="109"/>
  <c r="M78" i="109"/>
  <c r="Q77" i="109"/>
  <c r="P77" i="109"/>
  <c r="O77" i="109"/>
  <c r="M77" i="109"/>
  <c r="Q70" i="109"/>
  <c r="P70" i="109"/>
  <c r="O70" i="109"/>
  <c r="M70" i="109"/>
  <c r="Q69" i="109"/>
  <c r="P69" i="109"/>
  <c r="O69" i="109"/>
  <c r="M69" i="109"/>
  <c r="Q68" i="109"/>
  <c r="P68" i="109"/>
  <c r="O68" i="109"/>
  <c r="M68" i="109"/>
  <c r="Q67" i="109"/>
  <c r="P67" i="109"/>
  <c r="O67" i="109"/>
  <c r="M67" i="109"/>
  <c r="Q66" i="109"/>
  <c r="P66" i="109"/>
  <c r="O66" i="109"/>
  <c r="M66" i="109"/>
  <c r="Q65" i="109"/>
  <c r="P65" i="109"/>
  <c r="O65" i="109"/>
  <c r="M65" i="109"/>
  <c r="Q64" i="109"/>
  <c r="P64" i="109"/>
  <c r="O64" i="109"/>
  <c r="M64" i="109"/>
  <c r="Q63" i="109"/>
  <c r="P63" i="109"/>
  <c r="O63" i="109"/>
  <c r="M63" i="109"/>
  <c r="Q62" i="109"/>
  <c r="P62" i="109"/>
  <c r="O62" i="109"/>
  <c r="M62" i="109"/>
  <c r="Q61" i="109"/>
  <c r="P61" i="109"/>
  <c r="O61" i="109"/>
  <c r="M61" i="109"/>
  <c r="Q60" i="109"/>
  <c r="P60" i="109"/>
  <c r="O60" i="109"/>
  <c r="M60" i="109"/>
  <c r="Q59" i="109"/>
  <c r="P59" i="109"/>
  <c r="O59" i="109"/>
  <c r="M59" i="109"/>
  <c r="Q58" i="109"/>
  <c r="P58" i="109"/>
  <c r="O58" i="109"/>
  <c r="M58" i="109"/>
  <c r="Q57" i="109"/>
  <c r="P57" i="109"/>
  <c r="O57" i="109"/>
  <c r="M57" i="109"/>
  <c r="Q56" i="109"/>
  <c r="P56" i="109"/>
  <c r="O56" i="109"/>
  <c r="M56" i="109"/>
  <c r="Q55" i="109"/>
  <c r="P55" i="109"/>
  <c r="O55" i="109"/>
  <c r="M55" i="109"/>
  <c r="Q54" i="109"/>
  <c r="P54" i="109"/>
  <c r="O54" i="109"/>
  <c r="M54" i="109"/>
  <c r="Q53" i="109"/>
  <c r="P53" i="109"/>
  <c r="O53" i="109"/>
  <c r="M53" i="109"/>
  <c r="Q52" i="109"/>
  <c r="P52" i="109"/>
  <c r="O52" i="109"/>
  <c r="M52" i="109"/>
  <c r="Q51" i="109"/>
  <c r="P51" i="109"/>
  <c r="O51" i="109"/>
  <c r="M51" i="109"/>
  <c r="Q50" i="109"/>
  <c r="P50" i="109"/>
  <c r="O50" i="109"/>
  <c r="M50" i="109"/>
  <c r="Q49" i="109"/>
  <c r="P49" i="109"/>
  <c r="O49" i="109"/>
  <c r="M49" i="109"/>
  <c r="Q48" i="109"/>
  <c r="P48" i="109"/>
  <c r="O48" i="109"/>
  <c r="M48" i="109"/>
  <c r="Q47" i="109"/>
  <c r="P47" i="109"/>
  <c r="O47" i="109"/>
  <c r="M47" i="109"/>
  <c r="Q46" i="109"/>
  <c r="P46" i="109"/>
  <c r="O46" i="109"/>
  <c r="M46" i="109"/>
  <c r="Q45" i="109"/>
  <c r="P45" i="109"/>
  <c r="O45" i="109"/>
  <c r="M45" i="109"/>
  <c r="Q44" i="109"/>
  <c r="P44" i="109"/>
  <c r="O44" i="109"/>
  <c r="M44" i="109"/>
  <c r="Q43" i="109"/>
  <c r="P43" i="109"/>
  <c r="O43" i="109"/>
  <c r="M43" i="109"/>
  <c r="Q42" i="109"/>
  <c r="P42" i="109"/>
  <c r="O42" i="109"/>
  <c r="M42" i="109"/>
  <c r="Q41" i="109"/>
  <c r="P41" i="109"/>
  <c r="O41" i="109"/>
  <c r="M41" i="109"/>
  <c r="Q40" i="109"/>
  <c r="P40" i="109"/>
  <c r="O40" i="109"/>
  <c r="M40" i="109"/>
  <c r="Q39" i="109"/>
  <c r="P39" i="109"/>
  <c r="O39" i="109"/>
  <c r="M39" i="109"/>
  <c r="Q38" i="109"/>
  <c r="P38" i="109"/>
  <c r="O38" i="109"/>
  <c r="M38" i="109"/>
  <c r="Q37" i="109"/>
  <c r="P37" i="109"/>
  <c r="O37" i="109"/>
  <c r="M37" i="109"/>
  <c r="Q36" i="109"/>
  <c r="P36" i="109"/>
  <c r="O36" i="109"/>
  <c r="M36" i="109"/>
  <c r="Q35" i="109"/>
  <c r="P35" i="109"/>
  <c r="O35" i="109"/>
  <c r="M35" i="109"/>
  <c r="Q34" i="109"/>
  <c r="P34" i="109"/>
  <c r="O34" i="109"/>
  <c r="M34" i="109"/>
  <c r="Q33" i="109"/>
  <c r="P33" i="109"/>
  <c r="O33" i="109"/>
  <c r="M33" i="109"/>
  <c r="Q32" i="109"/>
  <c r="P32" i="109"/>
  <c r="O32" i="109"/>
  <c r="M32" i="109"/>
  <c r="Q31" i="109"/>
  <c r="P31" i="109"/>
  <c r="O31" i="109"/>
  <c r="M31" i="109"/>
  <c r="Q30" i="109"/>
  <c r="P30" i="109"/>
  <c r="O30" i="109"/>
  <c r="M30" i="109"/>
  <c r="Q29" i="109"/>
  <c r="P29" i="109"/>
  <c r="O29" i="109"/>
  <c r="M29" i="109"/>
  <c r="Q28" i="109"/>
  <c r="P28" i="109"/>
  <c r="O28" i="109"/>
  <c r="M28" i="109"/>
  <c r="Q27" i="109"/>
  <c r="P27" i="109"/>
  <c r="O27" i="109"/>
  <c r="M27" i="109"/>
  <c r="Q26" i="109"/>
  <c r="P26" i="109"/>
  <c r="O26" i="109"/>
  <c r="M26" i="109"/>
  <c r="Q25" i="109"/>
  <c r="P25" i="109"/>
  <c r="O25" i="109"/>
  <c r="M25" i="109"/>
  <c r="Q24" i="109"/>
  <c r="P24" i="109"/>
  <c r="O24" i="109"/>
  <c r="M24" i="109"/>
  <c r="Q23" i="109"/>
  <c r="P23" i="109"/>
  <c r="O23" i="109"/>
  <c r="M23" i="109"/>
  <c r="Q22" i="109"/>
  <c r="P22" i="109"/>
  <c r="O22" i="109"/>
  <c r="M22" i="109"/>
  <c r="Q21" i="109"/>
  <c r="P21" i="109"/>
  <c r="O21" i="109"/>
  <c r="M21" i="109"/>
  <c r="Q20" i="109"/>
  <c r="P20" i="109"/>
  <c r="O20" i="109"/>
  <c r="M20" i="109"/>
  <c r="Q19" i="109"/>
  <c r="P19" i="109"/>
  <c r="O19" i="109"/>
  <c r="M19" i="109"/>
  <c r="Q18" i="109"/>
  <c r="P18" i="109"/>
  <c r="O18" i="109"/>
  <c r="M18" i="109"/>
  <c r="Q17" i="109"/>
  <c r="P17" i="109"/>
  <c r="O17" i="109"/>
  <c r="M17" i="109"/>
  <c r="D55" i="14"/>
  <c r="E55" i="14"/>
  <c r="F55" i="14"/>
  <c r="G55" i="14"/>
  <c r="H55" i="14"/>
  <c r="C55" i="14"/>
  <c r="H53" i="14"/>
  <c r="P22" i="102"/>
  <c r="P20" i="102"/>
  <c r="P19" i="102"/>
  <c r="P18" i="102"/>
  <c r="P17" i="102"/>
  <c r="M22" i="102"/>
  <c r="M21" i="102"/>
  <c r="M20" i="102"/>
  <c r="M19" i="102"/>
  <c r="M18" i="102"/>
  <c r="M17" i="102"/>
  <c r="J22" i="102"/>
  <c r="J20" i="102"/>
  <c r="J19" i="102"/>
  <c r="J18" i="102"/>
  <c r="J17" i="102"/>
  <c r="G22" i="102"/>
  <c r="G21" i="102"/>
  <c r="G20" i="102"/>
  <c r="G19" i="102"/>
  <c r="G18" i="102"/>
  <c r="G17" i="102"/>
  <c r="D20" i="102"/>
  <c r="D21" i="102"/>
  <c r="D22" i="102"/>
  <c r="D18" i="102"/>
  <c r="D19" i="102"/>
  <c r="D17" i="102"/>
  <c r="A46" i="32"/>
  <c r="J31" i="105"/>
  <c r="J29" i="105"/>
  <c r="J28" i="105"/>
  <c r="J27" i="105"/>
  <c r="J26" i="105"/>
  <c r="J25" i="105"/>
  <c r="J24" i="105"/>
  <c r="J23" i="105"/>
  <c r="J22" i="105"/>
  <c r="J21" i="105"/>
  <c r="J18" i="105"/>
  <c r="J19" i="105"/>
  <c r="J20" i="105"/>
  <c r="J16" i="105"/>
  <c r="I17" i="105"/>
  <c r="I19" i="105"/>
  <c r="I20" i="105"/>
  <c r="I21" i="105"/>
  <c r="I22" i="105"/>
  <c r="I23" i="105"/>
  <c r="I24" i="105"/>
  <c r="I25" i="105"/>
  <c r="I26" i="105"/>
  <c r="I27" i="105"/>
  <c r="I28" i="105"/>
  <c r="I29" i="105"/>
  <c r="I31" i="105"/>
  <c r="I16" i="105"/>
  <c r="H13" i="105"/>
  <c r="C13" i="105"/>
  <c r="B13" i="105"/>
  <c r="J13" i="105" s="1"/>
  <c r="J1" i="105"/>
  <c r="C12" i="5"/>
  <c r="B12" i="5"/>
  <c r="D13" i="20"/>
  <c r="C13" i="20"/>
  <c r="H13" i="20"/>
  <c r="H12" i="5"/>
  <c r="H13" i="14"/>
  <c r="B12" i="102"/>
  <c r="Q14" i="102" s="1"/>
  <c r="H1" i="5"/>
  <c r="H27" i="5"/>
  <c r="G27" i="5"/>
  <c r="F27" i="5"/>
  <c r="E27" i="5"/>
  <c r="C27" i="5"/>
  <c r="B27" i="5"/>
  <c r="H26" i="5"/>
  <c r="G26" i="5"/>
  <c r="F26" i="5"/>
  <c r="E26" i="5"/>
  <c r="C26" i="5"/>
  <c r="B26" i="5"/>
  <c r="H24" i="5"/>
  <c r="G24" i="5"/>
  <c r="F24" i="5"/>
  <c r="E24" i="5"/>
  <c r="E28" i="5" s="1"/>
  <c r="C24" i="5"/>
  <c r="B24" i="5"/>
  <c r="H20" i="5"/>
  <c r="H28" i="5" s="1"/>
  <c r="G20" i="5"/>
  <c r="G28" i="5" s="1"/>
  <c r="F20" i="5"/>
  <c r="E20" i="5"/>
  <c r="C20" i="5"/>
  <c r="B20" i="5"/>
  <c r="H16" i="5"/>
  <c r="G16" i="5"/>
  <c r="F16" i="5"/>
  <c r="E16" i="5"/>
  <c r="C16" i="5"/>
  <c r="B16" i="5"/>
  <c r="E28" i="75"/>
  <c r="E31" i="75" s="1"/>
  <c r="G28" i="75" s="1"/>
  <c r="G31" i="75" s="1"/>
  <c r="G58" i="62"/>
  <c r="C58" i="62"/>
  <c r="E57" i="62"/>
  <c r="E56" i="62"/>
  <c r="E55" i="62"/>
  <c r="E54" i="62"/>
  <c r="E53" i="62"/>
  <c r="E52" i="62"/>
  <c r="E51" i="62"/>
  <c r="E50" i="62"/>
  <c r="E49" i="62"/>
  <c r="E48" i="62"/>
  <c r="E47" i="62"/>
  <c r="E46" i="62"/>
  <c r="E45" i="62"/>
  <c r="E44" i="62"/>
  <c r="E43" i="62"/>
  <c r="E42" i="62"/>
  <c r="E41" i="62"/>
  <c r="E40" i="62"/>
  <c r="E39" i="62"/>
  <c r="E38" i="62"/>
  <c r="E37" i="62"/>
  <c r="E36" i="62"/>
  <c r="E35" i="62"/>
  <c r="E34" i="62"/>
  <c r="E33" i="62"/>
  <c r="E32" i="62"/>
  <c r="E31" i="62"/>
  <c r="E30" i="62"/>
  <c r="E29" i="62"/>
  <c r="E28" i="62"/>
  <c r="E27" i="62"/>
  <c r="E26" i="62"/>
  <c r="E25" i="62"/>
  <c r="E24" i="62"/>
  <c r="E23" i="62"/>
  <c r="E22" i="62"/>
  <c r="E21" i="62"/>
  <c r="E20" i="62"/>
  <c r="E22" i="75"/>
  <c r="E25" i="75" s="1"/>
  <c r="K1" i="6"/>
  <c r="L1" i="20"/>
  <c r="H1" i="14"/>
  <c r="O1" i="53"/>
  <c r="K1" i="75"/>
  <c r="U1" i="102"/>
  <c r="U21" i="102"/>
  <c r="T21" i="102"/>
  <c r="S21" i="102"/>
  <c r="R21" i="102"/>
  <c r="Q21" i="102"/>
  <c r="O21" i="102"/>
  <c r="P21" i="102" s="1"/>
  <c r="L21" i="102"/>
  <c r="I21" i="102"/>
  <c r="J21" i="102" s="1"/>
  <c r="F21" i="102"/>
  <c r="K22" i="53"/>
  <c r="F22" i="53"/>
  <c r="K21" i="53"/>
  <c r="F21" i="53"/>
  <c r="O1" i="59"/>
  <c r="K1" i="60"/>
  <c r="K1" i="61"/>
  <c r="K1" i="62"/>
  <c r="L59" i="100"/>
  <c r="G59" i="100"/>
  <c r="L58" i="100"/>
  <c r="G58" i="100"/>
  <c r="K57" i="100"/>
  <c r="K60" i="100" s="1"/>
  <c r="J57" i="100"/>
  <c r="J60" i="100" s="1"/>
  <c r="J62" i="100" s="1"/>
  <c r="I57" i="100"/>
  <c r="I60" i="100" s="1"/>
  <c r="F57" i="100"/>
  <c r="F60" i="100" s="1"/>
  <c r="E57" i="100"/>
  <c r="E60" i="100" s="1"/>
  <c r="L56" i="100"/>
  <c r="G56" i="100"/>
  <c r="M56" i="100" s="1"/>
  <c r="L54" i="100"/>
  <c r="G54" i="100"/>
  <c r="L53" i="100"/>
  <c r="G53" i="100"/>
  <c r="L52" i="100"/>
  <c r="G52" i="100"/>
  <c r="L51" i="100"/>
  <c r="G51" i="100"/>
  <c r="M51" i="100" s="1"/>
  <c r="L50" i="100"/>
  <c r="G50" i="100"/>
  <c r="L49" i="100"/>
  <c r="G49" i="100"/>
  <c r="L48" i="100"/>
  <c r="G48" i="100"/>
  <c r="L47" i="100"/>
  <c r="G47" i="100"/>
  <c r="M47" i="100" s="1"/>
  <c r="L46" i="100"/>
  <c r="G46" i="100"/>
  <c r="L45" i="100"/>
  <c r="G45" i="100"/>
  <c r="L44" i="100"/>
  <c r="G44" i="100"/>
  <c r="L43" i="100"/>
  <c r="G43" i="100"/>
  <c r="M43" i="100" s="1"/>
  <c r="L42" i="100"/>
  <c r="G42" i="100"/>
  <c r="L41" i="100"/>
  <c r="G41" i="100"/>
  <c r="L40" i="100"/>
  <c r="G40" i="100"/>
  <c r="L39" i="100"/>
  <c r="G39" i="100"/>
  <c r="M39" i="100" s="1"/>
  <c r="L38" i="100"/>
  <c r="G38" i="100"/>
  <c r="L37" i="100"/>
  <c r="G37" i="100"/>
  <c r="L36" i="100"/>
  <c r="G36" i="100"/>
  <c r="L35" i="100"/>
  <c r="G35" i="100"/>
  <c r="M35" i="100" s="1"/>
  <c r="L34" i="100"/>
  <c r="G34" i="100"/>
  <c r="L33" i="100"/>
  <c r="G33" i="100"/>
  <c r="L32" i="100"/>
  <c r="G32" i="100"/>
  <c r="L31" i="100"/>
  <c r="G31" i="100"/>
  <c r="M31" i="100" s="1"/>
  <c r="L30" i="100"/>
  <c r="G30" i="100"/>
  <c r="L29" i="100"/>
  <c r="G29" i="100"/>
  <c r="L28" i="100"/>
  <c r="G28" i="100"/>
  <c r="L27" i="100"/>
  <c r="G27" i="100"/>
  <c r="M27" i="100" s="1"/>
  <c r="L26" i="100"/>
  <c r="G26" i="100"/>
  <c r="L25" i="100"/>
  <c r="G25" i="100"/>
  <c r="L24" i="100"/>
  <c r="G24" i="100"/>
  <c r="L23" i="100"/>
  <c r="G23" i="100"/>
  <c r="M23" i="100" s="1"/>
  <c r="L22" i="100"/>
  <c r="G22" i="100"/>
  <c r="L21" i="100"/>
  <c r="G21" i="100"/>
  <c r="L20" i="100"/>
  <c r="G20" i="100"/>
  <c r="L19" i="100"/>
  <c r="G19" i="100"/>
  <c r="M19" i="100" s="1"/>
  <c r="L18" i="100"/>
  <c r="G18" i="100"/>
  <c r="M18" i="100" s="1"/>
  <c r="L17" i="100"/>
  <c r="G17" i="100"/>
  <c r="M1" i="100"/>
  <c r="M1" i="49"/>
  <c r="H13" i="49"/>
  <c r="L40" i="49" s="1"/>
  <c r="C13" i="49"/>
  <c r="C40" i="49" s="1"/>
  <c r="B13" i="49"/>
  <c r="B30" i="49" s="1"/>
  <c r="H1" i="15"/>
  <c r="H13" i="15"/>
  <c r="K1" i="12"/>
  <c r="F13" i="12"/>
  <c r="G13" i="12"/>
  <c r="H13" i="12"/>
  <c r="D33" i="12" s="1"/>
  <c r="J13" i="12"/>
  <c r="E33" i="12" s="1"/>
  <c r="G1" i="18"/>
  <c r="O1" i="50"/>
  <c r="H1" i="23"/>
  <c r="H1" i="21"/>
  <c r="G1" i="34"/>
  <c r="H20" i="23"/>
  <c r="F20" i="23"/>
  <c r="N2" i="80"/>
  <c r="I1" i="81"/>
  <c r="L1" i="87"/>
  <c r="I1" i="11"/>
  <c r="K67" i="87"/>
  <c r="C67" i="87"/>
  <c r="I66" i="87"/>
  <c r="E66" i="87"/>
  <c r="G66" i="87" s="1"/>
  <c r="J66" i="87" s="1"/>
  <c r="L66" i="87" s="1"/>
  <c r="J65" i="87"/>
  <c r="L65" i="87" s="1"/>
  <c r="I65" i="87"/>
  <c r="E65" i="87"/>
  <c r="G65" i="87" s="1"/>
  <c r="I64" i="87"/>
  <c r="E64" i="87"/>
  <c r="G64" i="87" s="1"/>
  <c r="J64" i="87" s="1"/>
  <c r="L64" i="87" s="1"/>
  <c r="J63" i="87"/>
  <c r="L63" i="87" s="1"/>
  <c r="I63" i="87"/>
  <c r="E63" i="87"/>
  <c r="G63" i="87" s="1"/>
  <c r="J62" i="87"/>
  <c r="L62" i="87" s="1"/>
  <c r="I62" i="87"/>
  <c r="E62" i="87"/>
  <c r="G62" i="87" s="1"/>
  <c r="J61" i="87"/>
  <c r="L61" i="87" s="1"/>
  <c r="I61" i="87"/>
  <c r="E61" i="87"/>
  <c r="G61" i="87" s="1"/>
  <c r="J60" i="87"/>
  <c r="L60" i="87" s="1"/>
  <c r="I60" i="87"/>
  <c r="E60" i="87"/>
  <c r="G60" i="87" s="1"/>
  <c r="J59" i="87"/>
  <c r="L59" i="87" s="1"/>
  <c r="I59" i="87"/>
  <c r="E59" i="87"/>
  <c r="G59" i="87" s="1"/>
  <c r="I58" i="87"/>
  <c r="E58" i="87"/>
  <c r="G58" i="87" s="1"/>
  <c r="J58" i="87" s="1"/>
  <c r="L58" i="87" s="1"/>
  <c r="J57" i="87"/>
  <c r="L57" i="87" s="1"/>
  <c r="I57" i="87"/>
  <c r="E57" i="87"/>
  <c r="G57" i="87" s="1"/>
  <c r="J56" i="87"/>
  <c r="L56" i="87" s="1"/>
  <c r="I56" i="87"/>
  <c r="E56" i="87"/>
  <c r="G56" i="87" s="1"/>
  <c r="I55" i="87"/>
  <c r="E55" i="87"/>
  <c r="G55" i="87" s="1"/>
  <c r="J55" i="87" s="1"/>
  <c r="L55" i="87" s="1"/>
  <c r="J54" i="87"/>
  <c r="L54" i="87" s="1"/>
  <c r="I54" i="87"/>
  <c r="E54" i="87"/>
  <c r="G54" i="87" s="1"/>
  <c r="E50" i="87"/>
  <c r="G50" i="87" s="1"/>
  <c r="J50" i="87" s="1"/>
  <c r="L50" i="87" s="1"/>
  <c r="J49" i="87"/>
  <c r="L49" i="87" s="1"/>
  <c r="E49" i="87"/>
  <c r="G49" i="87" s="1"/>
  <c r="J48" i="87"/>
  <c r="L48" i="87" s="1"/>
  <c r="E48" i="87"/>
  <c r="G48" i="87" s="1"/>
  <c r="E47" i="87"/>
  <c r="G47" i="87" s="1"/>
  <c r="J47" i="87" s="1"/>
  <c r="L47" i="87" s="1"/>
  <c r="J46" i="87"/>
  <c r="L46" i="87" s="1"/>
  <c r="E46" i="87"/>
  <c r="G46" i="87" s="1"/>
  <c r="E45" i="87"/>
  <c r="G45" i="87" s="1"/>
  <c r="J45" i="87" s="1"/>
  <c r="L45" i="87" s="1"/>
  <c r="J44" i="87"/>
  <c r="L44" i="87" s="1"/>
  <c r="E44" i="87"/>
  <c r="G44" i="87" s="1"/>
  <c r="E43" i="87"/>
  <c r="G43" i="87" s="1"/>
  <c r="J42" i="87"/>
  <c r="L42" i="87" s="1"/>
  <c r="E42" i="87"/>
  <c r="G42" i="87" s="1"/>
  <c r="J41" i="87"/>
  <c r="L41" i="87" s="1"/>
  <c r="E41" i="87"/>
  <c r="G41" i="87" s="1"/>
  <c r="J36" i="87"/>
  <c r="L36" i="87" s="1"/>
  <c r="E36" i="87"/>
  <c r="G36" i="87" s="1"/>
  <c r="E35" i="87"/>
  <c r="G35" i="87" s="1"/>
  <c r="J35" i="87" s="1"/>
  <c r="L35" i="87" s="1"/>
  <c r="I32" i="87"/>
  <c r="E32" i="87"/>
  <c r="G32" i="87" s="1"/>
  <c r="J32" i="87" s="1"/>
  <c r="L32" i="87" s="1"/>
  <c r="I31" i="87"/>
  <c r="E31" i="87"/>
  <c r="G31" i="87" s="1"/>
  <c r="J31" i="87" s="1"/>
  <c r="L31" i="87" s="1"/>
  <c r="I30" i="87"/>
  <c r="E30" i="87"/>
  <c r="G30" i="87" s="1"/>
  <c r="J30" i="87" s="1"/>
  <c r="L30" i="87" s="1"/>
  <c r="I29" i="87"/>
  <c r="E29" i="87"/>
  <c r="G29" i="87" s="1"/>
  <c r="J29" i="87" s="1"/>
  <c r="L29" i="87" s="1"/>
  <c r="I28" i="87"/>
  <c r="E28" i="87"/>
  <c r="G28" i="87" s="1"/>
  <c r="J28" i="87" s="1"/>
  <c r="J27" i="87"/>
  <c r="L27" i="87" s="1"/>
  <c r="I27" i="87"/>
  <c r="E27" i="87"/>
  <c r="G27" i="87" s="1"/>
  <c r="I26" i="87"/>
  <c r="E26" i="87"/>
  <c r="G26" i="87" s="1"/>
  <c r="J26" i="87" s="1"/>
  <c r="L26" i="87" s="1"/>
  <c r="J25" i="87"/>
  <c r="L25" i="87" s="1"/>
  <c r="I25" i="87"/>
  <c r="E25" i="87"/>
  <c r="G25" i="87" s="1"/>
  <c r="J24" i="87"/>
  <c r="L24" i="87" s="1"/>
  <c r="I24" i="87"/>
  <c r="E24" i="87"/>
  <c r="G24" i="87" s="1"/>
  <c r="J23" i="87"/>
  <c r="L23" i="87" s="1"/>
  <c r="I23" i="87"/>
  <c r="E23" i="87"/>
  <c r="G23" i="87" s="1"/>
  <c r="J22" i="87"/>
  <c r="L22" i="87" s="1"/>
  <c r="I22" i="87"/>
  <c r="E22" i="87"/>
  <c r="G22" i="87" s="1"/>
  <c r="I21" i="87"/>
  <c r="E21" i="87"/>
  <c r="G21" i="87" s="1"/>
  <c r="J21" i="87" s="1"/>
  <c r="L21" i="87" s="1"/>
  <c r="I20" i="87"/>
  <c r="F34" i="81"/>
  <c r="F33" i="81"/>
  <c r="F32" i="81"/>
  <c r="F31" i="81"/>
  <c r="F30" i="81"/>
  <c r="F29" i="81"/>
  <c r="F35" i="81" s="1"/>
  <c r="F28" i="81"/>
  <c r="F27" i="81"/>
  <c r="F26" i="81"/>
  <c r="F25" i="81"/>
  <c r="F24" i="81"/>
  <c r="F23" i="81"/>
  <c r="F19" i="81"/>
  <c r="F18" i="81"/>
  <c r="F29" i="80"/>
  <c r="J58" i="61"/>
  <c r="G58" i="61"/>
  <c r="C58" i="61"/>
  <c r="I57" i="61"/>
  <c r="I56" i="61"/>
  <c r="E56" i="61"/>
  <c r="I55" i="61"/>
  <c r="E55" i="61"/>
  <c r="I54" i="61"/>
  <c r="E54" i="61"/>
  <c r="I53" i="61"/>
  <c r="E53" i="61"/>
  <c r="I52" i="61"/>
  <c r="E52" i="61"/>
  <c r="I51" i="61"/>
  <c r="E51" i="61"/>
  <c r="I50" i="61"/>
  <c r="E50" i="61"/>
  <c r="I49" i="61"/>
  <c r="E49" i="61"/>
  <c r="I48" i="61"/>
  <c r="E48" i="61"/>
  <c r="I47" i="61"/>
  <c r="E47" i="61"/>
  <c r="I46" i="61"/>
  <c r="E46" i="61"/>
  <c r="I45" i="61"/>
  <c r="E45" i="61"/>
  <c r="I44" i="61"/>
  <c r="E44" i="61"/>
  <c r="I43" i="61"/>
  <c r="E43" i="61"/>
  <c r="I42" i="61"/>
  <c r="E42" i="61"/>
  <c r="I41" i="61"/>
  <c r="E41" i="61"/>
  <c r="I40" i="61"/>
  <c r="E40" i="61"/>
  <c r="I39" i="61"/>
  <c r="E39" i="61"/>
  <c r="I38" i="61"/>
  <c r="E38" i="61"/>
  <c r="I37" i="61"/>
  <c r="E37" i="61"/>
  <c r="I36" i="61"/>
  <c r="E36" i="61"/>
  <c r="I35" i="61"/>
  <c r="E35" i="61"/>
  <c r="I34" i="61"/>
  <c r="E34" i="61"/>
  <c r="I33" i="61"/>
  <c r="E33" i="61"/>
  <c r="I32" i="61"/>
  <c r="E32" i="61"/>
  <c r="I31" i="61"/>
  <c r="E31" i="61"/>
  <c r="I30" i="61"/>
  <c r="E30" i="61"/>
  <c r="I29" i="61"/>
  <c r="E29" i="61"/>
  <c r="I28" i="61"/>
  <c r="E28" i="61"/>
  <c r="I27" i="61"/>
  <c r="E27" i="61"/>
  <c r="I26" i="61"/>
  <c r="E26" i="61"/>
  <c r="I25" i="61"/>
  <c r="E25" i="61"/>
  <c r="I24" i="61"/>
  <c r="E24" i="61"/>
  <c r="I23" i="61"/>
  <c r="E23" i="61"/>
  <c r="I22" i="61"/>
  <c r="E22" i="61"/>
  <c r="I21" i="61"/>
  <c r="E21" i="61"/>
  <c r="E20" i="61"/>
  <c r="J58" i="60"/>
  <c r="G58" i="60"/>
  <c r="C58" i="60"/>
  <c r="I57" i="60"/>
  <c r="E57" i="60"/>
  <c r="I56" i="60"/>
  <c r="E56" i="60"/>
  <c r="I55" i="60"/>
  <c r="E55" i="60"/>
  <c r="I54" i="60"/>
  <c r="E54" i="60"/>
  <c r="I53" i="60"/>
  <c r="E53" i="60"/>
  <c r="I52" i="60"/>
  <c r="E52" i="60"/>
  <c r="I51" i="60"/>
  <c r="E51" i="60"/>
  <c r="I50" i="60"/>
  <c r="E50" i="60"/>
  <c r="I49" i="60"/>
  <c r="E49" i="60"/>
  <c r="I48" i="60"/>
  <c r="E48" i="60"/>
  <c r="I47" i="60"/>
  <c r="E47" i="60"/>
  <c r="I46" i="60"/>
  <c r="E46" i="60"/>
  <c r="I45" i="60"/>
  <c r="E45" i="60"/>
  <c r="I44" i="60"/>
  <c r="E44" i="60"/>
  <c r="I43" i="60"/>
  <c r="E43" i="60"/>
  <c r="I42" i="60"/>
  <c r="E42" i="60"/>
  <c r="I41" i="60"/>
  <c r="E41" i="60"/>
  <c r="I40" i="60"/>
  <c r="E40" i="60"/>
  <c r="I39" i="60"/>
  <c r="E39" i="60"/>
  <c r="I38" i="60"/>
  <c r="E38" i="60"/>
  <c r="I37" i="60"/>
  <c r="E37" i="60"/>
  <c r="I36" i="60"/>
  <c r="E36" i="60"/>
  <c r="I35" i="60"/>
  <c r="E35" i="60"/>
  <c r="I34" i="60"/>
  <c r="E34" i="60"/>
  <c r="I33" i="60"/>
  <c r="E33" i="60"/>
  <c r="I32" i="60"/>
  <c r="E32" i="60"/>
  <c r="I31" i="60"/>
  <c r="E31" i="60"/>
  <c r="I30" i="60"/>
  <c r="E30" i="60"/>
  <c r="I29" i="60"/>
  <c r="E29" i="60"/>
  <c r="I28" i="60"/>
  <c r="E28" i="60"/>
  <c r="I27" i="60"/>
  <c r="E27" i="60"/>
  <c r="I26" i="60"/>
  <c r="E26" i="60"/>
  <c r="I25" i="60"/>
  <c r="E25" i="60"/>
  <c r="I24" i="60"/>
  <c r="E24" i="60"/>
  <c r="I23" i="60"/>
  <c r="E23" i="60"/>
  <c r="I22" i="60"/>
  <c r="E22" i="60"/>
  <c r="I21" i="60"/>
  <c r="E21" i="60"/>
  <c r="I20" i="60"/>
  <c r="E20" i="60"/>
  <c r="N58" i="59"/>
  <c r="K58" i="59"/>
  <c r="D58" i="59"/>
  <c r="C58" i="59"/>
  <c r="M57" i="59"/>
  <c r="I57" i="59"/>
  <c r="H57" i="59"/>
  <c r="G57" i="59"/>
  <c r="M56" i="59"/>
  <c r="O56" i="59" s="1"/>
  <c r="I56" i="59"/>
  <c r="H56" i="59"/>
  <c r="J56" i="59" s="1"/>
  <c r="L56" i="59" s="1"/>
  <c r="G56" i="59"/>
  <c r="M55" i="59"/>
  <c r="I55" i="59"/>
  <c r="H55" i="59"/>
  <c r="O55" i="59" s="1"/>
  <c r="G55" i="59"/>
  <c r="M54" i="59"/>
  <c r="I54" i="59"/>
  <c r="H54" i="59"/>
  <c r="O54" i="59" s="1"/>
  <c r="G54" i="59"/>
  <c r="M53" i="59"/>
  <c r="I53" i="59"/>
  <c r="H53" i="59"/>
  <c r="G53" i="59"/>
  <c r="M52" i="59"/>
  <c r="O52" i="59" s="1"/>
  <c r="I52" i="59"/>
  <c r="H52" i="59"/>
  <c r="J52" i="59" s="1"/>
  <c r="L52" i="59" s="1"/>
  <c r="G52" i="59"/>
  <c r="M51" i="59"/>
  <c r="I51" i="59"/>
  <c r="H51" i="59"/>
  <c r="O51" i="59" s="1"/>
  <c r="G51" i="59"/>
  <c r="M50" i="59"/>
  <c r="I50" i="59"/>
  <c r="H50" i="59"/>
  <c r="J50" i="59" s="1"/>
  <c r="L50" i="59" s="1"/>
  <c r="G50" i="59"/>
  <c r="M49" i="59"/>
  <c r="I49" i="59"/>
  <c r="H49" i="59"/>
  <c r="G49" i="59"/>
  <c r="M48" i="59"/>
  <c r="I48" i="59"/>
  <c r="H48" i="59"/>
  <c r="J48" i="59" s="1"/>
  <c r="L48" i="59" s="1"/>
  <c r="G48" i="59"/>
  <c r="M47" i="59"/>
  <c r="I47" i="59"/>
  <c r="H47" i="59"/>
  <c r="O47" i="59" s="1"/>
  <c r="G47" i="59"/>
  <c r="M46" i="59"/>
  <c r="O46" i="59" s="1"/>
  <c r="I46" i="59"/>
  <c r="H46" i="59"/>
  <c r="J46" i="59" s="1"/>
  <c r="L46" i="59" s="1"/>
  <c r="G46" i="59"/>
  <c r="M45" i="59"/>
  <c r="I45" i="59"/>
  <c r="H45" i="59"/>
  <c r="G45" i="59"/>
  <c r="M44" i="59"/>
  <c r="O44" i="59" s="1"/>
  <c r="I44" i="59"/>
  <c r="H44" i="59"/>
  <c r="J44" i="59" s="1"/>
  <c r="L44" i="59" s="1"/>
  <c r="G44" i="59"/>
  <c r="M43" i="59"/>
  <c r="I43" i="59"/>
  <c r="H43" i="59"/>
  <c r="J43" i="59" s="1"/>
  <c r="L43" i="59" s="1"/>
  <c r="G43" i="59"/>
  <c r="M42" i="59"/>
  <c r="O42" i="59" s="1"/>
  <c r="I42" i="59"/>
  <c r="H42" i="59"/>
  <c r="G42" i="59"/>
  <c r="M41" i="59"/>
  <c r="I41" i="59"/>
  <c r="H41" i="59"/>
  <c r="J41" i="59" s="1"/>
  <c r="L41" i="59" s="1"/>
  <c r="G41" i="59"/>
  <c r="M40" i="59"/>
  <c r="I40" i="59"/>
  <c r="H40" i="59"/>
  <c r="J40" i="59" s="1"/>
  <c r="L40" i="59" s="1"/>
  <c r="G40" i="59"/>
  <c r="M39" i="59"/>
  <c r="O39" i="59" s="1"/>
  <c r="I39" i="59"/>
  <c r="H39" i="59"/>
  <c r="J39" i="59" s="1"/>
  <c r="L39" i="59" s="1"/>
  <c r="G39" i="59"/>
  <c r="M38" i="59"/>
  <c r="O38" i="59" s="1"/>
  <c r="I38" i="59"/>
  <c r="H38" i="59"/>
  <c r="J38" i="59" s="1"/>
  <c r="L38" i="59" s="1"/>
  <c r="G38" i="59"/>
  <c r="M37" i="59"/>
  <c r="O37" i="59" s="1"/>
  <c r="I37" i="59"/>
  <c r="H37" i="59"/>
  <c r="G37" i="59"/>
  <c r="M36" i="59"/>
  <c r="I36" i="59"/>
  <c r="H36" i="59"/>
  <c r="J36" i="59" s="1"/>
  <c r="L36" i="59" s="1"/>
  <c r="G36" i="59"/>
  <c r="M35" i="59"/>
  <c r="I35" i="59"/>
  <c r="H35" i="59"/>
  <c r="J35" i="59" s="1"/>
  <c r="L35" i="59" s="1"/>
  <c r="G35" i="59"/>
  <c r="M34" i="59"/>
  <c r="O34" i="59" s="1"/>
  <c r="I34" i="59"/>
  <c r="H34" i="59"/>
  <c r="J34" i="59" s="1"/>
  <c r="L34" i="59" s="1"/>
  <c r="G34" i="59"/>
  <c r="M33" i="59"/>
  <c r="O33" i="59" s="1"/>
  <c r="I33" i="59"/>
  <c r="H33" i="59"/>
  <c r="J33" i="59" s="1"/>
  <c r="L33" i="59" s="1"/>
  <c r="G33" i="59"/>
  <c r="M32" i="59"/>
  <c r="I32" i="59"/>
  <c r="H32" i="59"/>
  <c r="J32" i="59" s="1"/>
  <c r="L32" i="59" s="1"/>
  <c r="G32" i="59"/>
  <c r="M31" i="59"/>
  <c r="O31" i="59" s="1"/>
  <c r="I31" i="59"/>
  <c r="H31" i="59"/>
  <c r="G31" i="59"/>
  <c r="M30" i="59"/>
  <c r="I30" i="59"/>
  <c r="H30" i="59"/>
  <c r="O30" i="59" s="1"/>
  <c r="G30" i="59"/>
  <c r="M29" i="59"/>
  <c r="I29" i="59"/>
  <c r="H29" i="59"/>
  <c r="J29" i="59" s="1"/>
  <c r="L29" i="59" s="1"/>
  <c r="G29" i="59"/>
  <c r="M28" i="59"/>
  <c r="I28" i="59"/>
  <c r="H28" i="59"/>
  <c r="G28" i="59"/>
  <c r="M27" i="59"/>
  <c r="I27" i="59"/>
  <c r="H27" i="59"/>
  <c r="J27" i="59" s="1"/>
  <c r="L27" i="59" s="1"/>
  <c r="G27" i="59"/>
  <c r="M26" i="59"/>
  <c r="I26" i="59"/>
  <c r="H26" i="59"/>
  <c r="G26" i="59"/>
  <c r="M25" i="59"/>
  <c r="I25" i="59"/>
  <c r="H25" i="59"/>
  <c r="J25" i="59" s="1"/>
  <c r="L25" i="59" s="1"/>
  <c r="G25" i="59"/>
  <c r="M24" i="59"/>
  <c r="I24" i="59"/>
  <c r="H24" i="59"/>
  <c r="G24" i="59"/>
  <c r="M23" i="59"/>
  <c r="I23" i="59"/>
  <c r="H23" i="59"/>
  <c r="G23" i="59"/>
  <c r="M22" i="59"/>
  <c r="I22" i="59"/>
  <c r="H22" i="59"/>
  <c r="J22" i="59" s="1"/>
  <c r="L22" i="59" s="1"/>
  <c r="G22" i="59"/>
  <c r="M21" i="59"/>
  <c r="I21" i="59"/>
  <c r="H21" i="59"/>
  <c r="O21" i="59" s="1"/>
  <c r="G21" i="59"/>
  <c r="M20" i="59"/>
  <c r="I20" i="59"/>
  <c r="H20" i="59"/>
  <c r="O20" i="59" s="1"/>
  <c r="G20" i="59"/>
  <c r="K58" i="58"/>
  <c r="F58" i="58"/>
  <c r="D58" i="58"/>
  <c r="C58" i="58"/>
  <c r="J57" i="58"/>
  <c r="L57" i="58"/>
  <c r="I57" i="58"/>
  <c r="G57" i="58"/>
  <c r="E57" i="58"/>
  <c r="J56" i="58"/>
  <c r="L56" i="58"/>
  <c r="I56" i="58"/>
  <c r="G56" i="58"/>
  <c r="E56" i="58"/>
  <c r="J55" i="58"/>
  <c r="L55" i="58"/>
  <c r="I55" i="58"/>
  <c r="E55" i="58"/>
  <c r="G55" i="58"/>
  <c r="J54" i="58"/>
  <c r="L54" i="58"/>
  <c r="I54" i="58"/>
  <c r="E54" i="58"/>
  <c r="G54" i="58"/>
  <c r="J53" i="58"/>
  <c r="L53" i="58"/>
  <c r="I53" i="58"/>
  <c r="E53" i="58"/>
  <c r="G53" i="58"/>
  <c r="J52" i="58"/>
  <c r="L52" i="58"/>
  <c r="I52" i="58"/>
  <c r="E52" i="58"/>
  <c r="G52" i="58"/>
  <c r="J51" i="58"/>
  <c r="L51" i="58"/>
  <c r="I51" i="58"/>
  <c r="E51" i="58"/>
  <c r="G51" i="58"/>
  <c r="J50" i="58"/>
  <c r="L50" i="58"/>
  <c r="I50" i="58"/>
  <c r="E50" i="58"/>
  <c r="G50" i="58"/>
  <c r="J49" i="58"/>
  <c r="L49" i="58"/>
  <c r="I49" i="58"/>
  <c r="G49" i="58"/>
  <c r="E49" i="58"/>
  <c r="J48" i="58"/>
  <c r="L48" i="58"/>
  <c r="I48" i="58"/>
  <c r="G48" i="58"/>
  <c r="E48" i="58"/>
  <c r="J47" i="58"/>
  <c r="L47" i="58"/>
  <c r="I47" i="58"/>
  <c r="E47" i="58"/>
  <c r="G47" i="58"/>
  <c r="J46" i="58"/>
  <c r="L46" i="58"/>
  <c r="I46" i="58"/>
  <c r="E46" i="58"/>
  <c r="G46" i="58"/>
  <c r="J45" i="58"/>
  <c r="L45" i="58"/>
  <c r="I45" i="58"/>
  <c r="E45" i="58"/>
  <c r="G45" i="58"/>
  <c r="J44" i="58"/>
  <c r="L44" i="58"/>
  <c r="I44" i="58"/>
  <c r="E44" i="58"/>
  <c r="G44" i="58"/>
  <c r="J43" i="58"/>
  <c r="L43" i="58"/>
  <c r="I43" i="58"/>
  <c r="E43" i="58"/>
  <c r="G43" i="58"/>
  <c r="J42" i="58"/>
  <c r="I42" i="58"/>
  <c r="E42" i="58"/>
  <c r="G42" i="58" s="1"/>
  <c r="J41" i="58"/>
  <c r="L41" i="58"/>
  <c r="I41" i="58"/>
  <c r="G41" i="58"/>
  <c r="E41" i="58"/>
  <c r="J40" i="58"/>
  <c r="L40" i="58"/>
  <c r="I40" i="58"/>
  <c r="G40" i="58"/>
  <c r="E40" i="58"/>
  <c r="J39" i="58"/>
  <c r="L39" i="58"/>
  <c r="I39" i="58"/>
  <c r="E39" i="58"/>
  <c r="G39" i="58"/>
  <c r="J38" i="58"/>
  <c r="L38" i="58"/>
  <c r="I38" i="58"/>
  <c r="E38" i="58"/>
  <c r="G38" i="58"/>
  <c r="J37" i="58"/>
  <c r="L37" i="58"/>
  <c r="I37" i="58"/>
  <c r="E37" i="58"/>
  <c r="G37" i="58"/>
  <c r="J36" i="58"/>
  <c r="L36" i="58"/>
  <c r="I36" i="58"/>
  <c r="E36" i="58"/>
  <c r="G36" i="58"/>
  <c r="J35" i="58"/>
  <c r="L35" i="58"/>
  <c r="I35" i="58"/>
  <c r="E35" i="58"/>
  <c r="G35" i="58"/>
  <c r="J34" i="58"/>
  <c r="L34" i="58"/>
  <c r="I34" i="58"/>
  <c r="E34" i="58"/>
  <c r="G34" i="58"/>
  <c r="J33" i="58"/>
  <c r="L33" i="58"/>
  <c r="I33" i="58"/>
  <c r="G33" i="58"/>
  <c r="E33" i="58"/>
  <c r="J32" i="58"/>
  <c r="L32" i="58"/>
  <c r="I32" i="58"/>
  <c r="G32" i="58"/>
  <c r="E32" i="58"/>
  <c r="J31" i="58"/>
  <c r="L31" i="58"/>
  <c r="I31" i="58"/>
  <c r="E31" i="58"/>
  <c r="G31" i="58"/>
  <c r="J30" i="58"/>
  <c r="L30" i="58"/>
  <c r="I30" i="58"/>
  <c r="E30" i="58"/>
  <c r="G30" i="58"/>
  <c r="J29" i="58"/>
  <c r="L29" i="58"/>
  <c r="I29" i="58"/>
  <c r="E29" i="58"/>
  <c r="G29" i="58"/>
  <c r="J28" i="58"/>
  <c r="L28" i="58"/>
  <c r="I28" i="58"/>
  <c r="E28" i="58"/>
  <c r="G28" i="58"/>
  <c r="J27" i="58"/>
  <c r="L27" i="58"/>
  <c r="I27" i="58"/>
  <c r="E27" i="58"/>
  <c r="G27" i="58"/>
  <c r="I26" i="58"/>
  <c r="E26" i="58"/>
  <c r="G26" i="58" s="1"/>
  <c r="J26" i="58" s="1"/>
  <c r="L26" i="58" s="1"/>
  <c r="J25" i="58"/>
  <c r="L25" i="58"/>
  <c r="I25" i="58"/>
  <c r="G25" i="58"/>
  <c r="E25" i="58"/>
  <c r="J24" i="58"/>
  <c r="L24" i="58"/>
  <c r="I24" i="58"/>
  <c r="G24" i="58"/>
  <c r="E24" i="58"/>
  <c r="J23" i="58"/>
  <c r="L23" i="58"/>
  <c r="I23" i="58"/>
  <c r="E23" i="58"/>
  <c r="G23" i="58"/>
  <c r="J22" i="58"/>
  <c r="L22" i="58"/>
  <c r="I22" i="58"/>
  <c r="E22" i="58"/>
  <c r="G22" i="58"/>
  <c r="J21" i="58"/>
  <c r="L21" i="58"/>
  <c r="I21" i="58"/>
  <c r="E21" i="58"/>
  <c r="G21" i="58"/>
  <c r="J20" i="58"/>
  <c r="L20" i="58"/>
  <c r="I20" i="58"/>
  <c r="E20" i="58"/>
  <c r="G20" i="58"/>
  <c r="J42" i="59"/>
  <c r="L42" i="59"/>
  <c r="J49" i="59"/>
  <c r="L49" i="59" s="1"/>
  <c r="J30" i="59"/>
  <c r="L30" i="59"/>
  <c r="J31" i="59"/>
  <c r="L31" i="59" s="1"/>
  <c r="J45" i="59"/>
  <c r="L45" i="59" s="1"/>
  <c r="J54" i="59"/>
  <c r="L54" i="59" s="1"/>
  <c r="J23" i="59"/>
  <c r="L23" i="59" s="1"/>
  <c r="J28" i="59"/>
  <c r="L28" i="59" s="1"/>
  <c r="O45" i="59"/>
  <c r="K45" i="60" s="1"/>
  <c r="O49" i="59"/>
  <c r="F49" i="60" s="1"/>
  <c r="H49" i="60" s="1"/>
  <c r="K49" i="60"/>
  <c r="F49" i="61" s="1"/>
  <c r="H49" i="61" s="1"/>
  <c r="O50" i="59"/>
  <c r="F50" i="60" s="1"/>
  <c r="H50" i="60" s="1"/>
  <c r="O53" i="59"/>
  <c r="K53" i="60" s="1"/>
  <c r="O57" i="59"/>
  <c r="K57" i="60" s="1"/>
  <c r="O36" i="59"/>
  <c r="F36" i="60"/>
  <c r="H36" i="60" s="1"/>
  <c r="O32" i="59"/>
  <c r="K32" i="60" s="1"/>
  <c r="O41" i="59"/>
  <c r="K41" i="60" s="1"/>
  <c r="J53" i="59"/>
  <c r="L53" i="59" s="1"/>
  <c r="J57" i="59"/>
  <c r="L57" i="59"/>
  <c r="O23" i="59"/>
  <c r="F23" i="60" s="1"/>
  <c r="H23" i="60" s="1"/>
  <c r="J47" i="59"/>
  <c r="L47" i="59" s="1"/>
  <c r="J51" i="59"/>
  <c r="L51" i="59" s="1"/>
  <c r="J55" i="59"/>
  <c r="L55" i="59"/>
  <c r="K36" i="60"/>
  <c r="F36" i="61" s="1"/>
  <c r="H36" i="61" s="1"/>
  <c r="F45" i="60"/>
  <c r="H45" i="60" s="1"/>
  <c r="J21" i="59"/>
  <c r="L21" i="59"/>
  <c r="J37" i="59"/>
  <c r="L37" i="59"/>
  <c r="O43" i="59"/>
  <c r="F43" i="60" s="1"/>
  <c r="H43" i="60" s="1"/>
  <c r="I58" i="60"/>
  <c r="J24" i="59"/>
  <c r="L24" i="59"/>
  <c r="O24" i="59"/>
  <c r="K24" i="60" s="1"/>
  <c r="O40" i="59"/>
  <c r="K40" i="60" s="1"/>
  <c r="O48" i="59"/>
  <c r="F48" i="60" s="1"/>
  <c r="H48" i="60" s="1"/>
  <c r="O28" i="59"/>
  <c r="F28" i="60" s="1"/>
  <c r="H28" i="60" s="1"/>
  <c r="O35" i="59"/>
  <c r="F35" i="60" s="1"/>
  <c r="H35" i="60" s="1"/>
  <c r="K35" i="60"/>
  <c r="F35" i="61" s="1"/>
  <c r="H35" i="61" s="1"/>
  <c r="G13" i="105"/>
  <c r="F13" i="105"/>
  <c r="I13" i="105" s="1"/>
  <c r="E13" i="105"/>
  <c r="G13" i="20"/>
  <c r="G12" i="5"/>
  <c r="F12" i="5"/>
  <c r="F13" i="20"/>
  <c r="E13" i="20"/>
  <c r="E12" i="5"/>
  <c r="G13" i="14"/>
  <c r="D12" i="14" s="1"/>
  <c r="G13" i="49"/>
  <c r="G30" i="49" s="1"/>
  <c r="F13" i="49"/>
  <c r="H40" i="49" s="1"/>
  <c r="E13" i="49"/>
  <c r="E30" i="49" s="1"/>
  <c r="M40" i="49"/>
  <c r="E29" i="50"/>
  <c r="K29" i="50" s="1"/>
  <c r="I28" i="50"/>
  <c r="O28" i="50"/>
  <c r="O27" i="50"/>
  <c r="E24" i="50"/>
  <c r="K24" i="50" s="1"/>
  <c r="I23" i="50"/>
  <c r="O23" i="50" s="1"/>
  <c r="G61" i="14"/>
  <c r="F53" i="14"/>
  <c r="B60" i="34"/>
  <c r="E54" i="34" s="1"/>
  <c r="G47" i="34"/>
  <c r="G46" i="34"/>
  <c r="G45" i="34"/>
  <c r="G44" i="34"/>
  <c r="G43" i="34"/>
  <c r="G49" i="34" s="1"/>
  <c r="F38" i="34"/>
  <c r="D47" i="34" s="1"/>
  <c r="E47" i="34"/>
  <c r="F37" i="34"/>
  <c r="E46" i="34"/>
  <c r="F36" i="34"/>
  <c r="E45" i="34"/>
  <c r="F35" i="34"/>
  <c r="E44" i="34"/>
  <c r="F34" i="34"/>
  <c r="D43" i="34" s="1"/>
  <c r="E43" i="34"/>
  <c r="A32" i="34"/>
  <c r="A41" i="34"/>
  <c r="F29" i="34"/>
  <c r="F28" i="34"/>
  <c r="F27" i="34"/>
  <c r="F26" i="34"/>
  <c r="F25" i="34"/>
  <c r="F24" i="34"/>
  <c r="F23" i="34"/>
  <c r="D44" i="34"/>
  <c r="D45" i="34"/>
  <c r="D46" i="34"/>
  <c r="H61" i="6"/>
  <c r="J59" i="6"/>
  <c r="C14" i="21"/>
  <c r="D14" i="21"/>
  <c r="E14" i="21"/>
  <c r="F14" i="21"/>
  <c r="G14" i="21"/>
  <c r="K40" i="49"/>
  <c r="G40" i="49"/>
  <c r="I40" i="49"/>
  <c r="E40" i="49"/>
  <c r="L44" i="49"/>
  <c r="M44" i="49" s="1"/>
  <c r="L45" i="49"/>
  <c r="M45" i="49" s="1"/>
  <c r="L43" i="49"/>
  <c r="L42" i="49"/>
  <c r="L41" i="49"/>
  <c r="J44" i="49"/>
  <c r="J45" i="49"/>
  <c r="J43" i="49"/>
  <c r="J42" i="49"/>
  <c r="J41" i="49"/>
  <c r="K41" i="49" s="1"/>
  <c r="H44" i="49"/>
  <c r="K44" i="49" s="1"/>
  <c r="H45" i="49"/>
  <c r="I45" i="49" s="1"/>
  <c r="H43" i="49"/>
  <c r="H42" i="49"/>
  <c r="H41" i="49"/>
  <c r="F44" i="49"/>
  <c r="F46" i="49" s="1"/>
  <c r="F48" i="49" s="1"/>
  <c r="F45" i="49"/>
  <c r="F43" i="49"/>
  <c r="F42" i="49"/>
  <c r="I42" i="49"/>
  <c r="F41" i="49"/>
  <c r="C41" i="49"/>
  <c r="C42" i="49"/>
  <c r="C43" i="49"/>
  <c r="C44" i="49"/>
  <c r="C45" i="49"/>
  <c r="B45" i="49"/>
  <c r="B44" i="49"/>
  <c r="B43" i="49"/>
  <c r="B42" i="49"/>
  <c r="B41" i="49"/>
  <c r="C31" i="49"/>
  <c r="E31" i="49"/>
  <c r="F31" i="49"/>
  <c r="G31" i="49"/>
  <c r="H31" i="49"/>
  <c r="C32" i="49"/>
  <c r="E32" i="49"/>
  <c r="F32" i="49"/>
  <c r="G32" i="49"/>
  <c r="H32" i="49"/>
  <c r="C33" i="49"/>
  <c r="E33" i="49"/>
  <c r="F33" i="49"/>
  <c r="G33" i="49"/>
  <c r="H33" i="49"/>
  <c r="C34" i="49"/>
  <c r="E34" i="49"/>
  <c r="F34" i="49"/>
  <c r="G34" i="49"/>
  <c r="H34" i="49"/>
  <c r="C35" i="49"/>
  <c r="E35" i="49"/>
  <c r="F35" i="49"/>
  <c r="G35" i="49"/>
  <c r="H35" i="49"/>
  <c r="B35" i="49"/>
  <c r="B34" i="49"/>
  <c r="B33" i="49"/>
  <c r="B32" i="49"/>
  <c r="B36" i="49" s="1"/>
  <c r="B31" i="49"/>
  <c r="C23" i="49"/>
  <c r="G23" i="49"/>
  <c r="G24" i="49" s="1"/>
  <c r="H23" i="49"/>
  <c r="H24" i="49" s="1"/>
  <c r="B23" i="49"/>
  <c r="B26" i="49" s="1"/>
  <c r="C17" i="49"/>
  <c r="F17" i="49"/>
  <c r="G17" i="49"/>
  <c r="H17" i="49"/>
  <c r="B17" i="49"/>
  <c r="I41" i="49"/>
  <c r="G43" i="49"/>
  <c r="G44" i="49"/>
  <c r="M43" i="49"/>
  <c r="E41" i="49"/>
  <c r="F19" i="23"/>
  <c r="H19" i="23"/>
  <c r="F36" i="14"/>
  <c r="F24" i="23"/>
  <c r="H24" i="23"/>
  <c r="F18" i="23"/>
  <c r="H18" i="23"/>
  <c r="F17" i="23"/>
  <c r="H17" i="23"/>
  <c r="F16" i="23"/>
  <c r="H16" i="23"/>
  <c r="F15" i="23"/>
  <c r="H15" i="23"/>
  <c r="F14" i="23"/>
  <c r="H14" i="23"/>
  <c r="H25" i="21"/>
  <c r="H21" i="21"/>
  <c r="H20" i="21"/>
  <c r="H18" i="21"/>
  <c r="H17" i="21"/>
  <c r="H16" i="21"/>
  <c r="G22" i="21"/>
  <c r="G23" i="21" s="1"/>
  <c r="G27" i="21" s="1"/>
  <c r="F22" i="21"/>
  <c r="F23" i="21"/>
  <c r="F27" i="21" s="1"/>
  <c r="E22" i="21"/>
  <c r="E23" i="21" s="1"/>
  <c r="E27" i="21" s="1"/>
  <c r="D22" i="21"/>
  <c r="D23" i="21" s="1"/>
  <c r="D27" i="21" s="1"/>
  <c r="C22" i="21"/>
  <c r="D19" i="21"/>
  <c r="E19" i="21"/>
  <c r="F19" i="21"/>
  <c r="G19" i="21"/>
  <c r="C19" i="21"/>
  <c r="H26" i="12"/>
  <c r="K26" i="12" s="1"/>
  <c r="H27" i="12"/>
  <c r="G26" i="12"/>
  <c r="I26" i="12" s="1"/>
  <c r="G27" i="12"/>
  <c r="I27" i="12" s="1"/>
  <c r="K25" i="12"/>
  <c r="K24" i="12"/>
  <c r="K23" i="12"/>
  <c r="K22" i="12"/>
  <c r="K21" i="12"/>
  <c r="K20" i="12"/>
  <c r="K19" i="12"/>
  <c r="K18" i="12"/>
  <c r="K17" i="12"/>
  <c r="K16" i="12"/>
  <c r="K15" i="12"/>
  <c r="I25" i="12"/>
  <c r="I24" i="12"/>
  <c r="I23" i="12"/>
  <c r="I22" i="12"/>
  <c r="I21" i="12"/>
  <c r="I20" i="12"/>
  <c r="I19" i="12"/>
  <c r="I18" i="12"/>
  <c r="I17" i="12"/>
  <c r="I16" i="12"/>
  <c r="I15" i="12"/>
  <c r="J26" i="12"/>
  <c r="J27" i="12"/>
  <c r="F26" i="12"/>
  <c r="F27" i="12"/>
  <c r="D27" i="12"/>
  <c r="D26" i="12"/>
  <c r="H61" i="14"/>
  <c r="F61" i="14"/>
  <c r="E61" i="14"/>
  <c r="D61" i="14"/>
  <c r="C61" i="14"/>
  <c r="F23" i="15"/>
  <c r="G15" i="15" s="1"/>
  <c r="E44" i="49" l="1"/>
  <c r="H36" i="49"/>
  <c r="G26" i="49"/>
  <c r="J46" i="49"/>
  <c r="J48" i="49" s="1"/>
  <c r="M41" i="49"/>
  <c r="L46" i="49"/>
  <c r="L48" i="49" s="1"/>
  <c r="H51" i="49" s="1"/>
  <c r="M17" i="100"/>
  <c r="M22" i="100"/>
  <c r="M26" i="100"/>
  <c r="M30" i="100"/>
  <c r="M34" i="100"/>
  <c r="M38" i="100"/>
  <c r="M42" i="100"/>
  <c r="M46" i="100"/>
  <c r="M50" i="100"/>
  <c r="M54" i="100"/>
  <c r="M58" i="100"/>
  <c r="M21" i="100"/>
  <c r="M25" i="100"/>
  <c r="M29" i="100"/>
  <c r="M33" i="100"/>
  <c r="M37" i="100"/>
  <c r="M41" i="100"/>
  <c r="M45" i="100"/>
  <c r="M49" i="100"/>
  <c r="M53" i="100"/>
  <c r="M20" i="100"/>
  <c r="M24" i="100"/>
  <c r="M28" i="100"/>
  <c r="M32" i="100"/>
  <c r="M36" i="100"/>
  <c r="M40" i="100"/>
  <c r="M44" i="100"/>
  <c r="M48" i="100"/>
  <c r="M52" i="100"/>
  <c r="M59" i="100"/>
  <c r="H36" i="14"/>
  <c r="D36" i="14"/>
  <c r="H54" i="14"/>
  <c r="E12" i="14"/>
  <c r="C36" i="14"/>
  <c r="E36" i="14"/>
  <c r="G23" i="15"/>
  <c r="H15" i="15" s="1"/>
  <c r="H23" i="15" s="1"/>
  <c r="I29" i="50"/>
  <c r="O29" i="50"/>
  <c r="K31" i="50"/>
  <c r="I24" i="50"/>
  <c r="J61" i="6"/>
  <c r="I61" i="6" s="1"/>
  <c r="C28" i="5"/>
  <c r="E32" i="105"/>
  <c r="G32" i="105"/>
  <c r="C32" i="105"/>
  <c r="J30" i="105"/>
  <c r="B32" i="105"/>
  <c r="E45" i="49"/>
  <c r="B46" i="49"/>
  <c r="B48" i="49" s="1"/>
  <c r="E42" i="49"/>
  <c r="H26" i="49"/>
  <c r="H27" i="49" s="1"/>
  <c r="H19" i="49"/>
  <c r="M42" i="49"/>
  <c r="K42" i="49"/>
  <c r="H18" i="49"/>
  <c r="G36" i="49"/>
  <c r="H37" i="49" s="1"/>
  <c r="K45" i="49"/>
  <c r="H46" i="49"/>
  <c r="H48" i="49" s="1"/>
  <c r="J49" i="49" s="1"/>
  <c r="J50" i="49" s="1"/>
  <c r="I43" i="49"/>
  <c r="K43" i="49"/>
  <c r="F24" i="49"/>
  <c r="F26" i="49"/>
  <c r="G27" i="49" s="1"/>
  <c r="F36" i="49"/>
  <c r="H49" i="49"/>
  <c r="H50" i="49" s="1"/>
  <c r="I44" i="49"/>
  <c r="E24" i="49"/>
  <c r="E26" i="49"/>
  <c r="F27" i="49" s="1"/>
  <c r="E36" i="49"/>
  <c r="G45" i="49"/>
  <c r="E43" i="49"/>
  <c r="E18" i="49"/>
  <c r="C26" i="49"/>
  <c r="E27" i="49" s="1"/>
  <c r="C46" i="49"/>
  <c r="G42" i="49"/>
  <c r="C36" i="49"/>
  <c r="G36" i="14"/>
  <c r="O24" i="50"/>
  <c r="G57" i="100"/>
  <c r="G60" i="100" s="1"/>
  <c r="L57" i="100"/>
  <c r="L60" i="100" s="1"/>
  <c r="G18" i="49"/>
  <c r="G41" i="49"/>
  <c r="F18" i="49"/>
  <c r="H25" i="49"/>
  <c r="F32" i="105"/>
  <c r="H32" i="105"/>
  <c r="F28" i="5"/>
  <c r="B28" i="5"/>
  <c r="H28" i="12"/>
  <c r="K28" i="12" s="1"/>
  <c r="D28" i="12"/>
  <c r="F28" i="12"/>
  <c r="J28" i="12"/>
  <c r="G28" i="12"/>
  <c r="I28" i="12" s="1"/>
  <c r="K27" i="12"/>
  <c r="C30" i="49"/>
  <c r="B40" i="49"/>
  <c r="J18" i="98"/>
  <c r="N53" i="98"/>
  <c r="M52" i="54"/>
  <c r="I17" i="54"/>
  <c r="F49" i="71"/>
  <c r="O29" i="59"/>
  <c r="O26" i="59"/>
  <c r="F26" i="60" s="1"/>
  <c r="O27" i="59"/>
  <c r="I58" i="59"/>
  <c r="M58" i="59"/>
  <c r="O25" i="59"/>
  <c r="K25" i="60" s="1"/>
  <c r="F40" i="49"/>
  <c r="H30" i="49"/>
  <c r="I58" i="61"/>
  <c r="K57" i="61"/>
  <c r="K57" i="62" s="1"/>
  <c r="K54" i="60"/>
  <c r="F54" i="61" s="1"/>
  <c r="H54" i="61" s="1"/>
  <c r="F54" i="60"/>
  <c r="H54" i="60" s="1"/>
  <c r="F41" i="61"/>
  <c r="H41" i="61" s="1"/>
  <c r="K41" i="61"/>
  <c r="K41" i="62" s="1"/>
  <c r="F34" i="60"/>
  <c r="H34" i="60" s="1"/>
  <c r="K34" i="60"/>
  <c r="K38" i="60"/>
  <c r="F38" i="60"/>
  <c r="H38" i="60" s="1"/>
  <c r="F42" i="60"/>
  <c r="H42" i="60" s="1"/>
  <c r="K42" i="60"/>
  <c r="F42" i="61" s="1"/>
  <c r="H42" i="61" s="1"/>
  <c r="F44" i="60"/>
  <c r="H44" i="60" s="1"/>
  <c r="K44" i="60"/>
  <c r="K46" i="60"/>
  <c r="K46" i="61" s="1"/>
  <c r="K46" i="62" s="1"/>
  <c r="F46" i="60"/>
  <c r="H46" i="60" s="1"/>
  <c r="K52" i="60"/>
  <c r="F52" i="61" s="1"/>
  <c r="H52" i="61" s="1"/>
  <c r="F52" i="60"/>
  <c r="H52" i="60" s="1"/>
  <c r="F56" i="60"/>
  <c r="H56" i="60" s="1"/>
  <c r="K56" i="60"/>
  <c r="F56" i="61" s="1"/>
  <c r="H56" i="61" s="1"/>
  <c r="K32" i="61"/>
  <c r="K32" i="62" s="1"/>
  <c r="F32" i="61"/>
  <c r="H32" i="61" s="1"/>
  <c r="F45" i="61"/>
  <c r="H45" i="61" s="1"/>
  <c r="K45" i="61"/>
  <c r="K45" i="62" s="1"/>
  <c r="K21" i="60"/>
  <c r="F21" i="61" s="1"/>
  <c r="H21" i="61" s="1"/>
  <c r="F21" i="60"/>
  <c r="H21" i="60" s="1"/>
  <c r="F47" i="60"/>
  <c r="H47" i="60" s="1"/>
  <c r="K47" i="60"/>
  <c r="K47" i="61" s="1"/>
  <c r="K47" i="62" s="1"/>
  <c r="F51" i="60"/>
  <c r="H51" i="60" s="1"/>
  <c r="K51" i="60"/>
  <c r="F51" i="61" s="1"/>
  <c r="H51" i="61" s="1"/>
  <c r="K55" i="60"/>
  <c r="F55" i="61" s="1"/>
  <c r="H55" i="61" s="1"/>
  <c r="F55" i="60"/>
  <c r="H55" i="60" s="1"/>
  <c r="K27" i="60"/>
  <c r="F27" i="60"/>
  <c r="H27" i="60" s="1"/>
  <c r="F40" i="61"/>
  <c r="H40" i="61" s="1"/>
  <c r="K40" i="61"/>
  <c r="K40" i="62" s="1"/>
  <c r="K29" i="60"/>
  <c r="F29" i="60"/>
  <c r="H29" i="60" s="1"/>
  <c r="F31" i="60"/>
  <c r="H31" i="60" s="1"/>
  <c r="K31" i="60"/>
  <c r="F31" i="61" s="1"/>
  <c r="H31" i="61" s="1"/>
  <c r="K33" i="60"/>
  <c r="F33" i="61" s="1"/>
  <c r="H33" i="61" s="1"/>
  <c r="F33" i="60"/>
  <c r="H33" i="60" s="1"/>
  <c r="F37" i="60"/>
  <c r="H37" i="60" s="1"/>
  <c r="K37" i="60"/>
  <c r="F39" i="60"/>
  <c r="H39" i="60" s="1"/>
  <c r="K39" i="60"/>
  <c r="F39" i="61" s="1"/>
  <c r="H39" i="61" s="1"/>
  <c r="K30" i="60"/>
  <c r="F30" i="61" s="1"/>
  <c r="H30" i="61" s="1"/>
  <c r="F30" i="60"/>
  <c r="H30" i="60" s="1"/>
  <c r="F24" i="61"/>
  <c r="H24" i="61" s="1"/>
  <c r="K24" i="61"/>
  <c r="K24" i="62" s="1"/>
  <c r="K53" i="61"/>
  <c r="K53" i="62" s="1"/>
  <c r="F53" i="61"/>
  <c r="H53" i="61" s="1"/>
  <c r="K20" i="60"/>
  <c r="K20" i="61" s="1"/>
  <c r="K20" i="62" s="1"/>
  <c r="F20" i="60"/>
  <c r="H20" i="60" s="1"/>
  <c r="O22" i="59"/>
  <c r="K52" i="61"/>
  <c r="K52" i="62" s="1"/>
  <c r="F24" i="60"/>
  <c r="H24" i="60" s="1"/>
  <c r="K48" i="60"/>
  <c r="K48" i="61" s="1"/>
  <c r="K48" i="62" s="1"/>
  <c r="F53" i="60"/>
  <c r="H53" i="60" s="1"/>
  <c r="J20" i="59"/>
  <c r="L20" i="59" s="1"/>
  <c r="F57" i="60"/>
  <c r="H57" i="60" s="1"/>
  <c r="K43" i="60"/>
  <c r="K28" i="60"/>
  <c r="K28" i="61" s="1"/>
  <c r="K28" i="62" s="1"/>
  <c r="F40" i="60"/>
  <c r="H40" i="60" s="1"/>
  <c r="K23" i="60"/>
  <c r="F23" i="61" s="1"/>
  <c r="H23" i="61" s="1"/>
  <c r="F32" i="60"/>
  <c r="H32" i="60" s="1"/>
  <c r="H58" i="59"/>
  <c r="F41" i="60"/>
  <c r="H41" i="60" s="1"/>
  <c r="K50" i="60"/>
  <c r="F50" i="61" s="1"/>
  <c r="H50" i="61" s="1"/>
  <c r="F53" i="62"/>
  <c r="H53" i="62" s="1"/>
  <c r="K33" i="61"/>
  <c r="K33" i="62" s="1"/>
  <c r="K39" i="61"/>
  <c r="K39" i="62" s="1"/>
  <c r="F32" i="62"/>
  <c r="H32" i="62" s="1"/>
  <c r="K49" i="61"/>
  <c r="F49" i="62" s="1"/>
  <c r="H49" i="62" s="1"/>
  <c r="F48" i="61"/>
  <c r="H48" i="61" s="1"/>
  <c r="F47" i="61"/>
  <c r="H47" i="61" s="1"/>
  <c r="K54" i="61"/>
  <c r="K54" i="62" s="1"/>
  <c r="K36" i="61"/>
  <c r="K36" i="62" s="1"/>
  <c r="K56" i="61"/>
  <c r="F20" i="61"/>
  <c r="H20" i="61" s="1"/>
  <c r="F46" i="61"/>
  <c r="H46" i="61" s="1"/>
  <c r="K35" i="61"/>
  <c r="K35" i="62" s="1"/>
  <c r="K51" i="61"/>
  <c r="K51" i="62" s="1"/>
  <c r="J40" i="49"/>
  <c r="G54" i="14"/>
  <c r="C23" i="21"/>
  <c r="C27" i="21" s="1"/>
  <c r="H22" i="21"/>
  <c r="H19" i="21"/>
  <c r="AC20" i="54"/>
  <c r="AC24" i="54" s="1"/>
  <c r="AB20" i="54"/>
  <c r="AB24" i="54" s="1"/>
  <c r="V34" i="54"/>
  <c r="V40" i="54" s="1"/>
  <c r="Z20" i="54"/>
  <c r="Z24" i="54" s="1"/>
  <c r="Y20" i="54"/>
  <c r="Y24" i="54" s="1"/>
  <c r="W34" i="54"/>
  <c r="W40" i="54" s="1"/>
  <c r="W43" i="54" s="1"/>
  <c r="W45" i="54" s="1"/>
  <c r="AC57" i="54"/>
  <c r="AB57" i="54"/>
  <c r="L95" i="54"/>
  <c r="A54" i="49"/>
  <c r="F30" i="49"/>
  <c r="B46" i="34"/>
  <c r="B44" i="34"/>
  <c r="B47" i="34"/>
  <c r="B43" i="34"/>
  <c r="B45" i="34"/>
  <c r="I30" i="105"/>
  <c r="J43" i="87"/>
  <c r="L43" i="87" s="1"/>
  <c r="J26" i="59"/>
  <c r="L26" i="59" s="1"/>
  <c r="E58" i="58"/>
  <c r="G58" i="58"/>
  <c r="J58" i="58"/>
  <c r="F57" i="61"/>
  <c r="H57" i="61" s="1"/>
  <c r="O58" i="59"/>
  <c r="K26" i="60"/>
  <c r="F26" i="61" s="1"/>
  <c r="H26" i="61" s="1"/>
  <c r="H26" i="60"/>
  <c r="L42" i="58"/>
  <c r="L58" i="58" s="1"/>
  <c r="F57" i="62"/>
  <c r="H57" i="62" s="1"/>
  <c r="E33" i="75"/>
  <c r="G22" i="75"/>
  <c r="G25" i="75" s="1"/>
  <c r="G33" i="75" s="1"/>
  <c r="G38" i="119"/>
  <c r="G37" i="119"/>
  <c r="R14" i="102"/>
  <c r="S14" i="102" s="1"/>
  <c r="T14" i="102" s="1"/>
  <c r="U14" i="102" s="1"/>
  <c r="N14" i="102"/>
  <c r="K14" i="102" s="1"/>
  <c r="H14" i="102" s="1"/>
  <c r="E14" i="102" s="1"/>
  <c r="B14" i="102" s="1"/>
  <c r="M46" i="49" l="1"/>
  <c r="M48" i="49" s="1"/>
  <c r="H52" i="49"/>
  <c r="L49" i="49"/>
  <c r="L50" i="49" s="1"/>
  <c r="O31" i="50"/>
  <c r="J32" i="105"/>
  <c r="I32" i="105"/>
  <c r="E46" i="49"/>
  <c r="E48" i="49" s="1"/>
  <c r="K46" i="49"/>
  <c r="K48" i="49" s="1"/>
  <c r="G37" i="49"/>
  <c r="F37" i="49"/>
  <c r="I46" i="49"/>
  <c r="I48" i="49" s="1"/>
  <c r="G46" i="49"/>
  <c r="G48" i="49" s="1"/>
  <c r="E37" i="49"/>
  <c r="C48" i="49"/>
  <c r="F49" i="49" s="1"/>
  <c r="F50" i="49" s="1"/>
  <c r="M57" i="100"/>
  <c r="M60" i="100" s="1"/>
  <c r="F17" i="54"/>
  <c r="J52" i="54"/>
  <c r="K53" i="98"/>
  <c r="G18" i="98"/>
  <c r="F25" i="60"/>
  <c r="H25" i="60" s="1"/>
  <c r="F36" i="120"/>
  <c r="H36" i="120" s="1"/>
  <c r="K36" i="120"/>
  <c r="F36" i="130" s="1"/>
  <c r="H36" i="130" s="1"/>
  <c r="F46" i="120"/>
  <c r="H46" i="120" s="1"/>
  <c r="K46" i="120"/>
  <c r="F46" i="130" s="1"/>
  <c r="H46" i="130" s="1"/>
  <c r="F41" i="120"/>
  <c r="H41" i="120" s="1"/>
  <c r="K41" i="120"/>
  <c r="F41" i="130" s="1"/>
  <c r="H41" i="130" s="1"/>
  <c r="F51" i="120"/>
  <c r="H51" i="120" s="1"/>
  <c r="K51" i="120"/>
  <c r="F51" i="130" s="1"/>
  <c r="H51" i="130" s="1"/>
  <c r="F53" i="120"/>
  <c r="H53" i="120" s="1"/>
  <c r="K53" i="120"/>
  <c r="F53" i="130" s="1"/>
  <c r="H53" i="130" s="1"/>
  <c r="F32" i="120"/>
  <c r="H32" i="120" s="1"/>
  <c r="K32" i="120"/>
  <c r="F32" i="130" s="1"/>
  <c r="H32" i="130" s="1"/>
  <c r="F35" i="120"/>
  <c r="H35" i="120" s="1"/>
  <c r="K35" i="120"/>
  <c r="F35" i="130" s="1"/>
  <c r="H35" i="130" s="1"/>
  <c r="F48" i="120"/>
  <c r="H48" i="120" s="1"/>
  <c r="K48" i="120"/>
  <c r="F48" i="130" s="1"/>
  <c r="H48" i="130" s="1"/>
  <c r="F24" i="120"/>
  <c r="H24" i="120" s="1"/>
  <c r="K24" i="120"/>
  <c r="F24" i="130" s="1"/>
  <c r="H24" i="130" s="1"/>
  <c r="F47" i="120"/>
  <c r="H47" i="120" s="1"/>
  <c r="K47" i="120"/>
  <c r="F47" i="130" s="1"/>
  <c r="H47" i="130" s="1"/>
  <c r="F45" i="120"/>
  <c r="H45" i="120" s="1"/>
  <c r="K45" i="120"/>
  <c r="F45" i="130" s="1"/>
  <c r="H45" i="130" s="1"/>
  <c r="F54" i="120"/>
  <c r="H54" i="120" s="1"/>
  <c r="K54" i="120"/>
  <c r="F54" i="130" s="1"/>
  <c r="H54" i="130" s="1"/>
  <c r="F20" i="120"/>
  <c r="H20" i="120" s="1"/>
  <c r="K20" i="120"/>
  <c r="F20" i="130" s="1"/>
  <c r="H20" i="130" s="1"/>
  <c r="F40" i="120"/>
  <c r="H40" i="120" s="1"/>
  <c r="K40" i="120"/>
  <c r="F40" i="130" s="1"/>
  <c r="H40" i="130" s="1"/>
  <c r="F39" i="120"/>
  <c r="H39" i="120" s="1"/>
  <c r="K39" i="120"/>
  <c r="F39" i="130" s="1"/>
  <c r="H39" i="130" s="1"/>
  <c r="F52" i="120"/>
  <c r="H52" i="120" s="1"/>
  <c r="K52" i="120"/>
  <c r="F52" i="130" s="1"/>
  <c r="H52" i="130" s="1"/>
  <c r="F57" i="120"/>
  <c r="H57" i="120" s="1"/>
  <c r="K57" i="120"/>
  <c r="F57" i="130" s="1"/>
  <c r="H57" i="130" s="1"/>
  <c r="F33" i="120"/>
  <c r="H33" i="120" s="1"/>
  <c r="K33" i="120"/>
  <c r="F33" i="130" s="1"/>
  <c r="H33" i="130" s="1"/>
  <c r="F28" i="120"/>
  <c r="H28" i="120" s="1"/>
  <c r="K28" i="120"/>
  <c r="F28" i="130" s="1"/>
  <c r="H28" i="130" s="1"/>
  <c r="F47" i="62"/>
  <c r="H47" i="62" s="1"/>
  <c r="F24" i="62"/>
  <c r="H24" i="62" s="1"/>
  <c r="F48" i="62"/>
  <c r="H48" i="62" s="1"/>
  <c r="F45" i="62"/>
  <c r="H45" i="62" s="1"/>
  <c r="F36" i="62"/>
  <c r="H36" i="62" s="1"/>
  <c r="F46" i="62"/>
  <c r="H46" i="62" s="1"/>
  <c r="F41" i="62"/>
  <c r="H41" i="62" s="1"/>
  <c r="K21" i="61"/>
  <c r="K21" i="62" s="1"/>
  <c r="K50" i="61"/>
  <c r="K50" i="62" s="1"/>
  <c r="K55" i="61"/>
  <c r="F55" i="62" s="1"/>
  <c r="H55" i="62" s="1"/>
  <c r="F20" i="62"/>
  <c r="H20" i="62" s="1"/>
  <c r="F33" i="62"/>
  <c r="H33" i="62" s="1"/>
  <c r="K22" i="60"/>
  <c r="F22" i="60"/>
  <c r="H22" i="60" s="1"/>
  <c r="H58" i="60" s="1"/>
  <c r="F25" i="61"/>
  <c r="H25" i="61" s="1"/>
  <c r="K25" i="61"/>
  <c r="K38" i="61"/>
  <c r="F38" i="61"/>
  <c r="H38" i="61" s="1"/>
  <c r="F28" i="62"/>
  <c r="H28" i="62" s="1"/>
  <c r="K42" i="61"/>
  <c r="K23" i="61"/>
  <c r="F43" i="61"/>
  <c r="H43" i="61" s="1"/>
  <c r="K43" i="61"/>
  <c r="F34" i="61"/>
  <c r="H34" i="61" s="1"/>
  <c r="K34" i="61"/>
  <c r="F39" i="62"/>
  <c r="H39" i="62" s="1"/>
  <c r="L58" i="59"/>
  <c r="K30" i="61"/>
  <c r="F28" i="61"/>
  <c r="H28" i="61" s="1"/>
  <c r="F29" i="61"/>
  <c r="H29" i="61" s="1"/>
  <c r="K29" i="61"/>
  <c r="F37" i="61"/>
  <c r="H37" i="61" s="1"/>
  <c r="K37" i="61"/>
  <c r="F52" i="62"/>
  <c r="H52" i="62" s="1"/>
  <c r="F44" i="61"/>
  <c r="H44" i="61" s="1"/>
  <c r="K44" i="61"/>
  <c r="F51" i="62"/>
  <c r="H51" i="62" s="1"/>
  <c r="K31" i="61"/>
  <c r="F40" i="62"/>
  <c r="H40" i="62" s="1"/>
  <c r="F27" i="61"/>
  <c r="H27" i="61" s="1"/>
  <c r="K27" i="61"/>
  <c r="K49" i="62"/>
  <c r="F35" i="62"/>
  <c r="H35" i="62" s="1"/>
  <c r="F54" i="62"/>
  <c r="H54" i="62" s="1"/>
  <c r="K56" i="62"/>
  <c r="F56" i="62"/>
  <c r="H56" i="62" s="1"/>
  <c r="H27" i="21"/>
  <c r="Y29" i="54"/>
  <c r="Y33" i="54" s="1"/>
  <c r="Y55" i="54" s="1"/>
  <c r="Y58" i="54" s="1"/>
  <c r="Y62" i="54" s="1"/>
  <c r="Y64" i="54" s="1"/>
  <c r="Y65" i="54" s="1"/>
  <c r="Y38" i="54" s="1"/>
  <c r="Y28" i="54"/>
  <c r="Y32" i="54" s="1"/>
  <c r="Y27" i="54"/>
  <c r="Y31" i="54" s="1"/>
  <c r="Z29" i="54"/>
  <c r="Z33" i="54" s="1"/>
  <c r="Z55" i="54" s="1"/>
  <c r="Z58" i="54" s="1"/>
  <c r="Z62" i="54" s="1"/>
  <c r="Z64" i="54" s="1"/>
  <c r="Z65" i="54" s="1"/>
  <c r="Z38" i="54" s="1"/>
  <c r="Z27" i="54"/>
  <c r="Z31" i="54" s="1"/>
  <c r="Z28" i="54"/>
  <c r="Z32" i="54" s="1"/>
  <c r="AC28" i="54"/>
  <c r="AC32" i="54" s="1"/>
  <c r="AC29" i="54"/>
  <c r="AC33" i="54" s="1"/>
  <c r="AC55" i="54" s="1"/>
  <c r="AC58" i="54" s="1"/>
  <c r="AC62" i="54" s="1"/>
  <c r="AC64" i="54" s="1"/>
  <c r="AC65" i="54" s="1"/>
  <c r="AC38" i="54" s="1"/>
  <c r="AC27" i="54"/>
  <c r="AC31" i="54" s="1"/>
  <c r="AB28" i="54"/>
  <c r="AB32" i="54" s="1"/>
  <c r="AB27" i="54"/>
  <c r="AB31" i="54" s="1"/>
  <c r="AB29" i="54"/>
  <c r="AB33" i="54" s="1"/>
  <c r="AB55" i="54" s="1"/>
  <c r="AB58" i="54" s="1"/>
  <c r="AB62" i="54" s="1"/>
  <c r="AB64" i="54" s="1"/>
  <c r="AB65" i="54" s="1"/>
  <c r="AB38" i="54" s="1"/>
  <c r="C45" i="34"/>
  <c r="F45" i="34"/>
  <c r="C43" i="34"/>
  <c r="F43" i="34"/>
  <c r="C47" i="34"/>
  <c r="F47" i="34"/>
  <c r="C44" i="34"/>
  <c r="F44" i="34"/>
  <c r="C46" i="34"/>
  <c r="F46" i="34"/>
  <c r="J58" i="59"/>
  <c r="G39" i="119"/>
  <c r="K26" i="61"/>
  <c r="K26" i="62" s="1"/>
  <c r="H38" i="75"/>
  <c r="H37" i="75"/>
  <c r="M52" i="49" l="1"/>
  <c r="H53" i="49"/>
  <c r="M53" i="49"/>
  <c r="H54" i="49"/>
  <c r="H53" i="98"/>
  <c r="D18" i="98"/>
  <c r="E53" i="98" s="1"/>
  <c r="G52" i="54"/>
  <c r="C17" i="54"/>
  <c r="D52" i="54" s="1"/>
  <c r="F49" i="120"/>
  <c r="H49" i="120" s="1"/>
  <c r="K49" i="120"/>
  <c r="F49" i="130" s="1"/>
  <c r="H49" i="130" s="1"/>
  <c r="F50" i="120"/>
  <c r="H50" i="120" s="1"/>
  <c r="K50" i="120"/>
  <c r="F50" i="130" s="1"/>
  <c r="H50" i="130" s="1"/>
  <c r="F26" i="120"/>
  <c r="H26" i="120" s="1"/>
  <c r="K26" i="120"/>
  <c r="F26" i="130" s="1"/>
  <c r="H26" i="130" s="1"/>
  <c r="F21" i="120"/>
  <c r="H21" i="120" s="1"/>
  <c r="K21" i="120"/>
  <c r="F21" i="130" s="1"/>
  <c r="H21" i="130" s="1"/>
  <c r="F56" i="120"/>
  <c r="H56" i="120" s="1"/>
  <c r="K56" i="120"/>
  <c r="F56" i="130" s="1"/>
  <c r="H56" i="130" s="1"/>
  <c r="F21" i="62"/>
  <c r="H21" i="62" s="1"/>
  <c r="F50" i="62"/>
  <c r="H50" i="62" s="1"/>
  <c r="K55" i="62"/>
  <c r="F58" i="60"/>
  <c r="K29" i="62"/>
  <c r="F29" i="62"/>
  <c r="H29" i="62" s="1"/>
  <c r="K44" i="62"/>
  <c r="F44" i="62"/>
  <c r="H44" i="62" s="1"/>
  <c r="K30" i="62"/>
  <c r="F30" i="62"/>
  <c r="H30" i="62" s="1"/>
  <c r="K23" i="62"/>
  <c r="F23" i="62"/>
  <c r="H23" i="62" s="1"/>
  <c r="K22" i="61"/>
  <c r="K58" i="61" s="1"/>
  <c r="F22" i="61"/>
  <c r="K27" i="62"/>
  <c r="F27" i="62"/>
  <c r="H27" i="62" s="1"/>
  <c r="K42" i="62"/>
  <c r="F42" i="62"/>
  <c r="H42" i="62" s="1"/>
  <c r="K58" i="60"/>
  <c r="K37" i="62"/>
  <c r="F37" i="62"/>
  <c r="H37" i="62" s="1"/>
  <c r="K31" i="62"/>
  <c r="F31" i="62"/>
  <c r="H31" i="62" s="1"/>
  <c r="K34" i="62"/>
  <c r="F34" i="62"/>
  <c r="H34" i="62" s="1"/>
  <c r="K38" i="62"/>
  <c r="F38" i="62"/>
  <c r="H38" i="62" s="1"/>
  <c r="K25" i="62"/>
  <c r="F25" i="62"/>
  <c r="H25" i="62" s="1"/>
  <c r="K43" i="62"/>
  <c r="F43" i="62"/>
  <c r="H43" i="62" s="1"/>
  <c r="AC34" i="54"/>
  <c r="AC40" i="54"/>
  <c r="AC43" i="54" s="1"/>
  <c r="AC45" i="54" s="1"/>
  <c r="Z34" i="54"/>
  <c r="Z40" i="54" s="1"/>
  <c r="Z43" i="54" s="1"/>
  <c r="Z45" i="54" s="1"/>
  <c r="AB34" i="54"/>
  <c r="AB40" i="54" s="1"/>
  <c r="Y34" i="54"/>
  <c r="Y40" i="54" s="1"/>
  <c r="F49" i="34"/>
  <c r="F26" i="62"/>
  <c r="H39" i="75"/>
  <c r="F43" i="120" l="1"/>
  <c r="H43" i="120" s="1"/>
  <c r="K43" i="120"/>
  <c r="F43" i="130" s="1"/>
  <c r="H43" i="130" s="1"/>
  <c r="F29" i="120"/>
  <c r="H29" i="120" s="1"/>
  <c r="K29" i="120"/>
  <c r="F29" i="130" s="1"/>
  <c r="H29" i="130" s="1"/>
  <c r="F23" i="120"/>
  <c r="H23" i="120" s="1"/>
  <c r="K23" i="120"/>
  <c r="F23" i="130" s="1"/>
  <c r="H23" i="130" s="1"/>
  <c r="F55" i="120"/>
  <c r="H55" i="120" s="1"/>
  <c r="K55" i="120"/>
  <c r="F55" i="130" s="1"/>
  <c r="H55" i="130" s="1"/>
  <c r="F38" i="120"/>
  <c r="H38" i="120" s="1"/>
  <c r="K38" i="120"/>
  <c r="F38" i="130" s="1"/>
  <c r="H38" i="130" s="1"/>
  <c r="F25" i="120"/>
  <c r="K25" i="120"/>
  <c r="F30" i="120"/>
  <c r="H30" i="120" s="1"/>
  <c r="K30" i="120"/>
  <c r="F30" i="130" s="1"/>
  <c r="H30" i="130" s="1"/>
  <c r="F34" i="120"/>
  <c r="H34" i="120" s="1"/>
  <c r="K34" i="120"/>
  <c r="F34" i="130" s="1"/>
  <c r="H34" i="130" s="1"/>
  <c r="F31" i="120"/>
  <c r="H31" i="120" s="1"/>
  <c r="K31" i="120"/>
  <c r="F31" i="130" s="1"/>
  <c r="H31" i="130" s="1"/>
  <c r="F37" i="120"/>
  <c r="H37" i="120" s="1"/>
  <c r="K37" i="120"/>
  <c r="F37" i="130" s="1"/>
  <c r="H37" i="130" s="1"/>
  <c r="F42" i="120"/>
  <c r="H42" i="120" s="1"/>
  <c r="K42" i="120"/>
  <c r="F42" i="130" s="1"/>
  <c r="H42" i="130" s="1"/>
  <c r="F27" i="120"/>
  <c r="H27" i="120" s="1"/>
  <c r="K27" i="120"/>
  <c r="F27" i="130" s="1"/>
  <c r="H27" i="130" s="1"/>
  <c r="F44" i="120"/>
  <c r="H44" i="120" s="1"/>
  <c r="K44" i="120"/>
  <c r="F44" i="130" s="1"/>
  <c r="H44" i="130" s="1"/>
  <c r="H22" i="61"/>
  <c r="H58" i="61" s="1"/>
  <c r="F58" i="61"/>
  <c r="F60" i="61" s="1"/>
  <c r="K22" i="62"/>
  <c r="K22" i="120" s="1"/>
  <c r="F22" i="130" s="1"/>
  <c r="H22" i="130" s="1"/>
  <c r="F22" i="62"/>
  <c r="H22" i="62" s="1"/>
  <c r="H26" i="62"/>
  <c r="D53" i="14"/>
  <c r="E53" i="14"/>
  <c r="F54" i="14"/>
  <c r="K58" i="120" l="1"/>
  <c r="F25" i="130"/>
  <c r="H25" i="120"/>
  <c r="F22" i="120"/>
  <c r="F58" i="120" s="1"/>
  <c r="K58" i="62"/>
  <c r="F58" i="62"/>
  <c r="F60" i="62" s="1"/>
  <c r="H58" i="62"/>
  <c r="H25" i="130" l="1"/>
  <c r="H58" i="130" s="1"/>
  <c r="F58" i="130"/>
  <c r="F60" i="130" s="1"/>
  <c r="H22" i="120"/>
  <c r="H58" i="120" s="1"/>
  <c r="F60" i="120"/>
  <c r="E20" i="87" l="1"/>
  <c r="G20" i="87" s="1"/>
  <c r="D67" i="87"/>
  <c r="G67" i="87" l="1"/>
  <c r="J20" i="87"/>
  <c r="E67" i="87"/>
  <c r="L20" i="87" l="1"/>
  <c r="L67" i="87" s="1"/>
  <c r="J67" i="87"/>
  <c r="J69" i="87" s="1"/>
</calcChain>
</file>

<file path=xl/comments1.xml><?xml version="1.0" encoding="utf-8"?>
<comments xmlns="http://schemas.openxmlformats.org/spreadsheetml/2006/main">
  <authors>
    <author>Keith Ritchie</author>
  </authors>
  <commentList>
    <comment ref="B20" authorId="0">
      <text>
        <r>
          <rPr>
            <b/>
            <sz val="9"/>
            <color indexed="81"/>
            <rFont val="Tahoma"/>
            <family val="2"/>
          </rPr>
          <t>OEB staff:</t>
        </r>
        <r>
          <rPr>
            <sz val="9"/>
            <color indexed="81"/>
            <rFont val="Tahoma"/>
            <family val="2"/>
          </rPr>
          <t xml:space="preserve">
The distributor should number the requested approvals beginning with 1.</t>
        </r>
      </text>
    </comment>
    <comment ref="D20" authorId="0">
      <text>
        <r>
          <rPr>
            <b/>
            <sz val="9"/>
            <color indexed="81"/>
            <rFont val="Tahoma"/>
            <family val="2"/>
          </rPr>
          <t>OEB staff:</t>
        </r>
        <r>
          <rPr>
            <sz val="9"/>
            <color indexed="81"/>
            <rFont val="Tahoma"/>
            <family val="2"/>
          </rPr>
          <t xml:space="preserve">
If sub-bullets are needed, the distributor can use the entries in this column to create appropriate sub-bulleting, as needed.</t>
        </r>
      </text>
    </comment>
    <comment ref="F20" authorId="0">
      <text>
        <r>
          <rPr>
            <b/>
            <sz val="9"/>
            <color indexed="81"/>
            <rFont val="Tahoma"/>
            <family val="2"/>
          </rPr>
          <t>OEB staff:</t>
        </r>
        <r>
          <rPr>
            <sz val="9"/>
            <color indexed="81"/>
            <rFont val="Tahoma"/>
            <family val="2"/>
          </rPr>
          <t xml:space="preserve">
This distributor should enter the requested approval in full text mode (i.e., same as in the Word document used for the test of the application evidence. Text boxes can be lengthened to show all text entered.</t>
        </r>
      </text>
    </comment>
    <comment ref="B40" authorId="0">
      <text>
        <r>
          <rPr>
            <b/>
            <sz val="9"/>
            <color indexed="81"/>
            <rFont val="Tahoma"/>
            <family val="2"/>
          </rPr>
          <t>OEB staff:</t>
        </r>
        <r>
          <rPr>
            <sz val="9"/>
            <color indexed="81"/>
            <rFont val="Tahoma"/>
            <family val="2"/>
          </rPr>
          <t xml:space="preserve">
As needed, additional approvals may be added to this sheet be copying row 42 and pasting every other row down, beginning with row 44. The print range will have to be altered with the addition of rows.</t>
        </r>
      </text>
    </comment>
    <comment ref="B42" authorId="0">
      <text>
        <r>
          <rPr>
            <b/>
            <sz val="9"/>
            <color indexed="81"/>
            <rFont val="Tahoma"/>
            <family val="2"/>
          </rPr>
          <t>OEB staff:</t>
        </r>
        <r>
          <rPr>
            <sz val="9"/>
            <color indexed="81"/>
            <rFont val="Tahoma"/>
            <family val="2"/>
          </rPr>
          <t xml:space="preserve">
As needed, additional approvals may be added to this sheet be copying row 42 and pasting every other row down, beginning with row 44. The print range will have to be altered with the addition of rows.</t>
        </r>
      </text>
    </comment>
    <comment ref="B44" authorId="0">
      <text>
        <r>
          <rPr>
            <b/>
            <sz val="9"/>
            <color indexed="81"/>
            <rFont val="Tahoma"/>
            <family val="2"/>
          </rPr>
          <t>OEB staff:</t>
        </r>
        <r>
          <rPr>
            <sz val="9"/>
            <color indexed="81"/>
            <rFont val="Tahoma"/>
            <family val="2"/>
          </rPr>
          <t xml:space="preserve">
As needed, additional approvals may be added to this sheet be copying row 42 and pasting every other row down, beginning with row 44. The print range will have to be altered with the addition of rows.</t>
        </r>
      </text>
    </comment>
  </commentList>
</comments>
</file>

<file path=xl/comments2.xml><?xml version="1.0" encoding="utf-8"?>
<comments xmlns="http://schemas.openxmlformats.org/spreadsheetml/2006/main">
  <authors>
    <author>Keith Ritchie</author>
  </authors>
  <commentList>
    <comment ref="F15" authorId="0">
      <text>
        <r>
          <rPr>
            <b/>
            <sz val="9"/>
            <color indexed="81"/>
            <rFont val="Tahoma"/>
            <family val="2"/>
          </rPr>
          <t>Keith Ritchie:</t>
        </r>
        <r>
          <rPr>
            <sz val="9"/>
            <color indexed="81"/>
            <rFont val="Tahoma"/>
            <family val="2"/>
          </rPr>
          <t xml:space="preserve">
Changes from fixed year dates to be
 driven from "TestYear" on sheet 1.</t>
        </r>
      </text>
    </comment>
  </commentList>
</comments>
</file>

<file path=xl/comments3.xml><?xml version="1.0" encoding="utf-8"?>
<comments xmlns="http://schemas.openxmlformats.org/spreadsheetml/2006/main">
  <authors>
    <author>Keith Ritchie</author>
  </authors>
  <commentList>
    <comment ref="F16" authorId="0">
      <text>
        <r>
          <rPr>
            <b/>
            <sz val="9"/>
            <color indexed="81"/>
            <rFont val="Tahoma"/>
            <family val="2"/>
          </rPr>
          <t>Keith Ritchie:</t>
        </r>
        <r>
          <rPr>
            <sz val="9"/>
            <color indexed="81"/>
            <rFont val="Tahoma"/>
            <family val="2"/>
          </rPr>
          <t xml:space="preserve">
Years changed to formulas driven from TestYear on Sheet 1.</t>
        </r>
      </text>
    </comment>
  </commentList>
</comments>
</file>

<file path=xl/comments4.xml><?xml version="1.0" encoding="utf-8"?>
<comments xmlns="http://schemas.openxmlformats.org/spreadsheetml/2006/main">
  <authors>
    <author>Keith Ritchie</author>
  </authors>
  <commentList>
    <comment ref="A23" authorId="0">
      <text>
        <r>
          <rPr>
            <b/>
            <sz val="9"/>
            <color indexed="81"/>
            <rFont val="Tahoma"/>
            <family val="2"/>
          </rPr>
          <t>OEB Staff:</t>
        </r>
        <r>
          <rPr>
            <sz val="9"/>
            <color indexed="81"/>
            <rFont val="Tahoma"/>
            <family val="2"/>
          </rPr>
          <t xml:space="preserve">
The distributor should enter its 2015-2020 kWh CDM target.</t>
        </r>
      </text>
    </comment>
    <comment ref="B93" authorId="0">
      <text>
        <r>
          <rPr>
            <b/>
            <sz val="9"/>
            <color indexed="81"/>
            <rFont val="Tahoma"/>
            <family val="2"/>
          </rPr>
          <t>OEB Staff:</t>
        </r>
        <r>
          <rPr>
            <sz val="9"/>
            <color indexed="81"/>
            <rFont val="Tahoma"/>
            <family val="2"/>
          </rPr>
          <t xml:space="preserve">
Enter proposed Total Loss Factor if manual adjustment is applied to base load forecast on system purchased basis, rather than as on a billed (delivered) basis.</t>
        </r>
      </text>
    </comment>
  </commentList>
</comments>
</file>

<file path=xl/sharedStrings.xml><?xml version="1.0" encoding="utf-8"?>
<sst xmlns="http://schemas.openxmlformats.org/spreadsheetml/2006/main" count="4992" uniqueCount="1530">
  <si>
    <t>Total Compensation (Salary, Wages, &amp; Benefits)</t>
  </si>
  <si>
    <t>Employee Costs</t>
  </si>
  <si>
    <t>Depreciation and Amortization Expense</t>
  </si>
  <si>
    <t>Account</t>
  </si>
  <si>
    <t>(a)</t>
  </si>
  <si>
    <t>(d)</t>
  </si>
  <si>
    <t>Years</t>
  </si>
  <si>
    <t>(f)</t>
  </si>
  <si>
    <t>(g) = 1 / (f)</t>
  </si>
  <si>
    <t>(h) = (e) / (f)</t>
  </si>
  <si>
    <t>(2)</t>
  </si>
  <si>
    <t>Notes:</t>
  </si>
  <si>
    <t>Proposed</t>
  </si>
  <si>
    <t>Rate</t>
  </si>
  <si>
    <t>Customer Class:</t>
  </si>
  <si>
    <t>Year</t>
  </si>
  <si>
    <t>Gross Asset Value</t>
  </si>
  <si>
    <t>Accumulated Amortization</t>
  </si>
  <si>
    <t>Net Asset</t>
  </si>
  <si>
    <t>Proceeds on Disposition</t>
  </si>
  <si>
    <t>Residual Net Book Value</t>
  </si>
  <si>
    <t>(A)</t>
  </si>
  <si>
    <t>(B)</t>
  </si>
  <si>
    <t>(D)</t>
  </si>
  <si>
    <t>(E)</t>
  </si>
  <si>
    <t>Capital Projects Table</t>
  </si>
  <si>
    <t>Year:</t>
  </si>
  <si>
    <t>USoA #</t>
  </si>
  <si>
    <t>Other Operating Revenue</t>
  </si>
  <si>
    <t>Specific Service Charges</t>
  </si>
  <si>
    <t>Late Payment Charges</t>
  </si>
  <si>
    <t>Retail Services Revenues</t>
  </si>
  <si>
    <t>Appendix 2-M</t>
  </si>
  <si>
    <t>Appendix 2-N</t>
  </si>
  <si>
    <t>(3)</t>
  </si>
  <si>
    <t>(4)</t>
  </si>
  <si>
    <t>(5)</t>
  </si>
  <si>
    <t>(6) = '(3) + (4)</t>
  </si>
  <si>
    <t>Asset Class</t>
  </si>
  <si>
    <t>Distribution Stations</t>
  </si>
  <si>
    <t>(7)</t>
  </si>
  <si>
    <t>(8)</t>
  </si>
  <si>
    <t>(9)</t>
  </si>
  <si>
    <t>(10)</t>
  </si>
  <si>
    <t>(11)</t>
  </si>
  <si>
    <t>Total line length or station capacity in asset class</t>
  </si>
  <si>
    <t>kW or kVa; km</t>
  </si>
  <si>
    <t>kW or kVA; km</t>
  </si>
  <si>
    <t>kW or kVA</t>
  </si>
  <si>
    <t>percent</t>
  </si>
  <si>
    <t>(12)</t>
  </si>
  <si>
    <t>(12a)</t>
  </si>
  <si>
    <t>(13)</t>
  </si>
  <si>
    <t>(14)</t>
  </si>
  <si>
    <t>(15)</t>
  </si>
  <si>
    <t>Return on Assets used to Provide LV services</t>
  </si>
  <si>
    <t>Taxes/PILs</t>
  </si>
  <si>
    <t>Annual amortization on assets used to provide LV services</t>
  </si>
  <si>
    <t>OM&amp;A costs with burden associated with assets used to provide LV services</t>
  </si>
  <si>
    <t>Total annual cost associated with assets used to provide LV services</t>
  </si>
  <si>
    <t>$/kW or $/kVA</t>
  </si>
  <si>
    <t>(17)</t>
  </si>
  <si>
    <t>(18)</t>
  </si>
  <si>
    <t>(19)</t>
  </si>
  <si>
    <t>(21)</t>
  </si>
  <si>
    <t>Capital Structure</t>
  </si>
  <si>
    <t>Long-Term Debt</t>
  </si>
  <si>
    <t>Weighted Average Cost of Capital</t>
  </si>
  <si>
    <t>Short-term Debt</t>
  </si>
  <si>
    <t>Common Equity</t>
  </si>
  <si>
    <t>Tax/PILs Rate</t>
  </si>
  <si>
    <t>Preferred Shares</t>
  </si>
  <si>
    <t>Working Capital Allowance Factor</t>
  </si>
  <si>
    <t>Difference</t>
  </si>
  <si>
    <t>kWh</t>
  </si>
  <si>
    <t>kW</t>
  </si>
  <si>
    <t>Residential</t>
  </si>
  <si>
    <t>GS &lt; 50 kW</t>
  </si>
  <si>
    <t>Streetlighting</t>
  </si>
  <si>
    <t>4305, 4310, 4315, 4320, 4325, 4330, 4335, 4340, 4345, 4350, 4355, 4360, 4365, 4370, 4375, 4380, 4385, 4390, 4395, 4398, 4405, 4415</t>
  </si>
  <si>
    <r>
      <t xml:space="preserve">Summary of </t>
    </r>
    <r>
      <rPr>
        <b/>
        <u/>
        <sz val="14"/>
        <color indexed="10"/>
        <rFont val="Arial"/>
        <family val="2"/>
      </rPr>
      <t>Recoverable</t>
    </r>
    <r>
      <rPr>
        <b/>
        <sz val="14"/>
        <rFont val="Arial"/>
        <family val="2"/>
      </rPr>
      <t xml:space="preserve"> OM&amp;A Expenses</t>
    </r>
  </si>
  <si>
    <t>OEB Section 30 Costs (Applicant-originated)</t>
  </si>
  <si>
    <t>If no depreciation expenses were recorded to reduce the net book value of stranded meter costs through accumulated depreciation, the total depreciation expense amount that would have been applicable from the time that the stranded meter costs were transferred to the sub-account of Account 1555 to December 31, 2010 should be provided.  In addition, the following information should be provided:</t>
  </si>
  <si>
    <t>A statement as to whether or not the recording of depreciation expenses continued in order to reduce the net book value through accumulated depreciation.  If so, provision of the total (cumulative) depreciation expense for the period from the time that the meters became stranded to December 31, 2010.</t>
  </si>
  <si>
    <t>The estimated amount of the pooled residual net book value of the removed from service meters, less any net proceeds from sales and contributed capital, at the time when smart meters will have been fully deployed.  If the smart meters have been fully deployed, please provide the actual amount.</t>
  </si>
  <si>
    <t>A description as to how the applicant intends to recover in rates the costs for stranded meters, including the proposed accounting treatment, the proposed disposition period and the associated bill impacts.</t>
  </si>
  <si>
    <t>Forecast</t>
  </si>
  <si>
    <t>USoA Description</t>
  </si>
  <si>
    <r>
      <t>etc.</t>
    </r>
    <r>
      <rPr>
        <vertAlign val="superscript"/>
        <sz val="10"/>
        <rFont val="Arial"/>
        <family val="2"/>
      </rPr>
      <t>1</t>
    </r>
  </si>
  <si>
    <t>1</t>
  </si>
  <si>
    <r>
      <t xml:space="preserve">Operating expenses associated with other resources allocated to regulatory matters </t>
    </r>
    <r>
      <rPr>
        <vertAlign val="superscript"/>
        <sz val="10"/>
        <rFont val="Arial"/>
        <family val="2"/>
      </rPr>
      <t>1</t>
    </r>
  </si>
  <si>
    <r>
      <t xml:space="preserve">Ongoing or One-time Cost? </t>
    </r>
    <r>
      <rPr>
        <b/>
        <vertAlign val="superscript"/>
        <sz val="10"/>
        <rFont val="Arial"/>
        <family val="2"/>
      </rPr>
      <t>2</t>
    </r>
  </si>
  <si>
    <r>
      <t xml:space="preserve">Sub-total - Ongoing Costs </t>
    </r>
    <r>
      <rPr>
        <vertAlign val="superscript"/>
        <sz val="10"/>
        <rFont val="Arial"/>
        <family val="2"/>
      </rPr>
      <t>3</t>
    </r>
  </si>
  <si>
    <r>
      <t xml:space="preserve">Sub-total - One-time Costs </t>
    </r>
    <r>
      <rPr>
        <vertAlign val="superscript"/>
        <sz val="10"/>
        <rFont val="Arial"/>
        <family val="2"/>
      </rPr>
      <t>4</t>
    </r>
  </si>
  <si>
    <t>2</t>
  </si>
  <si>
    <t>3</t>
  </si>
  <si>
    <t>4</t>
  </si>
  <si>
    <r>
      <t>Number of Employees (FTEs including Part-Time)</t>
    </r>
    <r>
      <rPr>
        <b/>
        <vertAlign val="superscript"/>
        <sz val="10"/>
        <rFont val="Arial"/>
        <family val="2"/>
      </rPr>
      <t>1</t>
    </r>
  </si>
  <si>
    <t xml:space="preserve">Note: </t>
  </si>
  <si>
    <t>(D ) = (A) - (B) - (C)</t>
  </si>
  <si>
    <t>Billing and Collecting</t>
  </si>
  <si>
    <t>Regulatory Cost Schedule</t>
  </si>
  <si>
    <t xml:space="preserve">Year </t>
  </si>
  <si>
    <t>Reporting Basis</t>
  </si>
  <si>
    <t>CGAAP</t>
  </si>
  <si>
    <t>MIFRS</t>
  </si>
  <si>
    <t>Loss Factors</t>
  </si>
  <si>
    <t>Cost of Service Rate Application Schematic</t>
  </si>
  <si>
    <t>Specific Service Charges:</t>
  </si>
  <si>
    <t>Account(s)</t>
  </si>
  <si>
    <t>Late Payment Charges:</t>
  </si>
  <si>
    <t>Other Distribution Revenues:</t>
  </si>
  <si>
    <t>Other Income and Expenses:</t>
  </si>
  <si>
    <t>Account 4405 - Interest and Dividend Income</t>
  </si>
  <si>
    <t>Operations</t>
  </si>
  <si>
    <t>Maintenance</t>
  </si>
  <si>
    <t>Community Relations</t>
  </si>
  <si>
    <t>Note:</t>
  </si>
  <si>
    <t>Appendix 2-G</t>
  </si>
  <si>
    <t>OM&amp;A</t>
  </si>
  <si>
    <t>Regulatory Cost Category</t>
  </si>
  <si>
    <t>USoA Account</t>
  </si>
  <si>
    <t>Annual % Change</t>
  </si>
  <si>
    <t>(C )</t>
  </si>
  <si>
    <t>USoA Account Balance</t>
  </si>
  <si>
    <t>(F)</t>
  </si>
  <si>
    <t>(G)</t>
  </si>
  <si>
    <t>(I)</t>
  </si>
  <si>
    <t>(H) = [(G)-(F)]/(F)</t>
  </si>
  <si>
    <t>(J) = [(I)-(G)]/(G)</t>
  </si>
  <si>
    <t>OEB Annual Assessment</t>
  </si>
  <si>
    <t>OEB Section 30 Costs (OEB-initiated)</t>
  </si>
  <si>
    <t>Expert Witness costs for regulatory matters</t>
  </si>
  <si>
    <t>Legal costs for regulatory matters</t>
  </si>
  <si>
    <t>Consultants' costs for regulatory matters</t>
  </si>
  <si>
    <t>Operating expenses associated with staff resources allocated to regulatory matters</t>
  </si>
  <si>
    <t>Other regulatory agency fees or assessments</t>
  </si>
  <si>
    <t>Any other costs for regulatory matters (please define)</t>
  </si>
  <si>
    <t>Intervenor costs</t>
  </si>
  <si>
    <t>Sum of all ongoing costs identified in rows 1 to 11 inclusive.</t>
  </si>
  <si>
    <t>Sum of all one-time costs identified in rows 1 to 11 inclusive.</t>
  </si>
  <si>
    <t>Please identify the resources involved.</t>
  </si>
  <si>
    <t>Where a category's costs include both one-time and ongoing costs, the applicant should prove a separate breakdown between one-time and ongoing costs.</t>
  </si>
  <si>
    <t>Historical Years</t>
  </si>
  <si>
    <t>5-Year Average</t>
  </si>
  <si>
    <t>Losses Within Distributor's System</t>
  </si>
  <si>
    <t>A(1)</t>
  </si>
  <si>
    <t>"Wholesale" kWh delivered to distributor (higher value)</t>
  </si>
  <si>
    <t>A(2)</t>
  </si>
  <si>
    <t>"Wholesale" kWh delivered to distributor (lower value)</t>
  </si>
  <si>
    <t>B</t>
  </si>
  <si>
    <t>Portion of "Wholesale" kWh delivered to distributor for its Large Use Customer(s)</t>
  </si>
  <si>
    <t>C</t>
  </si>
  <si>
    <t>D</t>
  </si>
  <si>
    <t>"Retail" kWh delivered by distributor</t>
  </si>
  <si>
    <t>E</t>
  </si>
  <si>
    <t>Portion of "Retail" kWh delivered by distributor to its Large Use Customer(s)</t>
  </si>
  <si>
    <t>F</t>
  </si>
  <si>
    <t>G</t>
  </si>
  <si>
    <t>H</t>
  </si>
  <si>
    <t>Losses Upstream of Distributor's System</t>
  </si>
  <si>
    <t>Supply Facilities Loss Factor</t>
  </si>
  <si>
    <t>Total Losses</t>
  </si>
  <si>
    <t>I</t>
  </si>
  <si>
    <r>
      <t xml:space="preserve">Net "Wholesale" kWh delivered to distributor  = </t>
    </r>
    <r>
      <rPr>
        <b/>
        <sz val="10"/>
        <rFont val="Arial"/>
        <family val="2"/>
      </rPr>
      <t>A(2) - B</t>
    </r>
  </si>
  <si>
    <r>
      <t xml:space="preserve">Net "Retail" kWh delivered by distributor = </t>
    </r>
    <r>
      <rPr>
        <b/>
        <sz val="10"/>
        <rFont val="Arial"/>
        <family val="2"/>
      </rPr>
      <t>D - E</t>
    </r>
  </si>
  <si>
    <r>
      <t xml:space="preserve">Loss Factor in Distributor's system = </t>
    </r>
    <r>
      <rPr>
        <b/>
        <sz val="10"/>
        <rFont val="Arial"/>
        <family val="2"/>
      </rPr>
      <t>C / F</t>
    </r>
  </si>
  <si>
    <r>
      <t xml:space="preserve">Total Loss Factor = </t>
    </r>
    <r>
      <rPr>
        <b/>
        <sz val="10"/>
        <rFont val="Arial"/>
        <family val="2"/>
      </rPr>
      <t>G x H</t>
    </r>
  </si>
  <si>
    <t>Administrative and General</t>
  </si>
  <si>
    <t>Simple average of % variance for all years</t>
  </si>
  <si>
    <t>$</t>
  </si>
  <si>
    <t>%</t>
  </si>
  <si>
    <t>Appendix 2-I</t>
  </si>
  <si>
    <t>OM&amp;A cost per customer</t>
  </si>
  <si>
    <t>Appendix 2-L</t>
  </si>
  <si>
    <t>Name of Company</t>
  </si>
  <si>
    <t>From</t>
  </si>
  <si>
    <t>To</t>
  </si>
  <si>
    <t>Service Offered</t>
  </si>
  <si>
    <t>Price for the Service</t>
  </si>
  <si>
    <t>Cost for the Service</t>
  </si>
  <si>
    <t>Stranded Meter Treatment</t>
  </si>
  <si>
    <t>Insert description of additional item(s) and new rows if needed.</t>
  </si>
  <si>
    <t>4080, 4082, 4084, 4090, 4205, 4210, 4215, 4220, 4240, 4245</t>
  </si>
  <si>
    <t>a)</t>
  </si>
  <si>
    <t>b)</t>
  </si>
  <si>
    <t>c)</t>
  </si>
  <si>
    <t>Some distributors have transferred the cost of stranded meters from Account 1860 - Meters to "Sub-account Stranded Meter Costs of Account 1555", while in some cases distributors have left these costs in Account 1860.  Depending on which treatment the applicant has chosen. please provide the information under either of the two scenarios (A and B below), as applicable.</t>
  </si>
  <si>
    <t>A description of the accounting treatment followed by the applicant on stranded meter costs for financial accounting and reporting purposes.</t>
  </si>
  <si>
    <t>A statement as to whether or not, since transferring the removed stranded meter costs to the sub-account, the recording of depreciation expenses was continued in order to reduce the net book value through accumulated depreciation.  If so, the total depreciation expense amount for the period from the time the costs for the stranded meters were transferred to the sub-account to December 31, 2010 should be provided.</t>
  </si>
  <si>
    <t>Applicants must provide a breakdown of depreciation and amortization expense in the above format for all relevant accounts.  Asset Retirement Obligations (AROs), depreciation and accretion expense should be disclosed separately consistent with the Notes of historical Audited Financial Statements.</t>
  </si>
  <si>
    <t>If it has been more than three years since the applicant last filed a cost of service application, additional years of historical actuals should be incorporated into the table, as necessary, to go back to the last cost of service application.  If the applicant last filed a cost of service application less than three years ago, a minimum of three years of actual information is required.</t>
  </si>
  <si>
    <t>Whether or not carrying charges were recorded for the stranded meter cost balances in the sub-account, and if so, the total carrying charges recorded to December 31, 2010.</t>
  </si>
  <si>
    <t>The estimated amount of the pooled residual net book value of the removed from service meters, less any net proceeds from sales and contributed capital, at the time when the smart meters will have been fully deployed (e.g., as of December 31, 2010).  If the smart meters have been fully deployed, the actual amount should be provided.</t>
  </si>
  <si>
    <t>(16)</t>
  </si>
  <si>
    <t>(20)</t>
  </si>
  <si>
    <t>If no depreciation expenses were recorded to reduce the net book value of stranded meters through accumulated depreciation, the total (cumulative) depreciation expense amount that would have been applicable for the period from the time that the meters became stranded to December 31, 2010.</t>
  </si>
  <si>
    <t>Tables in the format outlined above covering all fixed asset accounts should be submitted for the Test Year, Bridge Year and all relevant historical years.  At a minimum , the applicant must provide data for the earlier of: 1) all historical years back to its last rebasing; or 2) at least three years of historical actuals, in addition to Bridge Year and Test Year forecasts.</t>
  </si>
  <si>
    <t>Projects</t>
  </si>
  <si>
    <t>Miscellaneous</t>
  </si>
  <si>
    <t>Project Name #1</t>
  </si>
  <si>
    <t>Project Name #2</t>
  </si>
  <si>
    <t>Project Name #3</t>
  </si>
  <si>
    <t>Project Name #4</t>
  </si>
  <si>
    <t>Sub-Total</t>
  </si>
  <si>
    <t>The table may need to be customized for a utility's asset categories or for any new asset accounts announced or authorized by the Board.</t>
  </si>
  <si>
    <t>Pale green cells represent input cells.</t>
  </si>
  <si>
    <t>Distribution Station Equipment &lt;50 kV</t>
  </si>
  <si>
    <t>Overhead Conductors &amp; Devices</t>
  </si>
  <si>
    <t>Underground Conduit</t>
  </si>
  <si>
    <t>Underground Conductors &amp; Devices</t>
  </si>
  <si>
    <t>Services (Overhead &amp; Underground)</t>
  </si>
  <si>
    <t>Meters (Smart Meters)</t>
  </si>
  <si>
    <t>Office Furniture &amp; Equipment (10 years)</t>
  </si>
  <si>
    <t>Office Furniture &amp; Equipment (5 years)</t>
  </si>
  <si>
    <t>Computer Equipment - Hardware</t>
  </si>
  <si>
    <t>Computer Equip.-Hardware(Post Mar. 19/07)</t>
  </si>
  <si>
    <t>Computer Equip.-Hardware(Post Mar. 22/04)</t>
  </si>
  <si>
    <t>Power Operated Equipment</t>
  </si>
  <si>
    <t>Communication Equipment (Smart Meters)</t>
  </si>
  <si>
    <t xml:space="preserve">Miscellaneous Equipment </t>
  </si>
  <si>
    <t>Other Operating Revenues</t>
  </si>
  <si>
    <t>Other Income or Deductions</t>
  </si>
  <si>
    <t>Note: Add all applicable accounts listed above to the table and include all relevant information.</t>
  </si>
  <si>
    <t>Account Breakdown Details</t>
  </si>
  <si>
    <r>
      <t xml:space="preserve">For each </t>
    </r>
    <r>
      <rPr>
        <sz val="10"/>
        <rFont val="Arial"/>
        <family val="2"/>
      </rPr>
      <t>"Other Operating Revenue" and "Other Income or Deductions" Account, a detailed breakdown of the account components is required.  See the example below for Account 4405, Interest and Dividend Income.</t>
    </r>
  </si>
  <si>
    <t>General:</t>
  </si>
  <si>
    <t>Contributed Capital (Net of Amortization)</t>
  </si>
  <si>
    <t>(C)</t>
  </si>
  <si>
    <t>(F) = (D) - (E)</t>
  </si>
  <si>
    <t>The amount of the pooled residual net book value of the removed from service stranded meters, less any contributed capital (net of accumulated amortization), and less any net proceeds from sales, which were transferred to this sub-account as of December 31, 2010.</t>
  </si>
  <si>
    <t>The amount of the pooled residual net book value of the removed from service stranded meters, less any contributed capital (net of accumulated amortization), and less any net proceeds from sales, as of December 31, 2010.</t>
  </si>
  <si>
    <t>A description as to how the applicant intends to recover in rates the remaining costs for stranded meters, including the proposed accounting treatment, the proposed disposition period, and the associated bill impacts.</t>
  </si>
  <si>
    <t>If partially embedded, kWh pertains to the sum of the above.</t>
  </si>
  <si>
    <t>These loss factors pertain to secondary-metered customers with demand less than 5,000 kW.</t>
  </si>
  <si>
    <t>Description</t>
  </si>
  <si>
    <t>Opening Balance</t>
  </si>
  <si>
    <t>Additions</t>
  </si>
  <si>
    <t>Historical Year(s)</t>
  </si>
  <si>
    <t>Appendix 2-K</t>
  </si>
  <si>
    <t>% of Corporate Costs Allocated</t>
  </si>
  <si>
    <t>Corporate Cost Allocation</t>
  </si>
  <si>
    <t>Shared Services</t>
  </si>
  <si>
    <t>Amount Allocated</t>
  </si>
  <si>
    <t xml:space="preserve">Cost of Serving Embedded Distributor(s) </t>
  </si>
  <si>
    <t>Proposed Rate Class for Billing Embedded Distributor(s)</t>
  </si>
  <si>
    <t>Host's Distribution Facilities used by Embedded Distributor(s)</t>
  </si>
  <si>
    <t xml:space="preserve">Total OM&amp;A costs asociated with asset class </t>
  </si>
  <si>
    <t xml:space="preserve">Original cost of asset class </t>
  </si>
  <si>
    <t>Accumulated amortization of asset class</t>
  </si>
  <si>
    <t>Annual amortization of asset class</t>
  </si>
  <si>
    <t>Net Book Value of asset class</t>
  </si>
  <si>
    <t>Totals for Host Distributor:</t>
  </si>
  <si>
    <t>Low Voltage Line</t>
  </si>
  <si>
    <t>TS (owned by host)</t>
  </si>
  <si>
    <t xml:space="preserve">add rows if necessary... </t>
  </si>
  <si>
    <t>Line length or capacity required to provide LV service to Embedded Distributor(s)</t>
  </si>
  <si>
    <t>Annual total demand on station/line providing LV services (sum of 12 monthly peaks)</t>
  </si>
  <si>
    <t>Annual billed Embedded Distributor demand on station/line providing LV services</t>
  </si>
  <si>
    <t>Embedded Distributor's share:</t>
  </si>
  <si>
    <t xml:space="preserve">LV Line # 2 (if applicable) </t>
  </si>
  <si>
    <t xml:space="preserve">add rows if necessary </t>
  </si>
  <si>
    <t>Monthly cost associated with the delivery of LV services</t>
  </si>
  <si>
    <t>Closing Balance</t>
  </si>
  <si>
    <t>Cost</t>
  </si>
  <si>
    <t>Accumulated Depreciation</t>
  </si>
  <si>
    <t>N/A</t>
  </si>
  <si>
    <t>Land</t>
  </si>
  <si>
    <t>Buildings</t>
  </si>
  <si>
    <t>Transformer Station Equipment &gt;50 kV</t>
  </si>
  <si>
    <t>Storage Battery Equipment</t>
  </si>
  <si>
    <t>Poles, Towers &amp; Fixtures</t>
  </si>
  <si>
    <t>Line Transformers</t>
  </si>
  <si>
    <t>Meters</t>
  </si>
  <si>
    <t>CEC</t>
  </si>
  <si>
    <t>Buildings &amp; Fixtures</t>
  </si>
  <si>
    <t>If directly connected to the IESO-controlled grid, SFLF = 1.0045.</t>
  </si>
  <si>
    <t>If fully embedded within a host distributor, SFLF = loss factor re losses in transformer at grid interface X loss factor re losses in host distributor's system.  If the host distributor is Hydro One Networks Inc., SFLF = 1.0060 X 1.0278 = 1.0340. If partially embedded, SFLF should be calculated as the weighted average of above.</t>
  </si>
  <si>
    <r>
      <t xml:space="preserve">If directly connected to the IESO-controlled grid, kWh pertains to the virtual meter on the primary or high voltage side of the transformer at the interface with the transmission grid.  This corresponds to the "With Losses" kWh value provided by the IESO's MV-WEB.  It is the </t>
    </r>
    <r>
      <rPr>
        <u/>
        <sz val="10"/>
        <rFont val="Arial"/>
        <family val="2"/>
      </rPr>
      <t>higher</t>
    </r>
    <r>
      <rPr>
        <sz val="10"/>
        <rFont val="Arial"/>
        <family val="2"/>
      </rPr>
      <t xml:space="preserve"> of the two values provided by MV-WEB.</t>
    </r>
  </si>
  <si>
    <r>
      <t xml:space="preserve">If fully embedded within a host distributor, kWh pertains to the virtual meter on the primary or high voltage side of the transformer, at the interface between the host distributor and the transmission grid.  For example, if the host distributor is Hydro One Networks Inc., kWh from the Hydro One Networks' invoice corresponding to "Total kWh w Losses" should be reported.  This corresponds to the </t>
    </r>
    <r>
      <rPr>
        <u/>
        <sz val="10"/>
        <rFont val="Arial"/>
        <family val="2"/>
      </rPr>
      <t>higher</t>
    </r>
    <r>
      <rPr>
        <sz val="10"/>
        <rFont val="Arial"/>
        <family val="2"/>
      </rPr>
      <t xml:space="preserve"> of the two kWh values provided in Hydro One Networks' invoice.</t>
    </r>
  </si>
  <si>
    <r>
      <t xml:space="preserve">If directly connected to the IESO-controlled grid, kWh pertains to a metering installation on the secondary or low voltage side of the transformer at the interface with the transmission grid.  This corresponds to the "Without Losses" kWh value provided by the IESO's MV-WEB.  It is the </t>
    </r>
    <r>
      <rPr>
        <u/>
        <sz val="10"/>
        <rFont val="Arial"/>
        <family val="2"/>
      </rPr>
      <t>lower</t>
    </r>
    <r>
      <rPr>
        <sz val="10"/>
        <rFont val="Arial"/>
        <family val="2"/>
      </rPr>
      <t xml:space="preserve"> of the two kWh values provided by MV-WEB.</t>
    </r>
  </si>
  <si>
    <r>
      <t xml:space="preserve">Additionally, kWh pertaining to distributed generation directly connected to the distributor's own distribution network should be included in </t>
    </r>
    <r>
      <rPr>
        <b/>
        <sz val="10"/>
        <rFont val="Arial"/>
        <family val="2"/>
      </rPr>
      <t>A(2)</t>
    </r>
    <r>
      <rPr>
        <sz val="10"/>
        <rFont val="Arial"/>
        <family val="2"/>
      </rPr>
      <t>.</t>
    </r>
  </si>
  <si>
    <r>
      <t xml:space="preserve">If a Large Use Customer is metered on the secondary or low voltage side of the transformer, the default loss is 1%                         (i.e., </t>
    </r>
    <r>
      <rPr>
        <b/>
        <sz val="10"/>
        <rFont val="Arial"/>
        <family val="2"/>
      </rPr>
      <t>B</t>
    </r>
    <r>
      <rPr>
        <sz val="10"/>
        <rFont val="Arial"/>
        <family val="2"/>
      </rPr>
      <t xml:space="preserve"> = 1.01 X </t>
    </r>
    <r>
      <rPr>
        <b/>
        <sz val="10"/>
        <rFont val="Arial"/>
        <family val="2"/>
      </rPr>
      <t>E</t>
    </r>
    <r>
      <rPr>
        <sz val="10"/>
        <rFont val="Arial"/>
        <family val="2"/>
      </rPr>
      <t>).</t>
    </r>
  </si>
  <si>
    <r>
      <t>G</t>
    </r>
    <r>
      <rPr>
        <sz val="10"/>
        <rFont val="Arial"/>
        <family val="2"/>
      </rPr>
      <t xml:space="preserve"> and </t>
    </r>
    <r>
      <rPr>
        <b/>
        <sz val="10"/>
        <rFont val="Arial"/>
        <family val="2"/>
      </rPr>
      <t>I</t>
    </r>
  </si>
  <si>
    <t>Distributors that wish to propose a different SFLF should provide appropriate justification for any such proposal including supporting</t>
  </si>
  <si>
    <t>calculations and any other relevant material.</t>
  </si>
  <si>
    <t>Transportation Equipment</t>
  </si>
  <si>
    <t>Stores Equipment</t>
  </si>
  <si>
    <t>Tools, Shop &amp; Garage Equipment</t>
  </si>
  <si>
    <t>Measurement &amp; Testing Equipment</t>
  </si>
  <si>
    <t>Communications Equipment</t>
  </si>
  <si>
    <t>Load Management Controls Utility Premises</t>
  </si>
  <si>
    <t>System Supervisor Equipment</t>
  </si>
  <si>
    <t>Miscellaneous Fixed Assets</t>
  </si>
  <si>
    <t>Contributions &amp; Grants</t>
  </si>
  <si>
    <t>Total</t>
  </si>
  <si>
    <t>Transportation</t>
  </si>
  <si>
    <t>Net Depreciation</t>
  </si>
  <si>
    <t>Depreciation Rate</t>
  </si>
  <si>
    <t>Leasehold Improvements</t>
  </si>
  <si>
    <t>Net Book Value</t>
  </si>
  <si>
    <t>File Number:</t>
  </si>
  <si>
    <t>Exhibit:</t>
  </si>
  <si>
    <t>Tab:</t>
  </si>
  <si>
    <t>Schedule:</t>
  </si>
  <si>
    <t>Page:</t>
  </si>
  <si>
    <t>Date:</t>
  </si>
  <si>
    <t>Cost Rate</t>
  </si>
  <si>
    <t>(%)</t>
  </si>
  <si>
    <t>($)</t>
  </si>
  <si>
    <t>(1)</t>
  </si>
  <si>
    <t>Notes</t>
  </si>
  <si>
    <t>Last Rebasing Year</t>
  </si>
  <si>
    <t>Bridge Year</t>
  </si>
  <si>
    <t>Test Year</t>
  </si>
  <si>
    <t xml:space="preserve">Utility Name   </t>
  </si>
  <si>
    <t>Assigned EB Number</t>
  </si>
  <si>
    <t xml:space="preserve">Phone Number   </t>
  </si>
  <si>
    <t xml:space="preserve">Email Address   </t>
  </si>
  <si>
    <t>Algoma Power Inc.</t>
  </si>
  <si>
    <t>Atikokan Hydro Inc.</t>
  </si>
  <si>
    <t>Attawapiskat Power Corporation</t>
  </si>
  <si>
    <t>Brantford Power Inc.</t>
  </si>
  <si>
    <t>Burlington Hydro Inc.</t>
  </si>
  <si>
    <t>Centre Wellington Hydro Ltd.</t>
  </si>
  <si>
    <t>Chapleau Public Utilities Corporation</t>
  </si>
  <si>
    <t>Cooperative Hydro Embrun Inc.</t>
  </si>
  <si>
    <t>E.L.K. Energy Inc.</t>
  </si>
  <si>
    <t>Enersource Hydro Mississauga Inc.</t>
  </si>
  <si>
    <t>Entegrus Powerlines Inc.</t>
  </si>
  <si>
    <t>ENWIN Utilities Ltd.</t>
  </si>
  <si>
    <t>Espanola Regional Hydro Distribution Corporation</t>
  </si>
  <si>
    <t>Essex Powerlines Corporation</t>
  </si>
  <si>
    <t>Festival Hydro Inc.</t>
  </si>
  <si>
    <t>Fort Albany Power Corporation</t>
  </si>
  <si>
    <t>Fort Frances Power Corporation</t>
  </si>
  <si>
    <t>Greater Sudbury Hydro Inc.</t>
  </si>
  <si>
    <t>Grimsby Power Inc.</t>
  </si>
  <si>
    <t>Guelph Hydro Electric Systems Inc.</t>
  </si>
  <si>
    <t>Haldimand County Hydro Inc.</t>
  </si>
  <si>
    <t>Halton Hills Hydro Inc.</t>
  </si>
  <si>
    <t>Horizon Utilities Corporation</t>
  </si>
  <si>
    <t>Hydro 2000 Inc.</t>
  </si>
  <si>
    <t>Hydro Hawkesbury Inc.</t>
  </si>
  <si>
    <t>Hydro One Brampton Networks Inc.</t>
  </si>
  <si>
    <t>Hydro One Networks Inc.</t>
  </si>
  <si>
    <t>Hydro One Remote Communities Inc.</t>
  </si>
  <si>
    <t>Hydro Ottawa Limited</t>
  </si>
  <si>
    <t>Kashechewan Power Corporation</t>
  </si>
  <si>
    <t>Kenora Hydro Electric Corporation Ltd.</t>
  </si>
  <si>
    <t>Kingston Hydro Corporation</t>
  </si>
  <si>
    <t>Kitchener-Wilmot Hydro Inc.</t>
  </si>
  <si>
    <t>Lakefront Utilities Inc.</t>
  </si>
  <si>
    <t>Lakeland Power Distribution Ltd.</t>
  </si>
  <si>
    <t>London Hydro Inc.</t>
  </si>
  <si>
    <t>Midland Power Utility Corporation</t>
  </si>
  <si>
    <t>Milton Hydro Distribution Inc.</t>
  </si>
  <si>
    <t>Niagara Peninsula Energy Inc.</t>
  </si>
  <si>
    <t>Niagara-on-the-Lake Hydro Inc.</t>
  </si>
  <si>
    <t>North Bay Hydro Distribution Limited</t>
  </si>
  <si>
    <t>Northern Ontario Wires Inc.</t>
  </si>
  <si>
    <t>Orangeville Hydro Limited</t>
  </si>
  <si>
    <t>Oshawa PUC Networks Inc.</t>
  </si>
  <si>
    <t>Ottawa River Power Corporation</t>
  </si>
  <si>
    <t>PowerStream Inc.</t>
  </si>
  <si>
    <t>PUC Distribution Inc.</t>
  </si>
  <si>
    <t>Renfrew Hydro Inc.</t>
  </si>
  <si>
    <t>Rideau St. Lawrence Distribution Inc.</t>
  </si>
  <si>
    <t>St. Thomas Energy Inc.</t>
  </si>
  <si>
    <t>Sioux Lookout Hydro Inc.</t>
  </si>
  <si>
    <t>Tillsonburg Hydro Inc.</t>
  </si>
  <si>
    <t>Toronto Hydro-Electric System Limited</t>
  </si>
  <si>
    <t>Veridian Connections Inc.</t>
  </si>
  <si>
    <t>Wasaga Distribution Inc.</t>
  </si>
  <si>
    <t>Waterloo North Hydro Inc.</t>
  </si>
  <si>
    <t>Wellington North Power Inc.</t>
  </si>
  <si>
    <t>West Coast Huron Energy Inc.</t>
  </si>
  <si>
    <t>Westario Power Inc.</t>
  </si>
  <si>
    <t>Whitby Hydro Electric Corporation</t>
  </si>
  <si>
    <t>Woodstock Hydro Services Inc.</t>
  </si>
  <si>
    <t>Pale blue cells represent drop-down lists.  The applicant should select the appropriate item from the drop-down list.</t>
  </si>
  <si>
    <t>Computer Software (Formally known as Account 1925)</t>
  </si>
  <si>
    <t>(m) = (h) - (l)</t>
  </si>
  <si>
    <r>
      <t xml:space="preserve">Average Remaining Life of Opening NBV </t>
    </r>
    <r>
      <rPr>
        <b/>
        <vertAlign val="superscript"/>
        <sz val="10"/>
        <rFont val="Arial"/>
        <family val="2"/>
      </rPr>
      <t>4</t>
    </r>
  </si>
  <si>
    <r>
      <t xml:space="preserve">Years (new additions only) </t>
    </r>
    <r>
      <rPr>
        <b/>
        <vertAlign val="superscript"/>
        <sz val="10"/>
        <rFont val="Arial"/>
        <family val="2"/>
      </rPr>
      <t>3</t>
    </r>
  </si>
  <si>
    <t>Depreciation Rate on New Additions</t>
  </si>
  <si>
    <t>Depreciation Expense on Opening NBV</t>
  </si>
  <si>
    <r>
      <t xml:space="preserve">Depreciation Expense on Additions </t>
    </r>
    <r>
      <rPr>
        <b/>
        <vertAlign val="superscript"/>
        <sz val="10"/>
        <rFont val="Arial"/>
        <family val="2"/>
      </rPr>
      <t>1</t>
    </r>
  </si>
  <si>
    <r>
      <t xml:space="preserve">Variance </t>
    </r>
    <r>
      <rPr>
        <b/>
        <vertAlign val="superscript"/>
        <sz val="10"/>
        <rFont val="Arial"/>
        <family val="2"/>
      </rPr>
      <t>2</t>
    </r>
  </si>
  <si>
    <t>(i)</t>
  </si>
  <si>
    <t>(j) = (a) / (i)</t>
  </si>
  <si>
    <t xml:space="preserve">(h)=((d)*0.5)/(f) </t>
  </si>
  <si>
    <t>(k) = (j) + (h)</t>
  </si>
  <si>
    <t>(m) = (k) - (l)</t>
  </si>
  <si>
    <t xml:space="preserve">(n) = (d)/(f) </t>
  </si>
  <si>
    <t>Years (new additions only)</t>
  </si>
  <si>
    <t xml:space="preserve">(n)=((d))/(f) </t>
  </si>
  <si>
    <t>Directly</t>
  </si>
  <si>
    <t>Attributable?</t>
  </si>
  <si>
    <t>employee benefits</t>
  </si>
  <si>
    <t>costs of site preparation</t>
  </si>
  <si>
    <t>initial delivery and handling costs</t>
  </si>
  <si>
    <t>costs of testing whether the asset is functioning properly</t>
  </si>
  <si>
    <t>professional fees</t>
  </si>
  <si>
    <t>costs of opening a new facility</t>
  </si>
  <si>
    <t>costs of introducing a new product or service (including costs of advertising and promotional activities)</t>
  </si>
  <si>
    <t>costs of conducting business in a new location or with a new class of customer (including costs of staff training)</t>
  </si>
  <si>
    <t>administration and other general overhead costs</t>
  </si>
  <si>
    <t>One-Time Incremental IFRS Transition Costs</t>
  </si>
  <si>
    <t>The following table should be completed based on the information requested below. An explanation should be provided for any blank entries.  The entries should include one-time incremental IFRS transition costs that are currently included in Account 1508, Other Regulatory Assets, sub-account Deferred IFRS Transition Costs Account, or Account 1508, Other Regulatory Assets, sub-account IFRS Transition Costs Variance Account.</t>
  </si>
  <si>
    <r>
      <t xml:space="preserve">Nature of One-Time Incremental IFRS Transition Costs </t>
    </r>
    <r>
      <rPr>
        <b/>
        <vertAlign val="superscript"/>
        <sz val="10"/>
        <rFont val="Arial"/>
        <family val="2"/>
      </rPr>
      <t>1</t>
    </r>
  </si>
  <si>
    <t>Reasons why the costs recorded meet the criteria of one-time IFRS administrative incremental costs</t>
  </si>
  <si>
    <t>The Deferred IFRS Transition Costs Account and the IFRS Transition Costs Variance Account are exclusively for necessary, incremental transition costs and shall not include ongoing IFRS compliance costs or impacts arising from adopting accounting policy changes that reflect changes in the timing of the recognition of income. The incremental costs in these accounts shall not include costs related to system upgrades, or replacements or changes where IFRS was not the major reason for conversion. In addition, incremental IFRS costs shall not include capital assets or expenditures.</t>
  </si>
  <si>
    <t>Actual</t>
  </si>
  <si>
    <t>PP&amp;E Values under CGAAP</t>
  </si>
  <si>
    <t xml:space="preserve">            Opening net PP&amp;E - Note 1</t>
  </si>
  <si>
    <t xml:space="preserve">            Closing net PP&amp;E (1)</t>
  </si>
  <si>
    <t xml:space="preserve">            Opening net PP&amp;E  - Note 1</t>
  </si>
  <si>
    <t xml:space="preserve">            Closing net PP&amp;E (2)</t>
  </si>
  <si>
    <t>Account 1575 - IFRS-CGAAP Transitional PP&amp;E Amounts</t>
  </si>
  <si>
    <t>WACC</t>
  </si>
  <si>
    <t xml:space="preserve">     * Please note that the calculation should be adjusted once WACC is updated and finalized in the rate application.</t>
  </si>
  <si>
    <r>
      <rPr>
        <b/>
        <sz val="10"/>
        <rFont val="Arial"/>
        <family val="2"/>
      </rPr>
      <t>Less:</t>
    </r>
    <r>
      <rPr>
        <sz val="10"/>
        <rFont val="Arial"/>
        <family val="2"/>
      </rPr>
      <t xml:space="preserve"> </t>
    </r>
    <r>
      <rPr>
        <i/>
        <sz val="10"/>
        <rFont val="Arial"/>
        <family val="2"/>
      </rPr>
      <t>Fully Allocated Depreciation</t>
    </r>
  </si>
  <si>
    <t>General</t>
  </si>
  <si>
    <t>Board policy of the "half-year" rule - the applicant must ensure that additions in the year attract a half-year depreciation expense in the first year.  Deviations from this standard practice must be supported in the application.</t>
  </si>
  <si>
    <r>
      <t xml:space="preserve"> </t>
    </r>
    <r>
      <rPr>
        <sz val="10"/>
        <rFont val="Arial"/>
        <family val="2"/>
      </rPr>
      <t>NBV must exclude assets still on the books but which have been fully amortized or depreciated.</t>
    </r>
  </si>
  <si>
    <t>Overhead Expense</t>
  </si>
  <si>
    <t>Appendix 2-H</t>
  </si>
  <si>
    <t>SubTotal</t>
  </si>
  <si>
    <t>%Change (year over year)</t>
  </si>
  <si>
    <t>%Change (Test Year vs 
Last Rebasing Year - Actual)</t>
  </si>
  <si>
    <t xml:space="preserve">Maintenance </t>
  </si>
  <si>
    <t xml:space="preserve">Billing and Collecting </t>
  </si>
  <si>
    <t xml:space="preserve">Community Relations </t>
  </si>
  <si>
    <t xml:space="preserve">Administrative and General </t>
  </si>
  <si>
    <t xml:space="preserve">Variance from previous year </t>
  </si>
  <si>
    <t xml:space="preserve">Percent change (year over year) </t>
  </si>
  <si>
    <t xml:space="preserve">Percent Change:                                                    Test year vs. Most Current Actual </t>
  </si>
  <si>
    <t>1     "BA" = Board-Approved</t>
  </si>
  <si>
    <t>2     If it has been more than three years since the applicant last filed a cost of service application, additional years of historical actuals should be incorporated into the table, as necessary, to go back to the last cost of service application.  If the applicant last filed a cost of service application less than three years ago, a minimum of three years of actual information is required.</t>
  </si>
  <si>
    <t>Appendix 2-R</t>
  </si>
  <si>
    <t>LV Line category # 2 (if applcable)</t>
  </si>
  <si>
    <t>Land Rights (Formally known as Account 1906)</t>
  </si>
  <si>
    <t>Index</t>
  </si>
  <si>
    <t>LDC Information Sheet</t>
  </si>
  <si>
    <t>Lender</t>
  </si>
  <si>
    <t>Affiliated or Third-Party Debt?</t>
  </si>
  <si>
    <t>Fixed or Variable-Rate?</t>
  </si>
  <si>
    <t>Start Date</t>
  </si>
  <si>
    <t>Add more lines above row 12 if necessary.</t>
  </si>
  <si>
    <t>Debt Instruments</t>
  </si>
  <si>
    <t>Row</t>
  </si>
  <si>
    <t>Principal                         ($)</t>
  </si>
  <si>
    <t>Term              (years)</t>
  </si>
  <si>
    <t>kWh corresponding to D should equal metered or estimated kWh at the customer’s delivery point.</t>
  </si>
  <si>
    <t>Compound Annual Growth Rate for all years</t>
  </si>
  <si>
    <t xml:space="preserve">Embedded Distributor(s)' Responsibility Share </t>
  </si>
  <si>
    <t>Opening Balance for "Last Rebasing Year" (cell B15) should be equal to the Board-Approved amount.</t>
  </si>
  <si>
    <t>Capital Structure and Cost of Capital</t>
  </si>
  <si>
    <t>Line No.</t>
  </si>
  <si>
    <t>Particulars</t>
  </si>
  <si>
    <t>Capitalization Ratio</t>
  </si>
  <si>
    <t>Return</t>
  </si>
  <si>
    <t>Debt</t>
  </si>
  <si>
    <t xml:space="preserve">  Long-term Debt</t>
  </si>
  <si>
    <t xml:space="preserve">  Short-term Debt</t>
  </si>
  <si>
    <t>Total Debt</t>
  </si>
  <si>
    <t>Equity</t>
  </si>
  <si>
    <t xml:space="preserve">  Common Equity</t>
  </si>
  <si>
    <t xml:space="preserve">  Preferred Shares</t>
  </si>
  <si>
    <t>Total Equity</t>
  </si>
  <si>
    <t>4.0% unless an applicant has proposed or been approved for a different amount.</t>
  </si>
  <si>
    <t>Appendix 2-OB</t>
  </si>
  <si>
    <t>Appendix 2-OA</t>
  </si>
  <si>
    <t>Name of Contact and Title</t>
  </si>
  <si>
    <t xml:space="preserve">White cells contain fixed values, automatically generated values or formulae. </t>
  </si>
  <si>
    <t>Less Fully Depreciated</t>
  </si>
  <si>
    <t>Net for Depreciation</t>
  </si>
  <si>
    <t>(b)</t>
  </si>
  <si>
    <t>(c)</t>
  </si>
  <si>
    <t>(p) = (j) + (n) - (o)</t>
  </si>
  <si>
    <t>This column refers to the calculated full year depreciation but excludes the depreciation expense on assets fully depreciated during the year.  This column is used for the purpose of calculating depreciation expense in the following year on the next worksheet.</t>
  </si>
  <si>
    <t>1   Please provide a breakdown of the major components of each capital project undertaken in each year.  Please ensure that all projects below the materiality threshold are included in the miscellaneous line.  Add more projects as required.</t>
  </si>
  <si>
    <t>Total in Year</t>
  </si>
  <si>
    <t>Net-to-Gross Conversion</t>
  </si>
  <si>
    <t>Weight Factor for each year's CDM program impact on 2014 load forecast</t>
  </si>
  <si>
    <t xml:space="preserve">Default Value selection rationale.  </t>
  </si>
  <si>
    <t>Identify the accounting standard used for the test year</t>
  </si>
  <si>
    <t>Are you applying for cost recovery for the test and/or future year(s) for Green Energy initiatives?</t>
  </si>
  <si>
    <t>Appendix 2-BA</t>
  </si>
  <si>
    <t>TUL</t>
  </si>
  <si>
    <t>Current</t>
  </si>
  <si>
    <t>"Gross"</t>
  </si>
  <si>
    <t>"Net"</t>
  </si>
  <si>
    <t>"Net-to-Gross" Conversion Factor</t>
  </si>
  <si>
    <t>('g')</t>
  </si>
  <si>
    <t>2006-2010 CDM programs</t>
  </si>
  <si>
    <t>2011 CDM program</t>
  </si>
  <si>
    <t>2012 CDM program</t>
  </si>
  <si>
    <t>Proposed Loss Factor (TLF)</t>
  </si>
  <si>
    <t xml:space="preserve"> Format: X.XX%</t>
  </si>
  <si>
    <t>Load Management Controls Customer Premises</t>
  </si>
  <si>
    <t>Other Tangible Property</t>
  </si>
  <si>
    <t>Total PP&amp;E</t>
  </si>
  <si>
    <t>Appendix 2-BB</t>
  </si>
  <si>
    <t>Service Life Comparison</t>
  </si>
  <si>
    <t>Depreciation exp. adj. from gain or loss on the retirement of assets (pool of like assets)</t>
  </si>
  <si>
    <t xml:space="preserve">SAIDI </t>
  </si>
  <si>
    <t>SAIFI</t>
  </si>
  <si>
    <t>SAIDI = System Average Interruption Duration Index</t>
  </si>
  <si>
    <t xml:space="preserve">SAIFI = System Average Interruption Frequency Index </t>
  </si>
  <si>
    <t>Appendix 2-FA</t>
  </si>
  <si>
    <t>Account 1576 - Accounting Changes under CGAAP</t>
  </si>
  <si>
    <t>2012 Changes in Accounting Policies under CGAAP</t>
  </si>
  <si>
    <t>PP&amp;E Values under former CGAAP</t>
  </si>
  <si>
    <t>PP&amp;E Values under revised CGAAP (Starts from 2012)</t>
  </si>
  <si>
    <t xml:space="preserve">1  For an applicant that made the capitalization and depreciation expense accounting policy changes on January 1, 2012, the PP&amp;E values as of January 1, 2012 under both former CGAAP and revised CGAAP should be the same. </t>
  </si>
  <si>
    <t>2013 Changes in Accounting Policies under CGAAP</t>
  </si>
  <si>
    <t xml:space="preserve">1  For an applicant that made the capitalization and depreciation expense accounting policy changes on January 1, 2013, the PP&amp;E values as of January 1, 2013 under both former CGAAP and revised CGAAP should be the same. </t>
  </si>
  <si>
    <t>General Instructions to MIFRS Appendices</t>
  </si>
  <si>
    <t>Types of Schedules to File</t>
  </si>
  <si>
    <t>Regulatory Gross Assets of Property, Plant and Equipment</t>
  </si>
  <si>
    <t>If there were any amounts approved in previous Board approved rates, please state the EB #:</t>
  </si>
  <si>
    <t>Summary of Impacts to Revenue Requirement</t>
  </si>
  <si>
    <t>from Transition to MIFRS</t>
  </si>
  <si>
    <t>Revenue Requirement Component</t>
  </si>
  <si>
    <t xml:space="preserve">Reasons why the revenue requirement </t>
  </si>
  <si>
    <t>Average NBV</t>
  </si>
  <si>
    <t>Working Capital</t>
  </si>
  <si>
    <t>Rate Base</t>
  </si>
  <si>
    <t>Return on Rate Base</t>
  </si>
  <si>
    <t>Depreciation</t>
  </si>
  <si>
    <t>PILs or Income Taxes</t>
  </si>
  <si>
    <t>Less: Revenue Offsets</t>
  </si>
  <si>
    <t>Total Base Revenue Requirement</t>
  </si>
  <si>
    <t>Load Management Controls - Customer Premises</t>
  </si>
  <si>
    <t>The applicant should ensure that the years for new additions of assets are the asset useful lives determined by management in accordance with the Board's regulatory accounting policies.   The capitalization and depreciation expense accounting changes should be implemented consistent with the Board’s regulatory accounting policies as set out for modified IFRS as contained in the Report of the Board, Transition to International Financial Reporting Standards, EB-2008-0408, the Kinectrics Report, and the Revised 2012 Accounting Procedures Handbook for Electricity Distributors (“APH”).</t>
  </si>
  <si>
    <t>LDC Info</t>
  </si>
  <si>
    <t>Appendix 2-BB Service Life Comp</t>
  </si>
  <si>
    <t>Instruction for App. 2-C MIFRS</t>
  </si>
  <si>
    <t>App.2-CA_CGAAP_DepExp_2011</t>
  </si>
  <si>
    <t>App.2-CB_MIFRS_DepExp_2011</t>
  </si>
  <si>
    <t>App.2-CC_MIFRS_DepExp_2012</t>
  </si>
  <si>
    <t>App.2-CD_MIFRS_DepExp_2013</t>
  </si>
  <si>
    <t>App.2-CE_MIFRS_DepExp_2014</t>
  </si>
  <si>
    <t>App.2-CF_CGAAP_DepExp_2012</t>
  </si>
  <si>
    <t>App.2-CG_MIFRS_DepExp_2012</t>
  </si>
  <si>
    <t>App.2-CH_MIFRS_DepExp_2013</t>
  </si>
  <si>
    <t>App.2-CI_MIFRS_DepExp_2014</t>
  </si>
  <si>
    <t>App.2-CJ_CGAAP_DepExp_2012</t>
  </si>
  <si>
    <t>App.2-CK_CGAAP_DepExp_2013</t>
  </si>
  <si>
    <t>App.2-CL_MIFRS_DepExp_2013</t>
  </si>
  <si>
    <t>App.2-CM_MIFRS_DepExp_2014</t>
  </si>
  <si>
    <t>Instruction for App. 2-C CGAAP</t>
  </si>
  <si>
    <t>App.2-CN_OldCGAAP_DepExp_2012</t>
  </si>
  <si>
    <t>App.2-CO_NewCGAAP_DepExp_2012</t>
  </si>
  <si>
    <t>App.2-CP_NewCGAAP_DepExp_2013</t>
  </si>
  <si>
    <t>App.2-CQ NewCGAAP_DepExp_2014</t>
  </si>
  <si>
    <t>App.2-CR_OldCGAAP_DepExp_2012</t>
  </si>
  <si>
    <t>App.2-CS_OldCGAAP_DepExp_2013</t>
  </si>
  <si>
    <t>App.2-CT_NewCGAAP_DepExp_2013</t>
  </si>
  <si>
    <t>App.2-CU_NewCGAAP_DepExp_2014</t>
  </si>
  <si>
    <t>App.2-DA_Overhead</t>
  </si>
  <si>
    <t>App.2-DB_Overhead</t>
  </si>
  <si>
    <t>App.2-EA_PP&amp;E Deferral Account</t>
  </si>
  <si>
    <t>App.2-EB_PP&amp;E Deferral Account</t>
  </si>
  <si>
    <t>App.2-EC_PP&amp;E Deferral Account</t>
  </si>
  <si>
    <t>App.2-ED_Account 1576 (2012)</t>
  </si>
  <si>
    <t>App.2-EE_Account 1576 (2013)</t>
  </si>
  <si>
    <t>App.2-FA Proposed REG Invest.</t>
  </si>
  <si>
    <t>App.2-G SQI</t>
  </si>
  <si>
    <t>App.2-H_Other_Oper_Rev</t>
  </si>
  <si>
    <t>App.2-I LF_CDM_WF</t>
  </si>
  <si>
    <t>App.2-K_Employee Costs</t>
  </si>
  <si>
    <t>App.2-L_OM&amp;A_per_Cust_FTEE</t>
  </si>
  <si>
    <t>App.2-M_Regulatory_Costs</t>
  </si>
  <si>
    <t>App.2-N_Corp_Cost_Allocation</t>
  </si>
  <si>
    <t>App.2-OA Capital Structure</t>
  </si>
  <si>
    <t>App.2-OB_Debt Instruments</t>
  </si>
  <si>
    <t>App.2-P_Cost_Allocation</t>
  </si>
  <si>
    <t>App.2-Q_Cost of Serv. Emb. Dx</t>
  </si>
  <si>
    <t>App.2-R_Loss Factors</t>
  </si>
  <si>
    <t>App.2-S_Stranded Meters</t>
  </si>
  <si>
    <t>App.2-TA_1592_Tax_Variance</t>
  </si>
  <si>
    <t>App.2-TB_1592_HST-OVAT</t>
  </si>
  <si>
    <t>App.2-U_IFRS Transition Costs</t>
  </si>
  <si>
    <t>App.2-V_Rev_Reconciliation</t>
  </si>
  <si>
    <t>App.2-W_Bill Impacts</t>
  </si>
  <si>
    <t>App.2-YA_MIFRS Summary Impacts</t>
  </si>
  <si>
    <t>App. 2-YB_CGAAP Summary Impacts</t>
  </si>
  <si>
    <t>Sheet19</t>
  </si>
  <si>
    <t>x</t>
  </si>
  <si>
    <t>o</t>
  </si>
  <si>
    <t>n</t>
  </si>
  <si>
    <t>USGAAP</t>
  </si>
  <si>
    <t>App.2-CV_USGAAP_DepExp</t>
  </si>
  <si>
    <r>
      <t xml:space="preserve">Less Other Non Rate-Regulated Utility Assets </t>
    </r>
    <r>
      <rPr>
        <b/>
        <i/>
        <sz val="9"/>
        <rFont val="Arial"/>
        <family val="2"/>
      </rPr>
      <t>(input as negative)</t>
    </r>
  </si>
  <si>
    <r>
      <t xml:space="preserve">Less Socialized Renewable Energy Generation Investments </t>
    </r>
    <r>
      <rPr>
        <b/>
        <sz val="9"/>
        <rFont val="Arial"/>
        <family val="2"/>
      </rPr>
      <t>(input as negative)</t>
    </r>
  </si>
  <si>
    <t xml:space="preserve">Total Recoverable OM&amp;A Expenses </t>
  </si>
  <si>
    <t>3     Recoverable OM&amp;A that is included on these tables should be identical to the recoverable OM&amp;A that is shown for the corresponding periods on Appendix 2-JB.</t>
  </si>
  <si>
    <t>For purposes of assessing incremental cost drivers, the closing balance for each year becomes the opening balance for the next year.</t>
  </si>
  <si>
    <t>Customers/FTEs</t>
  </si>
  <si>
    <t>The method of calculating the number of FTEs must be identified.  See also Appendix 2-K</t>
  </si>
  <si>
    <t>The number of customers and the number of FTEs should correspond to mid-year or average of January 1 and December 31 figures.</t>
  </si>
  <si>
    <t>Recoverable OM&amp;A Cost Driver Table</t>
  </si>
  <si>
    <r>
      <t xml:space="preserve">Please fill out the following table for all </t>
    </r>
    <r>
      <rPr>
        <b/>
        <u/>
        <sz val="10"/>
        <rFont val="Arial"/>
        <family val="2"/>
      </rPr>
      <t>one-time</t>
    </r>
    <r>
      <rPr>
        <b/>
        <sz val="10"/>
        <rFont val="Arial"/>
        <family val="2"/>
      </rPr>
      <t xml:space="preserve"> costs related to this cost of service application to be amortized over the test year plus the IRM period.</t>
    </r>
  </si>
  <si>
    <t>Incremental operating expenses associated with staff resources allocated to this application.</t>
  </si>
  <si>
    <r>
      <t xml:space="preserve">Incremental operating expenses associated with other resources allocated to this application. </t>
    </r>
    <r>
      <rPr>
        <vertAlign val="superscript"/>
        <sz val="10"/>
        <rFont val="Arial"/>
        <family val="2"/>
      </rPr>
      <t>1</t>
    </r>
  </si>
  <si>
    <t>Consultants' costs</t>
  </si>
  <si>
    <t>Expert Witness costs</t>
  </si>
  <si>
    <t>Legal costs</t>
  </si>
  <si>
    <t>Pricing Methodology</t>
  </si>
  <si>
    <t>Services such as billing, accounting, payroll, etc.  The applicant must identify any costs related to the Board of Directors of the parent company that are allocated to the applicant.</t>
  </si>
  <si>
    <t>Pricing Methodology includes approaches such as cost-base, market-base, tendering, etc.  The applicant must provide evidence demonstrating the pricing methodology used.  The applicant must also provide a description of why that pricing methodology was chosen, whether or not it is in conformity with ARC, and why it is appropriate.</t>
  </si>
  <si>
    <t>The applicant must provide the percentage of the costs allocated to the entity for the service being offered.  The Applicant must also provide a description of the allocator and why it is an appropriate allocator.</t>
  </si>
  <si>
    <t>Additional Comments, if any</t>
  </si>
  <si>
    <t>This table must be completed for all required historical years, the bridge year and the test year.</t>
  </si>
  <si>
    <r>
      <t>Scenario B:</t>
    </r>
    <r>
      <rPr>
        <i/>
        <sz val="10"/>
        <rFont val="Arial"/>
        <family val="2"/>
      </rPr>
      <t xml:space="preserve">  If the stranded meter costs remained recorded in Account 1860, the above table should be completed and the following information should be provided in Exhibit 9:</t>
    </r>
  </si>
  <si>
    <r>
      <t>Scenario A:</t>
    </r>
    <r>
      <rPr>
        <i/>
        <sz val="10"/>
        <rFont val="Arial"/>
        <family val="2"/>
      </rPr>
      <t xml:space="preserve">  If the stranded meter costs were transferred to "Sub-account Stranded Meter Costs" of Account 1555, the above table should be completed and the following information should be provided in Exhibit 9.</t>
    </r>
  </si>
  <si>
    <t>COS Flowchart</t>
  </si>
  <si>
    <t>List of Key References</t>
  </si>
  <si>
    <t>App. 2-Z_Tariff</t>
  </si>
  <si>
    <t>Is CDM adjustment being done on a "net" or "gross" basis?</t>
  </si>
  <si>
    <t>net</t>
  </si>
  <si>
    <r>
      <t xml:space="preserve">If fully embedded with the host distributor, kWh pertains to a metering installation on the secondary or low voltage side of the transformer at the interface between the embedded distributor and the host distributor.  For example, if the host distributor is Hydro One Networks Inc., kWh from the Hydro One Networks' invoice corresponding to "Total kWh" should be reported.  This corresponds to the </t>
    </r>
    <r>
      <rPr>
        <u/>
        <sz val="10"/>
        <rFont val="Arial"/>
        <family val="2"/>
      </rPr>
      <t>lower</t>
    </r>
    <r>
      <rPr>
        <sz val="10"/>
        <rFont val="Arial"/>
        <family val="2"/>
      </rPr>
      <t xml:space="preserve"> of the two kWh values provided in Hydro One Networks' invoice.</t>
    </r>
  </si>
  <si>
    <r>
      <t xml:space="preserve">·         </t>
    </r>
    <r>
      <rPr>
        <b/>
        <i/>
        <sz val="10"/>
        <rFont val="Arial"/>
        <family val="2"/>
      </rPr>
      <t>Type of Service:</t>
    </r>
  </si>
  <si>
    <r>
      <t xml:space="preserve">·         </t>
    </r>
    <r>
      <rPr>
        <b/>
        <i/>
        <sz val="10"/>
        <rFont val="Arial"/>
        <family val="2"/>
      </rPr>
      <t>Pricing Methodology:</t>
    </r>
  </si>
  <si>
    <r>
      <t xml:space="preserve">·         </t>
    </r>
    <r>
      <rPr>
        <b/>
        <i/>
        <sz val="10"/>
        <rFont val="Arial"/>
        <family val="2"/>
      </rPr>
      <t>% Allocation:</t>
    </r>
  </si>
  <si>
    <t>This appendix must be completed in relation to each service provided or received for the Historical (actuals), Bridge and Test years. The required information includes:</t>
  </si>
  <si>
    <t>Appendix 2-JC</t>
  </si>
  <si>
    <t>Cost of Service Application Flowchart</t>
  </si>
  <si>
    <t>Appendix 2-BB: Service Life Comparison</t>
  </si>
  <si>
    <t>Adjustments for Total non-recoverable items (from Appendices 2-JA and 2-JB)</t>
  </si>
  <si>
    <t xml:space="preserve">Total OM&amp;A Expenses </t>
  </si>
  <si>
    <t>5 Year Historical Average</t>
  </si>
  <si>
    <t>All costs entered on this page will be transferred to the appropriate cells in the appendices that follow.</t>
  </si>
  <si>
    <t>Part A</t>
  </si>
  <si>
    <t>REI Investments (Direct Benefit at 6%)</t>
  </si>
  <si>
    <t>Project 1</t>
  </si>
  <si>
    <t>Capital Costs</t>
  </si>
  <si>
    <t>OM&amp;A (Start-Up)</t>
  </si>
  <si>
    <t>OM&amp;A (Ongoing)</t>
  </si>
  <si>
    <t>Project 2</t>
  </si>
  <si>
    <t>Project 3</t>
  </si>
  <si>
    <t>Project 4</t>
  </si>
  <si>
    <t>Project 5</t>
  </si>
  <si>
    <t>Part B</t>
  </si>
  <si>
    <t>Expansion Investments (Direct Benefit at 17%)</t>
  </si>
  <si>
    <r>
      <rPr>
        <b/>
        <sz val="10"/>
        <rFont val="Arial"/>
        <family val="2"/>
      </rPr>
      <t>For Part A</t>
    </r>
    <r>
      <rPr>
        <sz val="10"/>
        <rFont val="Arial"/>
        <family val="2"/>
      </rPr>
      <t>, Renewable Enabling Improvements (REI), these amounts will be transferred to Appendix 2 - FB</t>
    </r>
  </si>
  <si>
    <r>
      <rPr>
        <b/>
        <sz val="10"/>
        <rFont val="Arial"/>
        <family val="2"/>
      </rPr>
      <t>For Part B</t>
    </r>
    <r>
      <rPr>
        <sz val="10"/>
        <rFont val="Arial"/>
        <family val="2"/>
      </rPr>
      <t>, Expansions, these amounts will be transferred to Appendix 2 - FC</t>
    </r>
  </si>
  <si>
    <t>Appendix 2-FB</t>
  </si>
  <si>
    <t>Calculation of Renewable Generation Connection Direct Benefits/Provincial Amount: Renewable Enabling Improvement Investments</t>
  </si>
  <si>
    <t>This table will calculate the distributor/provincial shares of the investments entered in Part A of Appendix 2-FA.</t>
  </si>
  <si>
    <t>Enter values in green shaded cells: WCA percentage, debt percentages, interest rates, kWh, tax rates, amortization period, CCA Class and percentage.</t>
  </si>
  <si>
    <t>Direct Benefit</t>
  </si>
  <si>
    <t>Provincial</t>
  </si>
  <si>
    <t>Net Fixed Assets (average)</t>
  </si>
  <si>
    <t>Incremental OM&amp;A (start-up, applicable for Provincial Recovery)</t>
  </si>
  <si>
    <t>WCA</t>
  </si>
  <si>
    <t>Deemed ST Debt</t>
  </si>
  <si>
    <t>Deemed LT Debt</t>
  </si>
  <si>
    <t>Deemed Equity</t>
  </si>
  <si>
    <t>ST Interest</t>
  </si>
  <si>
    <t>LT Interest</t>
  </si>
  <si>
    <t>ROE</t>
  </si>
  <si>
    <t>Cost of Capital Total</t>
  </si>
  <si>
    <t>Amortization</t>
  </si>
  <si>
    <t>Grossed-up PILs</t>
  </si>
  <si>
    <t>Revenue Requirement</t>
  </si>
  <si>
    <t>Provincial Rate Protection</t>
  </si>
  <si>
    <t>PILs Calculation</t>
  </si>
  <si>
    <t>Income Tax</t>
  </si>
  <si>
    <t>Net Income - ROE on Rate Base</t>
  </si>
  <si>
    <r>
      <t>Amortization</t>
    </r>
    <r>
      <rPr>
        <i/>
        <sz val="10"/>
        <rFont val="Arial"/>
        <family val="2"/>
      </rPr>
      <t xml:space="preserve"> </t>
    </r>
    <r>
      <rPr>
        <sz val="10"/>
        <rFont val="Arial"/>
        <family val="2"/>
      </rPr>
      <t>(6% DB and 94% P)</t>
    </r>
  </si>
  <si>
    <t>CCA (6% DB and 94% P)</t>
  </si>
  <si>
    <t>Taxable income</t>
  </si>
  <si>
    <t>Tax Rate  (to be entered)</t>
  </si>
  <si>
    <t>Income Taxes Payable</t>
  </si>
  <si>
    <t>Gross Up</t>
  </si>
  <si>
    <t>Grossed Up PILs</t>
  </si>
  <si>
    <t>Net Fixed Assets</t>
  </si>
  <si>
    <t>Enter applicable amortization in years:</t>
  </si>
  <si>
    <t>Opening Gross Fixed Assets</t>
  </si>
  <si>
    <t>Gross Capital Additions</t>
  </si>
  <si>
    <t>Closing Gross Fixed Assets</t>
  </si>
  <si>
    <t>Opening Accumulated Amortization</t>
  </si>
  <si>
    <t>Current Year Amortization (before additions)</t>
  </si>
  <si>
    <t>Additions (half year)</t>
  </si>
  <si>
    <t>Closing Accumulated Amortization</t>
  </si>
  <si>
    <t>Opening Net Fixed Assets</t>
  </si>
  <si>
    <t>Closing Net Fixed Assets</t>
  </si>
  <si>
    <t>Average Net Fixed Assets</t>
  </si>
  <si>
    <t>UCC for PILs Calculation</t>
  </si>
  <si>
    <t>Opening UCC</t>
  </si>
  <si>
    <t>Capital Additions (from Appendix 2-FA)</t>
  </si>
  <si>
    <t>UCC Before Half Year Rule</t>
  </si>
  <si>
    <t>Half Year Rule (1/2 Additions - Disposals)</t>
  </si>
  <si>
    <t>Reduced UCC</t>
  </si>
  <si>
    <t>CCA Rate Class (to be entered)</t>
  </si>
  <si>
    <t>CCA Rate  (to be entered)</t>
  </si>
  <si>
    <t>CCA</t>
  </si>
  <si>
    <t>Closing UCC</t>
  </si>
  <si>
    <t>Incremental OM&amp;A (on-going, N/A for Provincial Recovery)</t>
  </si>
  <si>
    <t>Appendix 2-FC</t>
  </si>
  <si>
    <t>Calculation of Renewable Generation Connection Direct Benefits/Provincial Amount: Renewable Expansion Investments</t>
  </si>
  <si>
    <t>This table will calculate the distributor/provincial shares of the investments entered in Part B of Appendix 2-FA.</t>
  </si>
  <si>
    <t>Appendix 2-AA</t>
  </si>
  <si>
    <t>First year of Forecast Period:</t>
  </si>
  <si>
    <t>CATEGORY</t>
  </si>
  <si>
    <t>Plan</t>
  </si>
  <si>
    <t>Var</t>
  </si>
  <si>
    <t>$ '000</t>
  </si>
  <si>
    <t>System Access</t>
  </si>
  <si>
    <t>System Renewal</t>
  </si>
  <si>
    <t>System Service</t>
  </si>
  <si>
    <t>General Plant</t>
  </si>
  <si>
    <t>TOTAL EXPENDITURE</t>
  </si>
  <si>
    <t>System O&amp;M</t>
  </si>
  <si>
    <t>Notes to the Table:</t>
  </si>
  <si>
    <t>Explanatory Notes on Variances (complete only if applicable)</t>
  </si>
  <si>
    <t>Notes on year over year Plan vs. Actual variances for Total Expenditures</t>
  </si>
  <si>
    <t>Notes on Plan vs. Actual variance trends for individual expenditure categories</t>
  </si>
  <si>
    <t>Appendix 2-AB</t>
  </si>
  <si>
    <t>Table 2 - Capital Expenditure Summary from Chapter 5 Consolidated
Distribution System Plan Filing Requirements</t>
  </si>
  <si>
    <r>
      <t xml:space="preserve">Historical Period </t>
    </r>
    <r>
      <rPr>
        <sz val="10"/>
        <rFont val="Arial"/>
        <family val="2"/>
      </rPr>
      <t>(previous plan</t>
    </r>
    <r>
      <rPr>
        <vertAlign val="superscript"/>
        <sz val="10"/>
        <rFont val="Arial"/>
        <family val="2"/>
      </rPr>
      <t>1</t>
    </r>
    <r>
      <rPr>
        <sz val="10"/>
        <rFont val="Arial"/>
        <family val="2"/>
      </rPr>
      <t xml:space="preserve"> &amp; actual)</t>
    </r>
  </si>
  <si>
    <r>
      <t xml:space="preserve">Forecast Period </t>
    </r>
    <r>
      <rPr>
        <sz val="10"/>
        <rFont val="Arial"/>
        <family val="2"/>
      </rPr>
      <t>(planned)</t>
    </r>
  </si>
  <si>
    <r>
      <t>Actual</t>
    </r>
    <r>
      <rPr>
        <b/>
        <vertAlign val="superscript"/>
        <sz val="10"/>
        <rFont val="Arial"/>
        <family val="2"/>
      </rPr>
      <t>2</t>
    </r>
  </si>
  <si>
    <t>Table of Contents</t>
  </si>
  <si>
    <t>App.2-AA_Capital Projects</t>
  </si>
  <si>
    <t>App.2-AB_Capital Expenditures</t>
  </si>
  <si>
    <t xml:space="preserve">            Net Additions - Note 4</t>
  </si>
  <si>
    <r>
      <t xml:space="preserve">            Net Depreciation</t>
    </r>
    <r>
      <rPr>
        <sz val="9"/>
        <color indexed="8"/>
        <rFont val="Arial"/>
        <family val="2"/>
      </rPr>
      <t xml:space="preserve"> (amounts should be negative) - Note 4</t>
    </r>
  </si>
  <si>
    <t>Effect on Deferral and Variance Account Rate Riders</t>
  </si>
  <si>
    <t># of years of rate rider disposition period</t>
  </si>
  <si>
    <t xml:space="preserve">     Amount included in Deferral and Variance Account Rate Rider Calculation</t>
  </si>
  <si>
    <t>2 Return on rate base associated with deferred balance is calculated as:</t>
  </si>
  <si>
    <r>
      <t xml:space="preserve">3  </t>
    </r>
    <r>
      <rPr>
        <sz val="10"/>
        <rFont val="Arial"/>
        <family val="2"/>
      </rPr>
      <t>T</t>
    </r>
    <r>
      <rPr>
        <sz val="10"/>
        <color indexed="8"/>
        <rFont val="Arial"/>
        <family val="2"/>
      </rPr>
      <t>he  PP&amp;E deferral account is cleared by including the total balance in the deferral and variance account rate rider calculation.</t>
    </r>
  </si>
  <si>
    <t xml:space="preserve">Difference in Closing net PP&amp;E, former CGAAP vs. revised CGAAP </t>
  </si>
  <si>
    <t>Closing balance in Account 1576</t>
  </si>
  <si>
    <t>Return on Rate Base Associated with Account 1576 balance at WACC  - Note 2</t>
  </si>
  <si>
    <t>2 Return on rate base associated with Account 1576 balance is calculated as:</t>
  </si>
  <si>
    <t>3  Account 1576 is cleared by including the total balance in the deferral and variance account rate rider calculation.</t>
  </si>
  <si>
    <t>App.2-BA1_Fix Asset Cont.CGAAP</t>
  </si>
  <si>
    <t>App.2-BA2_Fix Asset Cont.MIFRS</t>
  </si>
  <si>
    <t>Management (including executive)</t>
  </si>
  <si>
    <t>Total Salary and Wages including ovetime and incentive pay</t>
  </si>
  <si>
    <t>ASPE</t>
  </si>
  <si>
    <t>App.2-FC Calc of REG Expansion</t>
  </si>
  <si>
    <t>App.2-FB Calc of REG Improvemnt</t>
  </si>
  <si>
    <t>OM&amp;A Programs Table</t>
  </si>
  <si>
    <t>Programs</t>
  </si>
  <si>
    <t>Bluewater Power Distribution Corporation</t>
  </si>
  <si>
    <t>Canadian Niagara Power Inc.</t>
  </si>
  <si>
    <t>Erie Thames Powerlines Corporation</t>
  </si>
  <si>
    <t>Hearst Power Distribution Company Limited</t>
  </si>
  <si>
    <t>Oakville Hydro Electricity Distribution Inc.</t>
  </si>
  <si>
    <t>Orillia Power Distribution Corporation</t>
  </si>
  <si>
    <t>Thunder Bay Hydro Electricity Distribution Inc.</t>
  </si>
  <si>
    <t>Welland Hydro-Electric System Corp.</t>
  </si>
  <si>
    <t>lists</t>
  </si>
  <si>
    <t>App.2-JA_OM&amp;A_Summary_Analys</t>
  </si>
  <si>
    <t>App.2-JB_OM&amp;A_Cost _Drivers</t>
  </si>
  <si>
    <t>App.2-JC_OMA Programs</t>
  </si>
  <si>
    <t>lists2</t>
  </si>
  <si>
    <t>e</t>
  </si>
  <si>
    <t>1   Please provide a breakdown of the major components of each OM&amp;A Program undertaken in each year.  Please ensure that all Programs below the materiality threshold are included in the miscellaneous line.  Add more Programs as required.</t>
  </si>
  <si>
    <t>OH</t>
  </si>
  <si>
    <t>Cross Arm</t>
  </si>
  <si>
    <t>TS &amp; MS</t>
  </si>
  <si>
    <t>Fully Dressed Steel Poles</t>
  </si>
  <si>
    <t>Overall</t>
  </si>
  <si>
    <t>Wood</t>
  </si>
  <si>
    <t>Steel</t>
  </si>
  <si>
    <t>Station Service Transformer</t>
  </si>
  <si>
    <t>Station DC System</t>
  </si>
  <si>
    <t>Charger</t>
  </si>
  <si>
    <t>Fully Dressed Wood Poles</t>
  </si>
  <si>
    <t>#</t>
  </si>
  <si>
    <t>Category| Component | Type</t>
  </si>
  <si>
    <t>Fully Dressed Concrete Poles</t>
  </si>
  <si>
    <t>MIN UL</t>
  </si>
  <si>
    <t>MAX UL</t>
  </si>
  <si>
    <t>OH Line Switch</t>
  </si>
  <si>
    <t>OH Line Switch Motor</t>
  </si>
  <si>
    <t>OH Line Switch RTU</t>
  </si>
  <si>
    <t>OH Integral Switches</t>
  </si>
  <si>
    <t>OH Conductors</t>
  </si>
  <si>
    <t>OH Transformers &amp; Voltage Regulators</t>
  </si>
  <si>
    <t>OH Shunt Capacitor Banks</t>
  </si>
  <si>
    <t>Reclosers</t>
  </si>
  <si>
    <t>Power Transformers</t>
  </si>
  <si>
    <t>Bushing</t>
  </si>
  <si>
    <t>Tap Changer</t>
  </si>
  <si>
    <t>Station Grounding Transformer</t>
  </si>
  <si>
    <t>Battery Bank</t>
  </si>
  <si>
    <t>Station Metal Clad Switchgear</t>
  </si>
  <si>
    <t>Removable Breaker</t>
  </si>
  <si>
    <t>Station Independent Breakers</t>
  </si>
  <si>
    <t>Station Switch</t>
  </si>
  <si>
    <t>Asset Details</t>
  </si>
  <si>
    <t>Useful Life</t>
  </si>
  <si>
    <t>USoA Account Number</t>
  </si>
  <si>
    <t>USoA Account Description</t>
  </si>
  <si>
    <t>Note 1:</t>
  </si>
  <si>
    <t>Parent*</t>
  </si>
  <si>
    <t>Electromechanical Relays</t>
  </si>
  <si>
    <t>Solid State Relays</t>
  </si>
  <si>
    <t>Digital &amp; Numeric Relays</t>
  </si>
  <si>
    <t>Rigid Busbars</t>
  </si>
  <si>
    <t>Steel Structure</t>
  </si>
  <si>
    <t>Primary Paper Insulated Lead Covered (PILC) Cables</t>
  </si>
  <si>
    <t>Primary Ethylene-Propylene Rubber (EPR) Cables</t>
  </si>
  <si>
    <t>Primary Non-TR XLPE Cables in Duct</t>
  </si>
  <si>
    <t>Secondary PILC Cables</t>
  </si>
  <si>
    <t>Secondary Cables Direct Buried</t>
  </si>
  <si>
    <t>Secondary Cables in Duct</t>
  </si>
  <si>
    <t>Network Tranformers</t>
  </si>
  <si>
    <t>Protector</t>
  </si>
  <si>
    <t>Pad-Mounted Transformers</t>
  </si>
  <si>
    <t>Submersible/Vault Transformers</t>
  </si>
  <si>
    <t>UG Foundation</t>
  </si>
  <si>
    <t>UG Vaults</t>
  </si>
  <si>
    <t>Roof</t>
  </si>
  <si>
    <t>Pad-Mounted Switchgear</t>
  </si>
  <si>
    <t>Ducts</t>
  </si>
  <si>
    <t>Concrete Encased Duct Banks</t>
  </si>
  <si>
    <t>Cable Chambers</t>
  </si>
  <si>
    <t>Remote SCADA</t>
  </si>
  <si>
    <t>UG Vault Switches</t>
  </si>
  <si>
    <t>Primary Non-Tree Retardant (TR) Cross Linked 
Polyethylene (XLPE) Cables Direct Buried</t>
  </si>
  <si>
    <t>UG</t>
  </si>
  <si>
    <t>S</t>
  </si>
  <si>
    <t>* TS &amp; MS = Transformer and Municipal Stations UG = Underground Systems S = Monitoring and Control Systems</t>
  </si>
  <si>
    <t>Office Equipment</t>
  </si>
  <si>
    <t>Useful Life Range</t>
  </si>
  <si>
    <t>Vehicles</t>
  </si>
  <si>
    <t>Trucks &amp; Buckets</t>
  </si>
  <si>
    <t>Trailers</t>
  </si>
  <si>
    <t>Vans</t>
  </si>
  <si>
    <t>Administrative Buildings</t>
  </si>
  <si>
    <t>Station Buildings</t>
  </si>
  <si>
    <t>Parking</t>
  </si>
  <si>
    <t>Fence</t>
  </si>
  <si>
    <t>Hardware</t>
  </si>
  <si>
    <t>Software</t>
  </si>
  <si>
    <t>Computer Equipment</t>
  </si>
  <si>
    <t>Power Operated</t>
  </si>
  <si>
    <t>Stores</t>
  </si>
  <si>
    <t>Tools, Shop, Garage Equipment</t>
  </si>
  <si>
    <t>Towers</t>
  </si>
  <si>
    <t>Wireless</t>
  </si>
  <si>
    <t>Communication</t>
  </si>
  <si>
    <t>Equipment</t>
  </si>
  <si>
    <t>Residential Energy Meters</t>
  </si>
  <si>
    <t>Industrial/Commercial Energy Meters</t>
  </si>
  <si>
    <t>Wholesale Energy Meters</t>
  </si>
  <si>
    <t>Current &amp; Potential Transformer (CT &amp; PT)</t>
  </si>
  <si>
    <t>Smart Meters</t>
  </si>
  <si>
    <t>Repeaters - Smart Metering</t>
  </si>
  <si>
    <t>Data Collectors - Smart Metering</t>
  </si>
  <si>
    <t>Lease dependent</t>
  </si>
  <si>
    <r>
      <t>Table F-1 from Kinetrics Report</t>
    </r>
    <r>
      <rPr>
        <b/>
        <vertAlign val="superscript"/>
        <sz val="14"/>
        <rFont val="Arial"/>
        <family val="2"/>
      </rPr>
      <t>1</t>
    </r>
  </si>
  <si>
    <r>
      <t>Table F-2 from Kinetrics Report</t>
    </r>
    <r>
      <rPr>
        <b/>
        <vertAlign val="superscript"/>
        <sz val="14"/>
        <rFont val="Arial"/>
        <family val="2"/>
      </rPr>
      <t>1</t>
    </r>
  </si>
  <si>
    <t>See pages 17-19 of Kinetrics Report</t>
  </si>
  <si>
    <t>Tables F-1 and F-2 above are to be used as a reference in order to complete columns J, K, L and N.</t>
  </si>
  <si>
    <t>The applicant must provide an explanation of material variances in evidence.</t>
  </si>
  <si>
    <t>4  Net additions are additions net of disposals; Net depreciation is additions to depreciation net of disposals.</t>
  </si>
  <si>
    <t>List and specify any other interest revenue.</t>
  </si>
  <si>
    <t>2   The applicant should group projects appropriately and avoid presentations that result in classification of significant components of the OM&amp;A budget in the miscellaneous category</t>
  </si>
  <si>
    <t>Monthly Amount Paid by IESO</t>
  </si>
  <si>
    <t>Appendix 2-JA</t>
  </si>
  <si>
    <t>Appendix 2-JB</t>
  </si>
  <si>
    <t>Total Capital Costs</t>
  </si>
  <si>
    <t>Total OM&amp;A (Start-Up)</t>
  </si>
  <si>
    <t>Total OM&amp;A (Ongoing)</t>
  </si>
  <si>
    <t>Name: Expansion Connection Project</t>
  </si>
  <si>
    <t>Name: REI Connection Project</t>
  </si>
  <si>
    <r>
      <t xml:space="preserve">If there are more than </t>
    </r>
    <r>
      <rPr>
        <b/>
        <sz val="10"/>
        <rFont val="Arial"/>
        <family val="2"/>
      </rPr>
      <t>five</t>
    </r>
    <r>
      <rPr>
        <sz val="10"/>
        <rFont val="Arial"/>
        <family val="2"/>
      </rPr>
      <t xml:space="preserve"> projects proposed to be in-service in a certain year, please amend the tables below and ensure that the formulae for the Total Amounts in any given rate year are updated.</t>
    </r>
  </si>
  <si>
    <r>
      <rPr>
        <b/>
        <sz val="10"/>
        <color indexed="8"/>
        <rFont val="Arial"/>
        <family val="2"/>
      </rPr>
      <t>Note 1:</t>
    </r>
    <r>
      <rPr>
        <sz val="10"/>
        <color indexed="8"/>
        <rFont val="Arial"/>
        <family val="2"/>
      </rPr>
      <t xml:space="preserve"> The difference between the actual costs of approved eligible investments and revenue received from the IESO should be recorded in a variance account.  The Board may provide </t>
    </r>
  </si>
  <si>
    <t>regulatory accounting guidance regarding a variance account either in an individual proceeding or on a generic basis.</t>
  </si>
  <si>
    <r>
      <t>Amortization</t>
    </r>
    <r>
      <rPr>
        <i/>
        <sz val="10"/>
        <rFont val="Arial"/>
        <family val="2"/>
      </rPr>
      <t xml:space="preserve"> </t>
    </r>
    <r>
      <rPr>
        <sz val="10"/>
        <rFont val="Arial"/>
        <family val="2"/>
      </rPr>
      <t>(17% DB and 83% P)</t>
    </r>
  </si>
  <si>
    <t>CCA (17% DB and 83% P)</t>
  </si>
  <si>
    <t>Accounting Standard</t>
  </si>
  <si>
    <t>Outside Range of Min, Max TUL?</t>
  </si>
  <si>
    <t>Below Min TUL</t>
  </si>
  <si>
    <t>Above Max TUL</t>
  </si>
  <si>
    <t>Below Min Range</t>
  </si>
  <si>
    <t>Above Max Range</t>
  </si>
  <si>
    <t>Test</t>
  </si>
  <si>
    <t>Bridge</t>
  </si>
  <si>
    <t>Historical</t>
  </si>
  <si>
    <t>Revised CGAAP</t>
  </si>
  <si>
    <r>
      <t>·</t>
    </r>
    <r>
      <rPr>
        <sz val="10"/>
        <rFont val="Times New Roman"/>
        <family val="1"/>
      </rPr>
      <t xml:space="preserve">         </t>
    </r>
    <r>
      <rPr>
        <sz val="10"/>
        <rFont val="Arial"/>
        <family val="2"/>
      </rPr>
      <t>December 31, 2013 regulatory accumulated depreciation, by asset class; and</t>
    </r>
  </si>
  <si>
    <r>
      <t>·</t>
    </r>
    <r>
      <rPr>
        <sz val="10"/>
        <rFont val="Times New Roman"/>
        <family val="1"/>
      </rPr>
      <t xml:space="preserve">         </t>
    </r>
    <r>
      <rPr>
        <sz val="10"/>
        <rFont val="Arial"/>
        <family val="2"/>
      </rPr>
      <t>January 1, 2014 regulatory accumulated depreciation, by asset class.</t>
    </r>
  </si>
  <si>
    <r>
      <t>·</t>
    </r>
    <r>
      <rPr>
        <sz val="10"/>
        <rFont val="Times New Roman"/>
        <family val="1"/>
      </rPr>
      <t xml:space="preserve">         </t>
    </r>
    <r>
      <rPr>
        <sz val="10"/>
        <rFont val="Arial"/>
        <family val="2"/>
      </rPr>
      <t>December 31, 2013 regulatory gross assets of property, plant and equipment, by asset class; and</t>
    </r>
  </si>
  <si>
    <r>
      <t>·</t>
    </r>
    <r>
      <rPr>
        <sz val="10"/>
        <rFont val="Times New Roman"/>
        <family val="1"/>
      </rPr>
      <t xml:space="preserve">         </t>
    </r>
    <r>
      <rPr>
        <sz val="10"/>
        <rFont val="Arial"/>
        <family val="2"/>
      </rPr>
      <t>January 1, 2014 regulatory gross assets of property, plant and equipment, by asset class.</t>
    </r>
  </si>
  <si>
    <t>2015 Adopters of IFRS for Financial Reporting Purposes</t>
  </si>
  <si>
    <t xml:space="preserve">Appendix 2-BA - Fixed Asset Schedule </t>
  </si>
  <si>
    <t>Appendix 2-E - Account 1575, IFRS-CGAAP Transitional PP&amp;E Amounts (2-EA), Account 1576, Accounting Changes Under CGAAP (2-EB, 2-EC)</t>
  </si>
  <si>
    <t>Please refer to section 2.12.4 and 2.12.5 of the Filing Requirements for further details.</t>
  </si>
  <si>
    <t>Capitalized OM&amp;A</t>
  </si>
  <si>
    <t xml:space="preserve"> OM&amp;A Before Capitalization</t>
  </si>
  <si>
    <t>Insert description of additional item(s) and new rows if needed</t>
  </si>
  <si>
    <t>Explanation for Change in Overhead Capitalized</t>
  </si>
  <si>
    <t>Total Capitalized OM&amp;A (A)</t>
  </si>
  <si>
    <t>Total OM&amp;A Before Capitalization (B)</t>
  </si>
  <si>
    <t>% of Capitalized OM&amp;A (=A/B)</t>
  </si>
  <si>
    <t>Applicants are to provide a breakdown of OM&amp;A before capitalization in the below table.  OM&amp;A before capitalization may be broken down by cost center, program, drivers or another format best suited to focus on capitalized vs. uncapitalized OM&amp;A.</t>
  </si>
  <si>
    <t>Applicants are to provide a breakdown of capitalized OM&amp;A in the below table.  Capitalized OM&amp;A may be broken down using the categories listed in the table below if possible.  Otherwise, applicants are to provide its own break down of capitalized OM&amp;A.</t>
  </si>
  <si>
    <t>2   The applicant should group projects appropriately and avoid presentations that result in classification of significant components of the capital budget in the miscellaneous category.</t>
  </si>
  <si>
    <t>Notes on shifts in forecast vs. historical budgets by category</t>
  </si>
  <si>
    <r>
      <t xml:space="preserve">Input actual or deemed long-term debt rate in accordance with the guidelines in </t>
    </r>
    <r>
      <rPr>
        <i/>
        <sz val="10"/>
        <rFont val="Arial"/>
        <family val="2"/>
      </rPr>
      <t>The Report of the Board on the Cost of Capital for Ontario's Regulated Utilities</t>
    </r>
    <r>
      <rPr>
        <sz val="10"/>
        <rFont val="Arial"/>
        <family val="2"/>
      </rPr>
      <t>, issued December 11, 2009, or with any subsequent update issued by the Board.</t>
    </r>
  </si>
  <si>
    <r>
      <t>Depreciation Expense adj. from gain or loss on the retirement of assets (pool of like assets), if applicable</t>
    </r>
    <r>
      <rPr>
        <b/>
        <vertAlign val="superscript"/>
        <sz val="10"/>
        <rFont val="Arial"/>
        <family val="2"/>
      </rPr>
      <t>6</t>
    </r>
  </si>
  <si>
    <t>OEB Minimum Standard</t>
  </si>
  <si>
    <t>Indicator</t>
  </si>
  <si>
    <t>Low Voltage Connections</t>
  </si>
  <si>
    <t>High Voltage Connections</t>
  </si>
  <si>
    <t>Telephone Accessibility</t>
  </si>
  <si>
    <t>Appointments Met</t>
  </si>
  <si>
    <t>Written Response to Enquires</t>
  </si>
  <si>
    <t>Emergency Urban Response</t>
  </si>
  <si>
    <t>Emergency Rural Response</t>
  </si>
  <si>
    <t>Telephone Call Abandon Rate</t>
  </si>
  <si>
    <t>Appointment Scheduling</t>
  </si>
  <si>
    <t>Rescheduling a Missed Appointment</t>
  </si>
  <si>
    <t>Reconnection Performance Standard</t>
  </si>
  <si>
    <t>Provide a list of customer engagement activities</t>
  </si>
  <si>
    <t>Actions taken to respond to identified needs and preferences.  If no action was taken, explain why.</t>
  </si>
  <si>
    <t>Appendix 2-AC</t>
  </si>
  <si>
    <t>Customer Engagement Activities Summary</t>
  </si>
  <si>
    <t>Provide a list of customer needs and preferences identified through each engagement activity</t>
  </si>
  <si>
    <t>Former CGAAP</t>
  </si>
  <si>
    <t>PP&amp;E Values under MIFRS (Starts from 2014, the transition year)</t>
  </si>
  <si>
    <t>Applicants are to provide Appendix 2-BA in accordance with the years and corresponding accounting standards noted in the above table to provide a year over year continuity in fixed assets.</t>
  </si>
  <si>
    <t>Customers / Connections</t>
  </si>
  <si>
    <t xml:space="preserve">Effective on the date of IFRS adoption, customer contributions will no longer be recorded in Account 1995 Contributions &amp; Grants, but will be recorded in Account 2440, Deferred Revenues.  </t>
  </si>
  <si>
    <t>The purpose of this tab is to provide general instructions.  The specific instructions to each appendix are listed in footnotes of each appendix.</t>
  </si>
  <si>
    <t>Total Depreciation Expense</t>
  </si>
  <si>
    <t>Historical Year</t>
  </si>
  <si>
    <t>6 Year (2015-2020) kWh Target:</t>
  </si>
  <si>
    <t>2015 CDM Programs</t>
  </si>
  <si>
    <t>2016 CDM Programs</t>
  </si>
  <si>
    <t>2017 CDM Programs</t>
  </si>
  <si>
    <t>2018 CDM Programs</t>
  </si>
  <si>
    <t>2019 CDM Programs</t>
  </si>
  <si>
    <t>2020 CDM Programs</t>
  </si>
  <si>
    <t>2013 CDM program</t>
  </si>
  <si>
    <t>Distributor can select "0", "0.5", or "1" from drop-down list</t>
  </si>
  <si>
    <t xml:space="preserve">Forecasted Costs </t>
  </si>
  <si>
    <t>Total Costs and Carrying Charges</t>
  </si>
  <si>
    <r>
      <t>Deferred Revenue</t>
    </r>
    <r>
      <rPr>
        <vertAlign val="superscript"/>
        <sz val="10"/>
        <rFont val="Arial"/>
        <family val="2"/>
      </rPr>
      <t>5</t>
    </r>
  </si>
  <si>
    <t>For each year, a detailed explanation for each cost driver and associated amount is requied in Exhibit 4.</t>
  </si>
  <si>
    <t>Variance Analysis</t>
  </si>
  <si>
    <t>Note:  Use "ALT-ENTER" to go to the next line within a cell</t>
  </si>
  <si>
    <t>Appendix 2-IA</t>
  </si>
  <si>
    <t>App.2-Y: Transition to MIFRS Summary Impact</t>
  </si>
  <si>
    <t>App.2-S: Stranded Meter Treatment</t>
  </si>
  <si>
    <t>App.2-R: Loss Factors</t>
  </si>
  <si>
    <t>App.2-Q: Cost of Serving Embedded Distributor(s)</t>
  </si>
  <si>
    <t>App.2-OB: Debt Instruments</t>
  </si>
  <si>
    <t>App.2-OA: Capital Structure and Cost of Capital</t>
  </si>
  <si>
    <t>App.2-AA: Capital Projects Table</t>
  </si>
  <si>
    <t>App.2-AB: Capital Expenditures</t>
  </si>
  <si>
    <t>App. 2-AC: Customer Engagement Worksheet</t>
  </si>
  <si>
    <t>App.2-B: General Accounting Instructions</t>
  </si>
  <si>
    <t>App.2-BA: Fixed Asset Continuity Schedule</t>
  </si>
  <si>
    <t>App.2-D: Overhead Expenses</t>
  </si>
  <si>
    <t>App.2-EA: Account 1575 PP&amp;E Deferral Account (2015 IFRS Adopters)</t>
  </si>
  <si>
    <t>App.2-EB: Account 1576 - Accounting Changes Under CGAAP (2012 Changes)</t>
  </si>
  <si>
    <t>App.2-EC: Account 1576 - Accounting Changes Under CGAAP (2013 Changes)</t>
  </si>
  <si>
    <t>App.2-FA: Renewable Generation Connection Investment Summary</t>
  </si>
  <si>
    <t>App.2-FB: Calculation of Renewable Generation Connection Direct Benefits/Provincial Amount: Renewable Enabling Improvement Investments</t>
  </si>
  <si>
    <t>App.2-FC: Calculation of Renewable Generation Connection Direct Benefits/Provincial Amount: Renewable Expansion Investments</t>
  </si>
  <si>
    <t>App.2-H: Other Operating Revenue</t>
  </si>
  <si>
    <t>App.2-G: Service Reliability Indicators</t>
  </si>
  <si>
    <t>App.2-I: Load Forecast CDM Adjustment Workform</t>
  </si>
  <si>
    <t>App.2-JA: OM&amp;A Summary Analysis</t>
  </si>
  <si>
    <t>App.2-JB: Recoverable OM&amp;A Cost Driver Table</t>
  </si>
  <si>
    <t>App.2-K: Employee Costs</t>
  </si>
  <si>
    <t>App.2-L: Recoverable OM&amp;A Cost per Customer and per FTE</t>
  </si>
  <si>
    <t>App.2-M: Regulatory Costs Schedule</t>
  </si>
  <si>
    <t>Renewable Generation Connection Investment Summary (past investments or over the future rate setting period)</t>
  </si>
  <si>
    <r>
      <t>Enter the details of the Renewable Generation Connection projects as described in the appropriate section</t>
    </r>
    <r>
      <rPr>
        <sz val="10"/>
        <color rgb="FF00B050"/>
        <rFont val="Arial"/>
        <family val="2"/>
      </rPr>
      <t xml:space="preserve"> </t>
    </r>
    <r>
      <rPr>
        <sz val="10"/>
        <rFont val="Arial"/>
        <family val="2"/>
      </rPr>
      <t>of the Filing Requirements.</t>
    </r>
  </si>
  <si>
    <t>There are two scenarios described below.  Separate sets of spreadsheets (2-FA, 2-FB, 2-FC) should be submited for each scenario as required.</t>
  </si>
  <si>
    <r>
      <rPr>
        <sz val="11"/>
        <color rgb="FF00B0F0"/>
        <rFont val="Calibri"/>
        <family val="2"/>
        <scheme val="minor"/>
      </rPr>
      <t>Scenario 1</t>
    </r>
    <r>
      <rPr>
        <sz val="11"/>
        <color theme="1"/>
        <rFont val="Calibri"/>
        <family val="2"/>
        <scheme val="minor"/>
      </rPr>
      <t xml:space="preserve">:  </t>
    </r>
    <r>
      <rPr>
        <b/>
        <sz val="11"/>
        <color theme="1"/>
        <rFont val="Calibri"/>
        <family val="2"/>
        <scheme val="minor"/>
      </rPr>
      <t>Past Investments with No Recovery.</t>
    </r>
    <r>
      <rPr>
        <sz val="11"/>
        <color theme="1"/>
        <rFont val="Calibri"/>
        <family val="2"/>
        <scheme val="minor"/>
      </rPr>
      <t xml:space="preserve">  The distributor has made investments in the past (during the IRM Years), but has not received approval for these projects and therefore did not receive</t>
    </r>
  </si>
  <si>
    <t>revenue from the IESO under Regulation 330/09 and did not receive ratepayer revenue for the direct benefit portion of the investment.</t>
  </si>
  <si>
    <t xml:space="preserve">The WCA percentage, debt percentages, interest rates, kWh, tax rates, amortization period, CCA Class and percentage should correspond to the distributor's last Cost of Service approval. </t>
  </si>
  <si>
    <t>The Direct Benefit portion of the calculated Revenue Requirement for each year should be summed and can be applied for recovery from the distributor's ratepayers through a rate rider.</t>
  </si>
  <si>
    <t>The Provincial Recovery portion of the calculated Revenue Requirement for each year should be summed and can be applied for recovery from the IESO through a separate order.</t>
  </si>
  <si>
    <t xml:space="preserve">The WCA percentage, debt percentages, interest rates, kWh, tax rates, amortization period, CCA Class and percentage should correspond to the distributor's current application. </t>
  </si>
  <si>
    <t>The "CCA Class" for fixed assets should agree with the CCA Class used for tax purposes in Tax Returns. Fixed Assets sub-components may be used where the underlying asset components are classified under multiple CCA Classes for tax purposes. If an applicant uses any different classes from those shown in the table, an explanation should be provided. (also see note 3).</t>
  </si>
  <si>
    <t>The additions in column (E) must not include construction work in progress (CWIP).</t>
  </si>
  <si>
    <t>Accounting Policy Changes in 2012 and Adopted IFRS in 2015</t>
  </si>
  <si>
    <t>Accounting Policy Changes in 2013 and Adopted IFRS in 2015</t>
  </si>
  <si>
    <t xml:space="preserve">For an applicant that adopted IFRS on January 1, 2015 for financial reporting purposes, the applicant must establish the continuity of historic cost by using the December 31, 2013 regulatory gross assets of property, plant and equipment as the opening January 1, 2014 regulatory gross assets.  The applicant must provide schedules (including Appendix 2-BA, Fixed Asset Continuity Schedule) which must identify the following details to substantiate the continuity of historic cost for regulatory purposes: </t>
  </si>
  <si>
    <t xml:space="preserve">For an applicant that adopted IFRS on January 1, 2015 for financial reporting purposes, the applicant must establish the continuity of historic cost by using the December 31, 2013 regulatory accumulated depreciation as the opening January 1, 2014 regulatory accumulated depreciation.  The applicant must provide schedules (including Appendix 2-BA, Fixed Asset Continuity Schedule) which must identify the following details to substantiate the continuity of historic cost for regulatory purposes: </t>
  </si>
  <si>
    <r>
      <t xml:space="preserve">Total for Depreciation </t>
    </r>
    <r>
      <rPr>
        <b/>
        <vertAlign val="superscript"/>
        <sz val="10"/>
        <rFont val="Arial"/>
        <family val="2"/>
      </rPr>
      <t>1</t>
    </r>
  </si>
  <si>
    <t xml:space="preserve">(e) = (c) + ½ x (d) </t>
  </si>
  <si>
    <r>
      <t xml:space="preserve">Less Renewable Generation Facility Assets and Other Non-Rate-Regulated Utility Assets </t>
    </r>
    <r>
      <rPr>
        <b/>
        <i/>
        <sz val="10"/>
        <color rgb="FFFF0000"/>
        <rFont val="Arial"/>
        <family val="2"/>
      </rPr>
      <t>(input as negative)</t>
    </r>
  </si>
  <si>
    <r>
      <t xml:space="preserve">Fixed Asset Continuity Schedule </t>
    </r>
    <r>
      <rPr>
        <b/>
        <vertAlign val="superscript"/>
        <sz val="14"/>
        <rFont val="Arial"/>
        <family val="2"/>
      </rPr>
      <t>1</t>
    </r>
    <r>
      <rPr>
        <b/>
        <sz val="14"/>
        <rFont val="Arial"/>
        <family val="2"/>
      </rPr>
      <t xml:space="preserve"> </t>
    </r>
  </si>
  <si>
    <r>
      <t xml:space="preserve">CCA Class </t>
    </r>
    <r>
      <rPr>
        <b/>
        <vertAlign val="superscript"/>
        <sz val="10"/>
        <rFont val="Arial"/>
        <family val="2"/>
      </rPr>
      <t>2</t>
    </r>
  </si>
  <si>
    <r>
      <t xml:space="preserve">Additions </t>
    </r>
    <r>
      <rPr>
        <b/>
        <vertAlign val="superscript"/>
        <sz val="10"/>
        <rFont val="Arial"/>
        <family val="2"/>
      </rPr>
      <t>4</t>
    </r>
  </si>
  <si>
    <r>
      <t xml:space="preserve">OEB Account </t>
    </r>
    <r>
      <rPr>
        <b/>
        <vertAlign val="superscript"/>
        <sz val="10"/>
        <rFont val="Arial"/>
        <family val="2"/>
      </rPr>
      <t>3</t>
    </r>
  </si>
  <si>
    <r>
      <t xml:space="preserve">Description </t>
    </r>
    <r>
      <rPr>
        <b/>
        <vertAlign val="superscript"/>
        <sz val="10"/>
        <rFont val="Arial"/>
        <family val="2"/>
      </rPr>
      <t>3</t>
    </r>
  </si>
  <si>
    <t>Including outages caused by loss of supply</t>
  </si>
  <si>
    <t>Excluding outages caused by loss of supply</t>
  </si>
  <si>
    <t>In the transition year to IFRS, the applicant is to present information in both MIFRS and CGAAP.  For the typical applicant that adopted IFRS on January 1, 2015, 2014 must be presented in both a CGAAP and MIFRS basis.</t>
  </si>
  <si>
    <r>
      <t xml:space="preserve">Number of Customers </t>
    </r>
    <r>
      <rPr>
        <b/>
        <vertAlign val="superscript"/>
        <sz val="10"/>
        <rFont val="Arial"/>
        <family val="2"/>
      </rPr>
      <t>2,4</t>
    </r>
  </si>
  <si>
    <r>
      <t xml:space="preserve">Number of FTEs </t>
    </r>
    <r>
      <rPr>
        <b/>
        <vertAlign val="superscript"/>
        <sz val="10"/>
        <rFont val="Arial"/>
        <family val="2"/>
      </rPr>
      <t>3,4</t>
    </r>
  </si>
  <si>
    <r>
      <t xml:space="preserve">Recoverable OM&amp;A Cost per Customer and per FTE </t>
    </r>
    <r>
      <rPr>
        <b/>
        <vertAlign val="superscript"/>
        <sz val="14"/>
        <rFont val="Arial"/>
        <family val="2"/>
      </rPr>
      <t>1</t>
    </r>
  </si>
  <si>
    <r>
      <t xml:space="preserve">Shared Services and Corporate Cost Allocation </t>
    </r>
    <r>
      <rPr>
        <b/>
        <vertAlign val="superscript"/>
        <sz val="14"/>
        <rFont val="Arial"/>
        <family val="2"/>
      </rPr>
      <t>1</t>
    </r>
  </si>
  <si>
    <r>
      <t xml:space="preserve">Rate (%) </t>
    </r>
    <r>
      <rPr>
        <vertAlign val="superscript"/>
        <sz val="10"/>
        <rFont val="Arial"/>
        <family val="2"/>
      </rPr>
      <t>2</t>
    </r>
  </si>
  <si>
    <r>
      <t xml:space="preserve">Interest ($) </t>
    </r>
    <r>
      <rPr>
        <vertAlign val="superscript"/>
        <sz val="10"/>
        <rFont val="Arial"/>
        <family val="2"/>
      </rPr>
      <t>1</t>
    </r>
  </si>
  <si>
    <t>If financing is in place only part of the year, separately calculate the pro-rated interest in the year and input in the cell.</t>
  </si>
  <si>
    <t>To be completed by Host Distributors ONLY</t>
  </si>
  <si>
    <r>
      <t xml:space="preserve">Distributors should also provide the Net Book Value per class of meter as of December 31, 2010 as well as the number of meters that were removed / stranded.  In preparing this information, distributors should review the Board's letter of January 16, 2007 </t>
    </r>
    <r>
      <rPr>
        <i/>
        <sz val="10"/>
        <rFont val="Arial"/>
        <family val="2"/>
      </rPr>
      <t>Stranded Meter Costs Related to the Installation of Smart Meters</t>
    </r>
    <r>
      <rPr>
        <sz val="10"/>
        <rFont val="Arial"/>
        <family val="2"/>
      </rPr>
      <t xml:space="preserve"> which stated that records were to be kept of the type and number of each meter to support the stranded meter costs.</t>
    </r>
  </si>
  <si>
    <r>
      <t xml:space="preserve">For applicants that adopted IFRS on </t>
    </r>
    <r>
      <rPr>
        <b/>
        <sz val="10"/>
        <color rgb="FFFF0000"/>
        <rFont val="Arial"/>
        <family val="2"/>
      </rPr>
      <t>January 1, 2015</t>
    </r>
    <r>
      <rPr>
        <b/>
        <sz val="10"/>
        <color indexed="8"/>
        <rFont val="Arial"/>
        <family val="2"/>
      </rPr>
      <t xml:space="preserve"> for financial reporting purposes</t>
    </r>
  </si>
  <si>
    <t xml:space="preserve">1  For an applicant that adopted IFRS on January 1, 2015, the PP&amp;E values as of January 1, 2014 under both CGAAP and MIFRS should be the same. </t>
  </si>
  <si>
    <t>Any forecasted One-time costs past 2015 should be fully explained in the application, since distributors were required to adopt IFRS or an alternative accounting standard by January 1, 2015.</t>
  </si>
  <si>
    <t>Consumption (kWh)</t>
  </si>
  <si>
    <t>A</t>
  </si>
  <si>
    <t>Only 50% of 2016 CDM programs are assumed to impact the 2016 load forecast based on the "half-year" rule.</t>
  </si>
  <si>
    <t>Full year impact of persistence of 2015 programs on 2015 load forecast.  2015 CDM program impacts are not in the base forecast.</t>
  </si>
  <si>
    <t>2014 CDM program</t>
  </si>
  <si>
    <t>For the first year of the new 2015-2020 CDM plan, it is assumed that each year's program will achieve an equal amount of new CDM savings.  The new targets for 2015-2020 do not take into account persistence beyond the first year, but the IESO will encourage distributors to promote and implement  CDM plans that will have longer term persistence of savings.  This results in each year's program being about 1/6 (18.67%) of the cumulative 2015-2020 CDM target for kWh savings.  A distributor may propose an alternative approach but would be expected to document in its application why it believes that its proposal is more reasonable.  In its proposal, the distributor should ensure that the sum of the results for each year's CDM program from 2015 to 2020 add up to its 2015-2020 CDM target as established by the IESO.</t>
  </si>
  <si>
    <t>COLLUS PowerStream Corp.</t>
  </si>
  <si>
    <t>Innpower Corporation</t>
  </si>
  <si>
    <t>Newmarket-Tay Power Distribution Ltd.</t>
  </si>
  <si>
    <t>Based on the current methodology and allocation, amounts allocated represent 6% for REI Connection Investments and 17% for Expansion Investments. (EB-2009-0349, 6-10-2010, p. 15, note 9)</t>
  </si>
  <si>
    <r>
      <rPr>
        <b/>
        <sz val="10"/>
        <color indexed="8"/>
        <rFont val="Arial"/>
        <family val="2"/>
      </rPr>
      <t>Note 2:</t>
    </r>
    <r>
      <rPr>
        <sz val="10"/>
        <color indexed="8"/>
        <rFont val="Arial"/>
        <family val="2"/>
      </rPr>
      <t xml:space="preserve"> For the 2016 Test Year, Costs and Revenues of the Direct Benefit are to be included in the test year applicant Rate Base and Revenues.  </t>
    </r>
  </si>
  <si>
    <t>For historical investments, enter these variables for your last cost of service test year.  For 2016 and beyond, enter variables as in the application.</t>
  </si>
  <si>
    <r>
      <rPr>
        <b/>
        <sz val="10"/>
        <rFont val="Arial"/>
        <family val="2"/>
      </rPr>
      <t>Note 2:</t>
    </r>
    <r>
      <rPr>
        <sz val="10"/>
        <rFont val="Arial"/>
        <family val="2"/>
      </rPr>
      <t xml:space="preserve"> For the 2016 Test Year, Costs and Revenues of the Direct Benefit are to be included in the test year applicant Rate Base and Revenues.</t>
    </r>
  </si>
  <si>
    <t>Closing NBV 2016</t>
  </si>
  <si>
    <t>App.2-JC: OM&amp;A Programs Table</t>
  </si>
  <si>
    <t>Customers</t>
  </si>
  <si>
    <t>A list of key references for understanding the Filing Requirements has been embedded in the document below. To access the list of references and associated hyperlinks double-click the icon below.</t>
  </si>
  <si>
    <t>Service Reliability and Quality Indicators</t>
  </si>
  <si>
    <t>Service Reliability</t>
  </si>
  <si>
    <t>Service Quality</t>
  </si>
  <si>
    <t>This table must be completed for the last Board-approved year and the test year.</t>
  </si>
  <si>
    <t>For 2016, please indicate whether the amounts provided are on a forecast or actual basis.</t>
  </si>
  <si>
    <t>Appendix 2-Y - Summary of Impacts to Revenue Requirement from Transition to MIFRS</t>
  </si>
  <si>
    <t>Select the set of appendices that apply</t>
  </si>
  <si>
    <t>Opening Regulatory Gross PP&amp;E as at Jan. 1</t>
  </si>
  <si>
    <t>Depreciation Expense per Appendix 2-BA Fixed Assets, Column J 
 (l)</t>
  </si>
  <si>
    <t>Revised CGAAP (Year 1)</t>
  </si>
  <si>
    <r>
      <t>Opening NBV as at Jan 1</t>
    </r>
    <r>
      <rPr>
        <b/>
        <vertAlign val="superscript"/>
        <sz val="10"/>
        <rFont val="Arial"/>
        <family val="2"/>
      </rPr>
      <t>5</t>
    </r>
  </si>
  <si>
    <t>Depreciation Expense on Current Full Year Additions</t>
  </si>
  <si>
    <r>
      <t xml:space="preserve">Current Full Year Depreciation </t>
    </r>
    <r>
      <rPr>
        <b/>
        <vertAlign val="superscript"/>
        <sz val="10"/>
        <rFont val="Arial"/>
        <family val="2"/>
      </rPr>
      <t>6</t>
    </r>
  </si>
  <si>
    <t>A recalculation should be performed to determine the average remaining life of opening balance of assets (i.e. excluding current year's additions) under the change in policies under CGAAP.  For example, Asset A had a useful life of 20 years under CGAAP without the change in policies.  On January 1 of the year of policy changes, Asset A was 3 years depreciated. As a result, Asset A would have a remaining service life of 17 years (20 years less 3 years) as at January 1 of the year of policy changes.  Due to making the change in policies under CGAAP, management re-assessed the asset useful lives and concluded that the revised useful life of Asset A is now 30 years. Therefore, the average remaining useful life of the opening balance of Asset A is determined to be 27 years (30 years less 3 years) under the revised CGAAP as at January 1 of the year of policy changes.</t>
  </si>
  <si>
    <t>Former CGAAP (Year 1)</t>
  </si>
  <si>
    <t>Revised CGAAP (Year 2)</t>
  </si>
  <si>
    <r>
      <t xml:space="preserve">Current Year Depreciation Expense </t>
    </r>
    <r>
      <rPr>
        <b/>
        <vertAlign val="superscript"/>
        <sz val="10"/>
        <rFont val="Arial"/>
        <family val="2"/>
      </rPr>
      <t>1</t>
    </r>
  </si>
  <si>
    <t xml:space="preserve">(h)= Prior Full Year Deprecation + ((d)*0.5)/(f) </t>
  </si>
  <si>
    <t xml:space="preserve"> Depreciation Expense per Apppendix 2-BA Fixed Assets, Column J
 (l)</t>
  </si>
  <si>
    <r>
      <t xml:space="preserve">Current Full Year Depreciation </t>
    </r>
    <r>
      <rPr>
        <b/>
        <vertAlign val="superscript"/>
        <sz val="10"/>
        <rFont val="Arial"/>
        <family val="2"/>
      </rPr>
      <t>3</t>
    </r>
  </si>
  <si>
    <t>(p) = Prior Full Year Depreciation  + (n) - (o)</t>
  </si>
  <si>
    <t>Year Reflected in Schedule Below</t>
  </si>
  <si>
    <t>Revised CGAAP or MIFRS (Year 3)</t>
  </si>
  <si>
    <t>MIFRS (Year 4)</t>
  </si>
  <si>
    <t>Depreciation Expense per Appendix 2-BA Fixed Assets, Column J
 (l)</t>
  </si>
  <si>
    <t>MIFRS (Year 5)</t>
  </si>
  <si>
    <t xml:space="preserve"> Depreciation Expense per Appendix 2-BA Fixed Assets, Column J
 (l)</t>
  </si>
  <si>
    <t>Reflecting Accounting Policy Changes in Current Application</t>
  </si>
  <si>
    <t>Rebased under Revised CGAAP</t>
  </si>
  <si>
    <r>
      <t xml:space="preserve"> MIFRS and Revised CGAAP</t>
    </r>
    <r>
      <rPr>
        <vertAlign val="superscript"/>
        <sz val="11"/>
        <color indexed="17"/>
        <rFont val="Calibri"/>
        <family val="2"/>
      </rPr>
      <t>1</t>
    </r>
  </si>
  <si>
    <r>
      <t>CGAAP and Revised CGAAP</t>
    </r>
    <r>
      <rPr>
        <vertAlign val="superscript"/>
        <sz val="11"/>
        <color indexed="17"/>
        <rFont val="Calibri"/>
        <family val="2"/>
      </rPr>
      <t>2</t>
    </r>
  </si>
  <si>
    <t>1)  For the transition year (2014), the applicant may file two appendices, one under Revised CGAAP and one under MIFRS, depending on the materiality of impacts.  See the specific instructions under each appendix below for further details.</t>
  </si>
  <si>
    <t>For the transition year (2014), the applicant should file two appendices, one under Revised CGAAP and one under MIFRS if the change between Revised CGAAP and MIFRS is material.  If the change from the accounting standards is not material, the applicant may choose to only provide one appendix under MIFRS.  However, the applicant must also indicate the fixed asset net book value balance under Revised CGAAP, the total dollar value of the change and explain why it is not material.</t>
  </si>
  <si>
    <t>The applicant must provide an explanation of material variances.</t>
  </si>
  <si>
    <t>Assumes the applicant changed capitalization and depreciation policies and reflected these changes in a prior rebasing application</t>
  </si>
  <si>
    <t>Revised CGAAP or MIFRS</t>
  </si>
  <si>
    <r>
      <t>Appendix 2-CH</t>
    </r>
    <r>
      <rPr>
        <b/>
        <vertAlign val="superscript"/>
        <sz val="14"/>
        <rFont val="Arial"/>
        <family val="2"/>
      </rPr>
      <t>1</t>
    </r>
  </si>
  <si>
    <r>
      <t xml:space="preserve">Total for Depreciation </t>
    </r>
    <r>
      <rPr>
        <b/>
        <vertAlign val="superscript"/>
        <sz val="10"/>
        <rFont val="Arial"/>
        <family val="2"/>
      </rPr>
      <t>2</t>
    </r>
  </si>
  <si>
    <r>
      <t xml:space="preserve">Variance </t>
    </r>
    <r>
      <rPr>
        <b/>
        <vertAlign val="superscript"/>
        <sz val="10"/>
        <rFont val="Arial"/>
        <family val="2"/>
      </rPr>
      <t>3</t>
    </r>
  </si>
  <si>
    <t>The appendix should be submitted for the Test Year, Bridge Year and all relevant historical years.  At a minimum , the applicant must provide data for the earlier of: 1) all historical years back to its last rebasing; or 2) at least three years of historical actuals, in addition to Bridge Year and Test Year forecasts.</t>
  </si>
  <si>
    <t>Assumes the applicant made capitalization and depreciation expense accounting policy changes under CGAAP effective January 1, 2012 and has adopted IFRS for financial reporting purposes effective January 1, 2015.  Assumes that the applicant is reflecting these changes in a rebasing application for the first time.</t>
  </si>
  <si>
    <t>Assumes the applicant made capitalization and depreciation expense accounting policy changes under CGAAP effective January 1, 2013 and has adopted IFRS for financial reporting purposes effective January 1, 2015.  Assumes that the applicant is reflecting these changes in a rebasing application for the first time.</t>
  </si>
  <si>
    <t xml:space="preserve">Depreciation exp. adj. from gain or loss on the retirement of assets (pool of like assets) (under MIFRS) </t>
  </si>
  <si>
    <t xml:space="preserve">Total Depreciation Expense </t>
  </si>
  <si>
    <r>
      <t>Current Year Depreciation Expense</t>
    </r>
    <r>
      <rPr>
        <b/>
        <vertAlign val="superscript"/>
        <sz val="10"/>
        <rFont val="Arial"/>
        <family val="2"/>
      </rPr>
      <t>1</t>
    </r>
  </si>
  <si>
    <t>Depreciation Expense per Apppendix 2-BA Fixed Assets, Column J
 (l)</t>
  </si>
  <si>
    <t>Current Year Depreciation Expense</t>
  </si>
  <si>
    <t xml:space="preserve">Current Year Depreciation Expense </t>
  </si>
  <si>
    <t xml:space="preserve">(h)=Prior Full Year Depreciation + ((d)*0.5)/(f) </t>
  </si>
  <si>
    <t xml:space="preserve">(h) = Prior Full Year Deprecation + ((d)*0.5)/(f) </t>
  </si>
  <si>
    <r>
      <t>Current Depreciation Expense</t>
    </r>
    <r>
      <rPr>
        <b/>
        <vertAlign val="superscript"/>
        <sz val="10"/>
        <rFont val="Arial"/>
        <family val="2"/>
      </rPr>
      <t>1</t>
    </r>
  </si>
  <si>
    <t xml:space="preserve">(h)= Prior Full Year Depreciation + ((d)*0.5)/(f) </t>
  </si>
  <si>
    <t>Less Depreciation Expense on Assets Fully Depreciated During the Year
(o)</t>
  </si>
  <si>
    <t>2011 Rebasing Year</t>
  </si>
  <si>
    <t>2017 Rebasing Year</t>
  </si>
  <si>
    <t>2012 Rebasing Year</t>
  </si>
  <si>
    <t xml:space="preserve">     the deferral account closing balance as of 2016 x WACC X # of years of rate rider disposition period</t>
  </si>
  <si>
    <t xml:space="preserve">     the variance account ending balance as of 2016 x WACC X # of years of rate rider disposition period</t>
  </si>
  <si>
    <t>MIFRS (Year 6)</t>
  </si>
  <si>
    <t xml:space="preserve">         2013 Set of Appendices</t>
  </si>
  <si>
    <t>Not applicable as the test year depreciation is already calculated in Appendix 2-CF.  Note that this appendix is not to be used even though depreciation expense calculations will flow through from previous years to this appendix.</t>
  </si>
  <si>
    <t>Rebased under CGAAP</t>
  </si>
  <si>
    <t>Prior</t>
  </si>
  <si>
    <t>Historicals</t>
  </si>
  <si>
    <r>
      <t>·</t>
    </r>
    <r>
      <rPr>
        <sz val="10"/>
        <rFont val="Times New Roman"/>
        <family val="1"/>
      </rPr>
      <t>       </t>
    </r>
  </si>
  <si>
    <t>2012 Set of Appendices (2-CA to 2-CG)</t>
  </si>
  <si>
    <t>2013 Set of Appendices (2-CA to 2-CF)</t>
  </si>
  <si>
    <t>*Depreciation accounting policy changes were mandated by the Board by January 1, 2013. In general, no further changes to an applicant's depreciation policy (i.e.  assets' service lives) are expected after the Board mandated changes by January 1, 2013.  The set of Appendix 2-CA to 2-CG assumes this to be the case.  If the applicant has made any changes to its depreciation policy subsequent to the Board mandated changes,  applicants must identify the change, explain the nature of the change, the reason for the change, quantify the impact of the change, and quantify the depreciation expense before and after the change.</t>
  </si>
  <si>
    <r>
      <t xml:space="preserve">MIFRS </t>
    </r>
    <r>
      <rPr>
        <sz val="10"/>
        <color indexed="8"/>
        <rFont val="Arial"/>
        <family val="2"/>
      </rPr>
      <t>- Note 5</t>
    </r>
  </si>
  <si>
    <r>
      <t xml:space="preserve">MIFRS - </t>
    </r>
    <r>
      <rPr>
        <sz val="10"/>
        <color indexed="8"/>
        <rFont val="Arial"/>
        <family val="2"/>
      </rPr>
      <t>Note 5</t>
    </r>
  </si>
  <si>
    <t>5 Differences due to the adoption of MIFRS are to be shown separately in Account 1575 in Appendix 2-EA as Accounts 1575 and 1576 cannot be used interchangably.</t>
  </si>
  <si>
    <t>Audited Actual Costs Incurred</t>
  </si>
  <si>
    <t xml:space="preserve">Audited Carrying Charges </t>
  </si>
  <si>
    <t>To December 31, 2015</t>
  </si>
  <si>
    <r>
      <t xml:space="preserve">2017 </t>
    </r>
    <r>
      <rPr>
        <b/>
        <vertAlign val="superscript"/>
        <sz val="10"/>
        <rFont val="Arial"/>
        <family val="2"/>
      </rPr>
      <t>3</t>
    </r>
  </si>
  <si>
    <t>Carrying Charges January 1, 2016 to December 31,2016/April 30, 2017 (As appropriate)</t>
  </si>
  <si>
    <r>
      <t xml:space="preserve">Amounts, if any, included in previous Board approved rates (amounts should be negative) </t>
    </r>
    <r>
      <rPr>
        <vertAlign val="superscript"/>
        <sz val="10"/>
        <rFont val="Arial"/>
        <family val="2"/>
      </rPr>
      <t>2</t>
    </r>
  </si>
  <si>
    <t>Closing NBV 2017</t>
  </si>
  <si>
    <r>
      <t>Reflected Accounting Policy Changes in Prior Application</t>
    </r>
    <r>
      <rPr>
        <b/>
        <vertAlign val="superscript"/>
        <sz val="10"/>
        <rFont val="Arial"/>
        <family val="2"/>
      </rPr>
      <t>3</t>
    </r>
  </si>
  <si>
    <t>3) Applicants should provide CGGAP and Revised CGAAP schedules (i.e. as indicated in the first two columns of the above table) to support balances in Account 1576 if the account has yet to be disposed of.</t>
  </si>
  <si>
    <r>
      <rPr>
        <sz val="10"/>
        <rFont val="Symbol"/>
        <family val="1"/>
        <charset val="2"/>
      </rPr>
      <t xml:space="preserve"> </t>
    </r>
    <r>
      <rPr>
        <sz val="10"/>
        <rFont val="Arial"/>
        <family val="2"/>
      </rPr>
      <t>If an applicant changed depreciation policies and reflected these changes in a prior rebasing application, the applicant should complete Appendix 2-CH. The applicant must provide data starting from the earlier of 1) all historical years back to its last rebasing; or 2) at least three years of historical actuals, in addition to Bridge Year and Test Year forecasts.</t>
    </r>
  </si>
  <si>
    <t>1) For an applicant that has a balance in Account 1576 to dispose:</t>
  </si>
  <si>
    <r>
      <t xml:space="preserve">For applicants with a balance in Account 1576 and made capitalization and depreciation expense accounting policy changes under CGAAP effective January 1, </t>
    </r>
    <r>
      <rPr>
        <b/>
        <sz val="10"/>
        <color indexed="10"/>
        <rFont val="Arial"/>
        <family val="2"/>
      </rPr>
      <t xml:space="preserve">2012 </t>
    </r>
  </si>
  <si>
    <r>
      <t xml:space="preserve">For applicants with a balance in Account 1576 and made capitalization and depreciation expense accounting policy changes under CGAAP effective January 1, </t>
    </r>
    <r>
      <rPr>
        <b/>
        <sz val="10"/>
        <color indexed="10"/>
        <rFont val="Arial"/>
        <family val="2"/>
      </rPr>
      <t>2013</t>
    </r>
  </si>
  <si>
    <t>5-year Distribution System Plan Period</t>
  </si>
  <si>
    <r>
      <t>Total Recoverable OM&amp;A from Appendix 2-JB</t>
    </r>
    <r>
      <rPr>
        <b/>
        <vertAlign val="superscript"/>
        <sz val="10"/>
        <rFont val="Arial"/>
        <family val="2"/>
      </rPr>
      <t xml:space="preserve"> 5</t>
    </r>
  </si>
  <si>
    <t>Load Forecast CDM Adjustment Work Form (2017)</t>
  </si>
  <si>
    <t>2015-2020 CDM Program - 2017, third year of the current CDM plan</t>
  </si>
  <si>
    <t>Determination of 2017 Load Forecast Adjustment</t>
  </si>
  <si>
    <t>From each of the 2006-2010 CDM Final Report,  and the 2011, 2012, 2013, 2014 and 2015 CDM Final Reports, issued by the OPA/IESO for the distributor, the distributor should input the "gross" and "net" results of the cumulative CDM savings for 2014 into cells D84 to E88.  The model will calculate the cumulative savings for all programs from 2006 to 2012 and determine the "net" to "gross" factor "g".</t>
  </si>
  <si>
    <t>Persistence of Historical CDM programs to 2015</t>
  </si>
  <si>
    <t>2015 CDM program</t>
  </si>
  <si>
    <t>2006 to 2015 OPA CDM programs:  Persistence to 2017</t>
  </si>
  <si>
    <t>Weight Factor for Inclusion in CDM Adjustment to 2017 Load Forecast</t>
  </si>
  <si>
    <t>Default is 0, but one option is for full year impact of persistence of 2015 CDM programs on 2017 load forecast, but 50% impact in base forecast (first year impact of 2014 CDM programs on 2014 actuals, which is part of the data for the load forecast.</t>
  </si>
  <si>
    <t>2018, 2019 and 2020 are future years beyond the 2017 test year. No impacts of CDM programs beyond the 2017 test year are factored into the test year load forecast.</t>
  </si>
  <si>
    <t>2015-2020 LRAMVA and 2017 CDM adjustment to Load Forecast</t>
  </si>
  <si>
    <t>One manual adjustment for CDM impacts to the 2017 load forecast is made.  There is a different but related threshold amount that is used for the 2017 LRAMVA amount for Account 1568.</t>
  </si>
  <si>
    <t xml:space="preserve">If used to determine the manual CDM adjustment for the system purchased kWh, the proposed loss factor should correspond with the proposed total loss factor calculated in Appendix 2-R </t>
  </si>
  <si>
    <t xml:space="preserve">The Manual Adjustment for the 2017 Load Forecast is the amount manually subtracted from the system-wide load forecast (either based on a purchased or billed basis) derived from the base forecast from historical data. </t>
  </si>
  <si>
    <t>Total for 2017</t>
  </si>
  <si>
    <t>Amount used for CDM threshold for LRAMVA (2017)</t>
  </si>
  <si>
    <t>Manual Adjustment for 2017 Load Forecast (billed basis)</t>
  </si>
  <si>
    <t>Manual Adjustment for 2017 Load Forecast (system purchased basis)</t>
  </si>
  <si>
    <t>The distributor should determine the allocation of the savings to all customer classes in a reasonable manner (e.g. taking into account what programs and what IESO-measured impacts were directed at specific customer classes), for both the LRAMVA and for the load forecast adjustment.</t>
  </si>
  <si>
    <r>
      <t xml:space="preserve">Total Benefits (Current + Accrued) </t>
    </r>
    <r>
      <rPr>
        <b/>
        <vertAlign val="superscript"/>
        <sz val="10"/>
        <rFont val="Arial"/>
        <family val="2"/>
      </rPr>
      <t>2</t>
    </r>
  </si>
  <si>
    <t>Information to be filed in 2017 CoS Application</t>
  </si>
  <si>
    <t>Appendix 2-KA</t>
  </si>
  <si>
    <t>(Not required if Host Distributor has an Embedded Distributor rate class, i.e. a separate row on Sheet 11 of the RRWF.)</t>
  </si>
  <si>
    <t>Please indicate if OPEBs were recovered on a cash or accrual accounting basis for each year since the distributor started to recover OPEBs in distribution rates from customers:</t>
  </si>
  <si>
    <t xml:space="preserve">Notes: </t>
  </si>
  <si>
    <t>(Please add any information to explain the accounting basis used for OPEBs cost recovery in rate setting. If basis is other than Cash or Accrual, an explanation is required.)</t>
  </si>
  <si>
    <t>Please complete the following table:</t>
  </si>
  <si>
    <t>OPEBs (Other Post-Employment Benefits) Costs</t>
  </si>
  <si>
    <t>OPEBS</t>
  </si>
  <si>
    <t>Amounts included in Rates</t>
  </si>
  <si>
    <t xml:space="preserve">     OM&amp;A</t>
  </si>
  <si>
    <t xml:space="preserve">     Capital</t>
  </si>
  <si>
    <t xml:space="preserve">     Total</t>
  </si>
  <si>
    <t>Paid benefit amounts</t>
  </si>
  <si>
    <t>Net excess amount included in rates relative to amounts actually paid.</t>
  </si>
  <si>
    <t>Please describe what the distributor has done with the recoveries in excess of cash payments:</t>
  </si>
  <si>
    <t>App.2-KA: OPEBs (Other Post-Employment Benefits) Costs</t>
  </si>
  <si>
    <t xml:space="preserve">     O&amp;M per customer</t>
  </si>
  <si>
    <t xml:space="preserve">     Admin per customer</t>
  </si>
  <si>
    <t xml:space="preserve">     Total OM&amp;A per customer</t>
  </si>
  <si>
    <t>OM&amp;A cost per FTE</t>
  </si>
  <si>
    <t xml:space="preserve">     O&amp;M per FTE</t>
  </si>
  <si>
    <t xml:space="preserve">     Admin per FTE</t>
  </si>
  <si>
    <t xml:space="preserve">     Total OM&amp;A per FTE</t>
  </si>
  <si>
    <t xml:space="preserve">     O&amp;M</t>
  </si>
  <si>
    <t xml:space="preserve">     Admin Expenses</t>
  </si>
  <si>
    <t>OM&amp;A Costs</t>
  </si>
  <si>
    <t>The method of calculating the number of customers must be identified. Should be linked back to Appendix 2-IA</t>
  </si>
  <si>
    <t>For the test year and in the subsequent four years of the DSP period, the applicant should take into account the system O&amp;M (line X of Appendix 2-AB) in developing its forecasted OM&amp;A. Admin expenses beyond the test year also need to be forecasted (separately).</t>
  </si>
  <si>
    <t>App.2-CA: Year 1 Depreciation and Amortization Expense (Old CGAAP)</t>
  </si>
  <si>
    <t>App.2-CB: Year 1 Depreciation and Amortization Expense (New CGAAP)</t>
  </si>
  <si>
    <t>App.2-CC: Year 2 Depreciation and Amortization Expense (New CGAAP)</t>
  </si>
  <si>
    <t>App.2-CD: Year 3 Depreciation and Amortization Expense (New CGAAP or MIFRS)</t>
  </si>
  <si>
    <t>App.2-CE: Year 4 Depreciation and Amortization Expense (MIFRS)</t>
  </si>
  <si>
    <t>App.2-CF: Year 5 Depreciation and Amortization Expense (MIFRS)</t>
  </si>
  <si>
    <t>App.2-CG: Year 6 Depreciation and Amortization Expense (Old CGAAP)</t>
  </si>
  <si>
    <t>App.2-CH: Depreciation and Amortization Expense (MIFRS)</t>
  </si>
  <si>
    <r>
      <rPr>
        <sz val="11"/>
        <color rgb="FF00B0F0"/>
        <rFont val="Calibri"/>
        <family val="2"/>
        <scheme val="minor"/>
      </rPr>
      <t>Scenario 2</t>
    </r>
    <r>
      <rPr>
        <sz val="11"/>
        <color theme="1"/>
        <rFont val="Calibri"/>
        <family val="2"/>
        <scheme val="minor"/>
      </rPr>
      <t xml:space="preserve">:  </t>
    </r>
    <r>
      <rPr>
        <b/>
        <sz val="11"/>
        <color theme="1"/>
        <rFont val="Calibri"/>
        <family val="2"/>
        <scheme val="minor"/>
      </rPr>
      <t>Investments in the Test Year and Beyond.</t>
    </r>
    <r>
      <rPr>
        <sz val="11"/>
        <color theme="1"/>
        <rFont val="Calibri"/>
        <family val="2"/>
        <scheme val="minor"/>
      </rPr>
      <t xml:space="preserve">  Distributor plans to make investments in 2017 and/or beyond.  These investments should be added to 2-FA in the appropriate year.</t>
    </r>
  </si>
  <si>
    <t>For historical investments, enter these variables for your last cost of service test year.  For 2017 and beyond, enter variables as in the application.</t>
  </si>
  <si>
    <t>Rate Riders are not calculated for the Test Year as these assets and costs are already in the distributor's rate base.</t>
  </si>
  <si>
    <t>Rate Riders are not calculated for the Test Year as these assets and costs are already in the distributor's rate base/revenue requirement.</t>
  </si>
  <si>
    <t>Energy + Inc.</t>
  </si>
  <si>
    <t>Hydro One Networks Inc. - Norfolk</t>
  </si>
  <si>
    <t>Peterborough Distribution Inc.</t>
  </si>
  <si>
    <r>
      <t xml:space="preserve">CGAAP </t>
    </r>
    <r>
      <rPr>
        <b/>
        <vertAlign val="superscript"/>
        <sz val="10"/>
        <rFont val="Arial"/>
        <family val="2"/>
      </rPr>
      <t>1</t>
    </r>
  </si>
  <si>
    <t xml:space="preserve">An applicant must provide a summary of the dollar impacts of MIFRS to each component of the revenue requirement (e.g. rate base, operating costs, etc.), including the overall impact on the proposed revenue requirement.  Accordingly,  the applicant must identify financial differences and resulting revenue requirement impacts arising from the adoption of  MIFRS as compared to CGAAP.  If the applicant is reflecting the changes in capitalization and depreciation policies for the first time in a rebasing application, then a comparison between MIFRS and CGAAP before the change in accounting policies should be completed.  If the applicant changed capitalization and depreciation policies and  reflected these changes in a prior rebasing application, then a comparison between MIFRS and CGAAP after the change in accounting policies should be completed.  </t>
  </si>
  <si>
    <t>The applicant must ensure that all asset disposals have been clearly identified in the Chapter 2 Appendices for all historic, bridge and test years.  Where a distributor for general financial reporting purposes under IFRS has accounted for the amount of gain or loss on the retirement of assets in a pool of like assets as a charge or credit to income, for reporting and rate application filings, the distributor shall reclassify such gains and losses as depreciation expense, and disclose the amount separately.</t>
  </si>
  <si>
    <r>
      <t xml:space="preserve">Disposals </t>
    </r>
    <r>
      <rPr>
        <b/>
        <vertAlign val="superscript"/>
        <sz val="10"/>
        <rFont val="Arial"/>
        <family val="2"/>
      </rPr>
      <t>6</t>
    </r>
  </si>
  <si>
    <t>Instructions on Customer, Connections, Load Forecast and Revenues Data and Analysis</t>
  </si>
  <si>
    <t>This sheet requires no inputs, but serves as a summary of the hiostorical and forecasted data to be provided with respect to:</t>
  </si>
  <si>
    <t>1)</t>
  </si>
  <si>
    <t>Customers and connections</t>
  </si>
  <si>
    <t>2)</t>
  </si>
  <si>
    <t>3)</t>
  </si>
  <si>
    <t>Demand (kW or kCA) for applicable demand-billed customer classes</t>
  </si>
  <si>
    <t>4)</t>
  </si>
  <si>
    <t>Revenues</t>
  </si>
  <si>
    <t>Appendix 2-IB (formerly 2-IA) is the appendix spreadsheet that the distributor populates, and the spreadsheet is laid out for inputting the necessary data. The spreadsheet also calculates necessary statistics such as average consumption per customer/connection per year, and variances and % annual changes, as necessary.</t>
  </si>
  <si>
    <t>The distributor is required to provide suitable documentation in Exhibit 3 of its Application, in accordance with section 2.3.2 of Chaoter 2 of the Filing Requirements. This would include explanations for material variations or of trends in the data.</t>
  </si>
  <si>
    <t>The distributor is also required to input its test year customer/connection and load forecast in Sheet 10 - Load Forecast of the Revenue Requirement Work Form. This sheet should also be updated to reflect changes in the load forecast made through the stages of processing of the rates application.</t>
  </si>
  <si>
    <t>The applicant must demonstrate the historical accuracy of its load forecast approach for at least the past 5 years. Such analysis will cover both customer/connections and consumption (kWh) and demand (kW or kVA) by providing the following, as shown in the following table:</t>
  </si>
  <si>
    <t>Bridge Year (Forecast)</t>
  </si>
  <si>
    <t>Test Year (Forecast)</t>
  </si>
  <si>
    <t>Calendar Year</t>
  </si>
  <si>
    <t>(for 2017 Cost of Service)</t>
  </si>
  <si>
    <r>
      <t xml:space="preserve">Board-approved </t>
    </r>
    <r>
      <rPr>
        <vertAlign val="superscript"/>
        <sz val="10"/>
        <rFont val="Arial"/>
        <family val="2"/>
      </rPr>
      <t>(2)</t>
    </r>
  </si>
  <si>
    <t>The spreadsheet summarizes the data provided and the analyses (variance or year-over-year) that are required. Data are required to be provided on a customer class level. Consumption (kWh) must also be provided on a total distribution system level.</t>
  </si>
  <si>
    <t>Weather-actual</t>
  </si>
  <si>
    <t>Weather-normalized</t>
  </si>
  <si>
    <r>
      <t xml:space="preserve">Actual </t>
    </r>
    <r>
      <rPr>
        <vertAlign val="superscript"/>
        <sz val="10"/>
        <rFont val="Arial"/>
        <family val="2"/>
      </rPr>
      <t>(1)</t>
    </r>
  </si>
  <si>
    <t>Demand (kW or kVA)</t>
  </si>
  <si>
    <r>
      <t xml:space="preserve">Consumption (kWh) </t>
    </r>
    <r>
      <rPr>
        <b/>
        <vertAlign val="superscript"/>
        <sz val="10"/>
        <rFont val="Arial"/>
        <family val="2"/>
      </rPr>
      <t>(3)</t>
    </r>
  </si>
  <si>
    <t>Appendix 2-IB</t>
  </si>
  <si>
    <t>App.2-IA: Load Forecast Data Instructions</t>
  </si>
  <si>
    <t>App.2-IB:  Actual and Forecast Load and Customer Data</t>
  </si>
  <si>
    <t>“Weather-normalized actuals” are estimated by replacing the actual weather-related values (typically Heating Degree Days (HDD) and Cooling Degree Days (CDD)) by the “typical” or “weather-normalized” values. These “weather-normalized HDD and CDD values would be the same as used to estimate the Bridge Year and Test Year forecasts.</t>
  </si>
  <si>
    <t>For 2017 Cost of Service rebasers, the typical situation is that 2013 would have been the most recent cost of service rebasing application. If the most recent rebasing application was for a rate year other than 2013, that year should be used. An applicant must provide historical information back to the greater of: a) at least five (5) historical actual years; or b) to its last cost of service application.</t>
  </si>
  <si>
    <t>Consumption must be provided on a total distribution system basis as well as at a customer class level.</t>
  </si>
  <si>
    <t>Revenues exclude commodity charges.</t>
  </si>
  <si>
    <t>Geometric Mean</t>
  </si>
  <si>
    <t>Year-over-year</t>
  </si>
  <si>
    <t>Versus Board-approved</t>
  </si>
  <si>
    <t>Is the customer class billed on consumption (kWh) or demand (kW or kVA)?</t>
  </si>
  <si>
    <t>Customer, Connections, Load Forecast and Revenues Data and Analysis</t>
  </si>
  <si>
    <t>Actual (Weather actual)</t>
  </si>
  <si>
    <t>This sheet is to be filled in accordance with the instructions documented in section 2.3.2 of Chapter 2 of the Filing Requirements for Distribution Rate Applications, in terms of one set of tables per customer class.</t>
  </si>
  <si>
    <t>Color coding for Cells:</t>
  </si>
  <si>
    <t>Data input</t>
  </si>
  <si>
    <t>Drop-down List</t>
  </si>
  <si>
    <t>No data entry required</t>
  </si>
  <si>
    <t>Blank or calculated value</t>
  </si>
  <si>
    <t>Distribution System (Total)</t>
  </si>
  <si>
    <t>Customer Class Analysis (one for each Customer Class, excluding MicroFIT and Standby)</t>
  </si>
  <si>
    <t>Test Year Versus Board-approved</t>
  </si>
  <si>
    <t>GS &gt; 50 kW</t>
  </si>
  <si>
    <t>App.2-YA: One-Time Incremental IFRS Transition Costs</t>
  </si>
  <si>
    <t>App.2-N: Shared Services and Corporate Cost Allocation</t>
  </si>
  <si>
    <t>Adopted IFRS in 2015</t>
  </si>
  <si>
    <t>If an applicant is reflecting changes to its depreciation policies for the first time in a rebasing application, the applicant should complete Appendix 2-CA to 2-CG (changes made in 2012) or Appendix 2-CA to 2-CF (changes made in 2013).   In this set of appendices, the applicant will need to indicate the year it made the accounting policy changes.  The applicant must provide data starting from the year it made changes to its capitalization and depreciation policies.</t>
  </si>
  <si>
    <t xml:space="preserve">Appendix 2-Cx - Depreciation and Amortization </t>
  </si>
  <si>
    <t xml:space="preserve">Applicants are to provide Appendix 2-Cx in accordance with the years and corresponding accounting standards listed in the above table.  </t>
  </si>
  <si>
    <t>Appendix 2-YA</t>
  </si>
  <si>
    <t>component is different under MIFRS</t>
  </si>
  <si>
    <t>App.2-A: List of Requested Approvals</t>
  </si>
  <si>
    <t>List of Requested Approvals</t>
  </si>
  <si>
    <t>Additional requests may be added by copying and pasting blank input rows, as needed.</t>
  </si>
  <si>
    <t>If additional requests arise, or requested approvals are removed, during the processing of the application, the distributor should update this list.</t>
  </si>
  <si>
    <t>Appendix 2-A</t>
  </si>
  <si>
    <t>The method of calculating the number of customers must be identified. Should correspond with data provided in Appendix 2-IB</t>
  </si>
  <si>
    <t>Professional accounting fees</t>
  </si>
  <si>
    <t>Professional legal fees</t>
  </si>
  <si>
    <t>Salaries, wages and benefits of staff added to support the transition to IFRS</t>
  </si>
  <si>
    <t>Associated staff training and development costs</t>
  </si>
  <si>
    <t>Costs related to system upgrades, or replacements or changes where IFRS was the major reason for conversion</t>
  </si>
  <si>
    <t>Appendices for the Tariff of Rates and Charges at Current and Proposed Rates, and for the Bill Impacts are now in a separate spreadsheet model. These appendices were formerly 2-Z and 2-W.</t>
  </si>
  <si>
    <t>2) For applicants that are reflecting accounting policy changes for the first time in a rebasing application, the applicant must file two appendices in the year that the applicant implemented changes to its capitalization and depreciation policies (2012 or 2013), one before and one after the policy changes.</t>
  </si>
  <si>
    <t xml:space="preserve">The typical applicant is expected to have made capitalization and depreciation policy changes under CGAAP as permitted by the Board on January 1, 2012 or mandated by the Board by January 1, 2013, and adopted IFRS for reporting purposes on January 1, 2015 (transition date January 1, 2014).  Some distributors filing for 2017 rates have rebased with these accounting changes reflected in a prior rebasing application.  If that is the case, information relating to pre-accounting policy changes is not generally required.  The information to be provided by applicants will depend on when the accounting policy changes were made and when they last rebased.  In general, applicants should provide the following information in the appendices: </t>
  </si>
  <si>
    <t>If an applicant changed capitalization and depreciation policies effective January 1, 2013, the applicant must complete Appendix 2-EC</t>
  </si>
  <si>
    <t>2) For an applicant that has a balance in Account 1575 to dispose:</t>
  </si>
  <si>
    <t>The applicant must complete 2-EA</t>
  </si>
  <si>
    <t xml:space="preserve">If an applicant changed capitalization and depreciation policies effective January 1, 2012, the applicant must complete Appendix 2-EB </t>
  </si>
  <si>
    <t xml:space="preserve"> If the applicant did not make any further PP&amp;E accounting policy changes beyond the capitalization and depreciation policy changes as mandated by the Board by January 1, 2013 (i.e. no further changes made on transition to IFRS), the applicant must indicate this and does not need to complete Appendix 2-EA.</t>
  </si>
  <si>
    <t xml:space="preserve">1.  Applicants must provide a summary of the dollar impacts of MIFRS to each component of the revenue requirement (e.g. rate base, operating costs, etc.), including the overall impact on the proposed revenue requirement.  Accordingly, the applicants must identify financial differences and resulting revenue requirement impacts arising from the adoption of  MIFRS as compared to CGAAP.  If the applicant is reflecting the changes in capitalization and depreciation policies for the first time in a rebasing application, then the comparison in the above table should be between MIFRS and CGAAP before the change in accounting policies. If the applicant changed capitalization and depreciation policies and reflected these changes in a previous rebasing application, the comparison in the above table should be between MIFRS and CGAAP after the change in accounting policies.  </t>
  </si>
  <si>
    <t>Did you update your depreciation and capitalization policies and reflect the changes in policies in a prior rebasing application?</t>
  </si>
  <si>
    <t>When did you update your actual depreciation and capitalization policies?</t>
  </si>
  <si>
    <t>Identify the year the applicant adopted IFRS for financial reporting purposes</t>
  </si>
  <si>
    <t>The Cost of Service Rate Application Schematic is a flowchart that is included as a guide for the components of an application. The schematic demonstrates how demand and costs interrelate to derive the revenue requirement and how the revenue requirement is allocated between classes and through fixed/variable splits to derive rates that will be compensatory for the annual revenue requirement, based on the the forecasted demand.  There is no form to be filled out; therefore, this Schedule is not required to be filed.</t>
  </si>
  <si>
    <t>1. Historical “previous plan” data is not required unless a plan has previously been filed. However, use the last Board-approved, at least on a Total (Capital) Expenditure basis for the last cost of service rebasing year, and the applicant should include their planned budget in each subsequent historical year up to and including the Bridge Year.</t>
  </si>
  <si>
    <t>2. Indicate the number of months of 'actual' data included in the last year of the Historical Period (normally a 'bridge' year):</t>
  </si>
  <si>
    <t>For the test year, the applicant should take into account the system O&amp;M (line 22 of Appendix 2-AB) in developing its forecasted OM&amp;A.</t>
  </si>
  <si>
    <t>2011 CDM Programs</t>
  </si>
  <si>
    <t>2012 CDM Programs</t>
  </si>
  <si>
    <t>2013 CDM Programs</t>
  </si>
  <si>
    <t>2014 CDM Programs</t>
  </si>
  <si>
    <t>Excluding Major Event Days</t>
  </si>
  <si>
    <t>2011 - 2015</t>
  </si>
  <si>
    <t>Appendix 2-I was initially developed to help determine what would be the amount of CDM savings needed in each year to cumulatively achieve the four year 2011-2014 CDM target.  This then determined the amount of kWh (and with translation, kW of demand) savings that were converted into dollar balances for the LRAMVA, and also to determine the related adjustment to the load forecast to account for OPA-reported savings.  Beginning for the 2015 year, it has been adjusted because the persistence of 2011-2014 CDM programs will be an adjustment to the load forecast in addition to the estimated savings for the first year (2015) for the new 2015-2020 CDM plan.</t>
  </si>
  <si>
    <r>
      <t>2017 is the third year of the six-year (2015-2020) Conservation First program. Final results for the 2011-14 program were issued in the fall of 2015, and the program in completed, although in some instances disposition of the amounts has been deferred. For the purposes of the 2015-2020 LRAMVA, and the impact of CDM on the load forecast, CDM programs in 2014 and earlier are implicit in the historical data on which the base load forecast is developed. Only impacts of 2015 to 2017 CDM programs need to be reflected in the manual load forecast adjustment and for the LRAMVA threshold amount in 2017 and carrying forward, although the half-year impact of 2015 CDM programs on the 2015 historical data is also assumed to be reflected in the base load forecast.</t>
    </r>
    <r>
      <rPr>
        <sz val="10"/>
        <rFont val="Arial"/>
        <family val="2"/>
      </rPr>
      <t xml:space="preserve">  </t>
    </r>
  </si>
  <si>
    <t>The new six year (2015-2020) CDM program works similarly to the previous 2011-2014 CDM program, meaning that distributors will offer programs each year that, over the six years (from January 1, 2015 to December 31, 2020) will strive to cumulatively achieve savings meeting the new six year CDM target. In other words, distributors will be able to offer and execute programs on a basis so that cumulatively over the period, the measured impacts, including persistence, of the CDM programs will accumulate towards achieving each distributor's 2015-2020 CDM target.</t>
  </si>
  <si>
    <r>
      <t xml:space="preserve">Note: </t>
    </r>
    <r>
      <rPr>
        <sz val="10"/>
        <rFont val="Arial"/>
        <family val="2"/>
      </rPr>
      <t>The default formulae in the above table assume that 1/21 of the 2015-2020 kWh CDM target is required each year so that, including persistence, 100% of the kWh target is achieved by the end of 2020.  The distributor can input the 2015 CDM savings, including persistence from 2016 to 2020, once the reports become available. The distributor can also input estimates or forecasts of the 2016 and 2017 CDM programs if it believes that these are more realistic; such information would typically be derived from the CDM plans that the distributor has filed with the IESO. Similarly, CDM savings and persistence into future years can be estimated for 2018, 2019 and 2020 CDM programs. However, the distributor will have to support its proposals for estimated or forecasted savings, particularly beyond the 2017 test year. The sum of cumulative savings, including persistence, should equal the target entered into cell A25.</t>
    </r>
  </si>
  <si>
    <t>The Board determined that the "net" number should be used in its Decision and Order with respect to Centre Wellington Hydro Ltd.'s 2013 Cost of Service rates (EB-2012-0113).  This approach has also been used in Settlement Agreements accepted by the Board in other 2013 and 2014 applications.  The distributor should select whether the adjustment is done on a "net" or "gross" basis, but must support a proposal for the adjustment being done on a "gross" basis.  Sheet 2-I defaults to the adjustment being done on a "net" basis consistent with Board policy and practice.</t>
  </si>
  <si>
    <t>The default values below represent the factor used for how each year's CDM program is factored into the manual CDM adjustment.  Distributors can choose alternative weights of "0", "0.5" or "1" from the drop-down menu for each cell, but must support its alternatives.</t>
  </si>
  <si>
    <t>These factors do not mean that CDM programs are excluded, but the assumption that impacts of previous year CDM programs are already implicitly reflected in the actual data for historical years that are used to derive the load forecast prior to any manual CDM adjustment for the 2017 test year.</t>
  </si>
  <si>
    <t>The Amount used for the CDM threshold of the LRAMVA is the kWh that will be used to determine the base amount for the LRAMVA balance for 2017, for assessing performance against the five-year target.</t>
  </si>
  <si>
    <t>If the distributor has developed their load forecast on a system purchased basis, then the manual adjustment should be on a system purchased basis, including the adjustment for losses.  If the load forecast has been developed on a billed basis, either on a system basis or on a class-specific basis, the manual adjustment should be on a billed basis, excluding losses.</t>
  </si>
  <si>
    <t>Manual adjustment uses "gross" versus "net" (i.e. numbers multiplied by (1 + g).  The Weight factor is also used to calculate the impact of each year's program on the CDM adjustment to the 2017 load forecast.</t>
  </si>
  <si>
    <t>(Yes/No)</t>
  </si>
  <si>
    <r>
      <t>1</t>
    </r>
    <r>
      <rPr>
        <b/>
        <sz val="10"/>
        <rFont val="Arial"/>
        <family val="2"/>
      </rPr>
      <t xml:space="preserve"> </t>
    </r>
    <r>
      <rPr>
        <sz val="10"/>
        <rFont val="Arial"/>
        <family val="2"/>
      </rPr>
      <t>If an applicant wishes to use headcount, it must also file the same schedule on an FTE basis.</t>
    </r>
  </si>
  <si>
    <r>
      <rPr>
        <b/>
        <vertAlign val="superscript"/>
        <sz val="10"/>
        <rFont val="Arial"/>
        <family val="2"/>
      </rPr>
      <t>2</t>
    </r>
    <r>
      <rPr>
        <sz val="10"/>
        <rFont val="Arial"/>
        <family val="2"/>
      </rPr>
      <t xml:space="preserve"> Current employee benefits, plus Pension and Other Post-Employment Benefits costs, as recorded for recovery in distribution rates. Should be consistent with OPEBs costs as documented in Appendix 2-KA.</t>
    </r>
  </si>
  <si>
    <t>The distributor must fill out the following sheet with the complete list of specific approvals requested and relevant section(s) of the legislation must be provided. All approvals, including accounting orders (deferral and variance accounts) new rate classes, revised specific service charges or retail service charges which the applicant is seeking, must be separately identified, as well being clearly documented in the appropriate sections of the application.</t>
  </si>
  <si>
    <t>Unmetered Scattered Load</t>
  </si>
  <si>
    <r>
      <rPr>
        <b/>
        <sz val="10"/>
        <rFont val="Arial"/>
        <family val="2"/>
      </rPr>
      <t>Note:</t>
    </r>
    <r>
      <rPr>
        <sz val="10"/>
        <rFont val="Arial"/>
        <family val="2"/>
      </rPr>
      <t xml:space="preserve"> If there are more than ten (10) customer classes, please contact OEB Staff to add tables for additional customer classes.</t>
    </r>
  </si>
  <si>
    <t>On-Going</t>
  </si>
  <si>
    <t>One-Time</t>
  </si>
  <si>
    <t>Mark Danelon, Director, Finance &amp; Regulatory Affairs</t>
  </si>
  <si>
    <t>519-776-5291 ext 204</t>
  </si>
  <si>
    <t>mdanelon@elkenergy.com</t>
  </si>
  <si>
    <t>Yes</t>
  </si>
  <si>
    <t>E.L.K. Solutions Inc.</t>
  </si>
  <si>
    <t>Town of Essex</t>
  </si>
  <si>
    <t>Streetlighting, Sentinel Lighting and Water Heaters</t>
  </si>
  <si>
    <t>Cost Base plus mark-up</t>
  </si>
  <si>
    <t>Billing Function for Water Department</t>
  </si>
  <si>
    <t>Non-Management (union and non-union, directors and retirees)</t>
  </si>
  <si>
    <t>2013 Actuals</t>
  </si>
  <si>
    <t>Approval of the Distribution System Plan as outlined in Exhibit 2.</t>
  </si>
  <si>
    <t>Approval of revised low voltage rates as proposed and described in Exhibit 8.</t>
  </si>
  <si>
    <t>Approval to adjust the Retail Transmission Rates - Network and Connection as detailed in Exhibit 8.</t>
  </si>
  <si>
    <t>Approval to continue to charge Wholesale Market and Rural Rate Protection Charges approved in the Board Decision and Order in the matter of E.L.K.`s 2016 Distribution Rates (EB-2015-0064).</t>
  </si>
  <si>
    <t>Approval to continue the Specific Service Charges and Transformer Allowance approved in the Board Decision and Order in the matter of E.L.K.`s 2016 Distribution Rates (EB-2015-0064).</t>
  </si>
  <si>
    <t>Approval of the proposed loss factors as detailed in Exhibit 8.</t>
  </si>
  <si>
    <t>Customer Letters, E-Blast, Bill Inserts</t>
  </si>
  <si>
    <t>Conservation and Usage Reduction for Small Business and Residential and Low Income.  Programs available to manage peak demand.</t>
  </si>
  <si>
    <t>General Awareness is being promoted.  Increase awareness, reduce consumption and cost.</t>
  </si>
  <si>
    <t>Outreach to Essex Chamber of Commerce, Local B.I.A.</t>
  </si>
  <si>
    <t>Outreach to Local Area Foodbanks, Local Social Service Agency</t>
  </si>
  <si>
    <t>Conservation and Usage Reduction for Small Business and Residential and Low Income</t>
  </si>
  <si>
    <t>Complete Re-design of E.L.K. Energy Website</t>
  </si>
  <si>
    <t>Rate changes and impacts, great ability to reseach and gain greater understanding and awareness of industry and bill.</t>
  </si>
  <si>
    <t xml:space="preserve">e-Services portal enables future enhancement </t>
  </si>
  <si>
    <t>Customer Education Literature</t>
  </si>
  <si>
    <t>E.L.K. has created a Customer Education Section at the front of the office that has brochures, bill inserts, TOU info , Conservation info etc and staff are always willing and ready to answer questions.</t>
  </si>
  <si>
    <t>E-Billing/Customer Connect - Online Account Services</t>
  </si>
  <si>
    <t>E.L.K. provides access to customer bills and consumption data</t>
  </si>
  <si>
    <t>E.L.K. has offering to customers based on input received from customers.  This also reduces E.L.K.'s carbon footprint.</t>
  </si>
  <si>
    <t>Financial Assistance Program</t>
  </si>
  <si>
    <t>E.L.K. provides support through partnerships with the provinces Low Income Energy Assistance Program.  This emergency financial assistance program are designed to help low income customers who have difficulty making their electricity bill payments</t>
  </si>
  <si>
    <t>E.L.K. promotes and continues to promote verbally and in writing on a monthly basis about the financial assistance programs available.</t>
  </si>
  <si>
    <t>Regional Planning Engagements</t>
  </si>
  <si>
    <t>E.L.K. has partipated in all Regional Planning Initiatives with Government and Municipalities.</t>
  </si>
  <si>
    <t>Increased Functionality with Phone System</t>
  </si>
  <si>
    <t>Greater communication ability</t>
  </si>
  <si>
    <t>Notification of rate changes, new e billing features</t>
  </si>
  <si>
    <t>Oraclepoll Research Group Telephone Survey</t>
  </si>
  <si>
    <t>E.L.K. has since engaged Greensaver to assist in the development of an entire Social Media Stream to allow for further option for customers to connect with E.L.K.</t>
  </si>
  <si>
    <t>Affordability</t>
  </si>
  <si>
    <t>Power quality and reliability</t>
  </si>
  <si>
    <t>Line Capacitors,
Automatic Reclose Switches</t>
  </si>
  <si>
    <t>Customer service quality</t>
  </si>
  <si>
    <t xml:space="preserve">Satisfaction surveys </t>
  </si>
  <si>
    <t>Value and affordability of service</t>
  </si>
  <si>
    <t>Technological and self-service enhancements</t>
  </si>
  <si>
    <t>E-Service Ontario's Green Button Policy</t>
  </si>
  <si>
    <t>Communicate unplanned outage information</t>
  </si>
  <si>
    <t xml:space="preserve">Initial stages of a possible outage management system </t>
  </si>
  <si>
    <t>Consumption information</t>
  </si>
  <si>
    <t xml:space="preserve">E-Services portal enables future enhancement </t>
  </si>
  <si>
    <t>OEL meetings and Channel Partner/Contractor events/Geospatial analysis</t>
  </si>
  <si>
    <t>Educate re: CDM programs and incentives</t>
  </si>
  <si>
    <t>Spend what is needed to maintain the current level of outages</t>
  </si>
  <si>
    <t>Spend what is needed to maintain the current length of unexpected outages</t>
  </si>
  <si>
    <t>Invest what it takes to replace the system’s aging infrastructure to maintain system reliability</t>
  </si>
  <si>
    <t>Rebuilds - Pole Replacements, Transformer Replacements, Vault Replacements and General Rebuilds</t>
  </si>
  <si>
    <t>2015 Actual</t>
  </si>
  <si>
    <t>Payroll &amp; Benefits</t>
  </si>
  <si>
    <t>O/H &amp; U/G Maintenance Expenses</t>
  </si>
  <si>
    <t>Meter Reading/Customer Billing</t>
  </si>
  <si>
    <t>Third Party Professional Services</t>
  </si>
  <si>
    <t>Bad Debt Write-Offs</t>
  </si>
  <si>
    <t>Energy Conservation</t>
  </si>
  <si>
    <t>Customer Service, Billing &amp; Collecting</t>
  </si>
  <si>
    <t>Bad Debts</t>
  </si>
  <si>
    <t>Customer Engagement</t>
  </si>
  <si>
    <t>Regulatory Reporting and Assessments</t>
  </si>
  <si>
    <t>Office Information &amp; Technology</t>
  </si>
  <si>
    <t>Meter Maintenance &amp; Readings</t>
  </si>
  <si>
    <t>Overhead Operations/Maintenance</t>
  </si>
  <si>
    <t>Underground Operations/Maintenance</t>
  </si>
  <si>
    <t>Distribution System Maintenance</t>
  </si>
  <si>
    <t>Education, Health &amp; Safety</t>
  </si>
  <si>
    <t>Building &amp; Maintenance/Fleet</t>
  </si>
  <si>
    <t>The recoveries in excess of cash payments have been held in the bank account to be used to fund the expense when paid.</t>
  </si>
  <si>
    <t>TD Term Loan</t>
  </si>
  <si>
    <t>TD Bank</t>
  </si>
  <si>
    <t>Third-Party</t>
  </si>
  <si>
    <t>Fixed Rate</t>
  </si>
  <si>
    <t>Shareholder Debt</t>
  </si>
  <si>
    <t>Affiliated</t>
  </si>
  <si>
    <t>2000</t>
  </si>
  <si>
    <t>Serv Tx Requests</t>
  </si>
  <si>
    <t>Rent from Electric Property</t>
  </si>
  <si>
    <t>Other Utility Operating Income</t>
  </si>
  <si>
    <t>Other Electric Revenues</t>
  </si>
  <si>
    <t>Miscellaneous Service Charges</t>
  </si>
  <si>
    <t>Revenues from merchandise, Jobbing</t>
  </si>
  <si>
    <t>Costs &amp; expenses of merchandising, jobbing</t>
  </si>
  <si>
    <t>Gain on Disposition of utility &amp; other property</t>
  </si>
  <si>
    <t>Revenues from non-utility operations</t>
  </si>
  <si>
    <t>Expenses of non-utility operations</t>
  </si>
  <si>
    <t>Miscellaneous non-operating income</t>
  </si>
  <si>
    <t>Unrealized Gain (Loss) on Investment</t>
  </si>
  <si>
    <t>Regulatory Debits</t>
  </si>
  <si>
    <t>Interest &amp; Dividend Income</t>
  </si>
  <si>
    <t>Interest and Dividend Income</t>
  </si>
  <si>
    <t>Meters- Residential SM Including Repeaters and Data Collectors</t>
  </si>
  <si>
    <t>Meters- Industrial/Commercial</t>
  </si>
  <si>
    <t>Meters- Wholesale</t>
  </si>
  <si>
    <t>Meters- CT's &amp; PT's</t>
  </si>
  <si>
    <t>Other Installations on Customer's Premises</t>
  </si>
  <si>
    <t>Transportation Equipment- Heavy Vehicle</t>
  </si>
  <si>
    <t>Transportation Equipment- Light Vehicle</t>
  </si>
  <si>
    <t>Transportation Equipment- Underground</t>
  </si>
  <si>
    <t>Sentinel Lighting Rentals</t>
  </si>
  <si>
    <t>Line Transformers- Pad Mount Switchgear</t>
  </si>
  <si>
    <t>Line Transformers- UG Found &amp; UG Vaults</t>
  </si>
  <si>
    <t>Building &amp; Fixtures</t>
  </si>
  <si>
    <t>Office Furniture &amp; Equipment</t>
  </si>
  <si>
    <t>Computer Equipment - Software</t>
  </si>
  <si>
    <t>Transportation Equipment- Heavy</t>
  </si>
  <si>
    <t>Transportation Equipment- Light</t>
  </si>
  <si>
    <t>Transportation Equipment - Underground</t>
  </si>
  <si>
    <t>Communication Equipment</t>
  </si>
  <si>
    <t>Meters- Residential SM</t>
  </si>
  <si>
    <t>Line Transformers- UG Foundations &amp; UG Vaults</t>
  </si>
  <si>
    <t>Line Transformers- Pad Mounted Switchgear</t>
  </si>
  <si>
    <t>Line Transformers- OH &amp; UG Transformers</t>
  </si>
  <si>
    <t>Station Equipment</t>
  </si>
  <si>
    <t>Overhead Poles, Tower &amp; Fixtures</t>
  </si>
  <si>
    <t>Overhead Line Switches, Conductors &amp; Devices</t>
  </si>
  <si>
    <t>Undereground Conduit- Ducts &amp; Concrete Encased Duct Banks</t>
  </si>
  <si>
    <t>Line Transformers- Underground Foundations &amp; UG Vaults</t>
  </si>
  <si>
    <t>Meters- Residential SM (Including Repeaters &amp; Data Collectors)</t>
  </si>
  <si>
    <t>Meters- CT's /PT's</t>
  </si>
  <si>
    <t>Transportation Equipment- Heavy Vehicles</t>
  </si>
  <si>
    <t>Transportation Equipment- Light vehicles</t>
  </si>
  <si>
    <t>Underground Conductors &amp; devices</t>
  </si>
  <si>
    <t>Sentinel Lights Open</t>
  </si>
  <si>
    <t>Executive, Financial,  Professional &amp; Insurance</t>
  </si>
  <si>
    <t>Table 3-40</t>
  </si>
  <si>
    <t>Locates/Underground</t>
  </si>
  <si>
    <t>13. E.L.K. is applying to increase the specific service charge for service call – customer owned equipment and service call – after regular hours to a more reasonable and actual cost amount for the work performed</t>
  </si>
  <si>
    <t>Approval under Section 78 of the Ontario Energy Board Act, 1998 to charge distribution rates effective May 1, 2017 to recover a service revenue requirement of $4,513,093 which includes a revenue deficiency of $627,952 as detailed in Exhibit 6.  The schedule of proposed rates is set out in Exhibit 8.</t>
  </si>
  <si>
    <t>Accrual</t>
  </si>
  <si>
    <t>Approval of the rate riders for a one year disposition of the Group 1 and Other Deferral and Variance Accounts as detailed in Exhibit 9.</t>
  </si>
  <si>
    <t>Approval of the rate riders for a one year disposition of the Lost Revenue Adjustment Mechanism Variance Account (`LRAMVA``) for lost revenue from 2011 to 2015 resulting from 2011 to 2015 IESO (formally OPA) programs as detailed in Exhibit 4.</t>
  </si>
  <si>
    <t>Appendix 2-Q - Not Applicable</t>
  </si>
  <si>
    <t>Appendix 2-S- Not Applicable</t>
  </si>
  <si>
    <t>Appendix 2-Y - Not Applicable</t>
  </si>
  <si>
    <t>Appendix 2-CA - Not Applicable</t>
  </si>
  <si>
    <t>Appendix 2-CB - Not Applicable</t>
  </si>
  <si>
    <t>Appendix 2-CC - Not Applicable</t>
  </si>
  <si>
    <t>Appendix 2-CD - Not Applicable</t>
  </si>
  <si>
    <t>Appendix 2-CE - Not Applicable</t>
  </si>
  <si>
    <t>Appendix 2-CF - Not Applicable</t>
  </si>
  <si>
    <t>Appendix 2-CG - Not Applicable</t>
  </si>
  <si>
    <t>Appendix 2-D - Not Applicable</t>
  </si>
  <si>
    <t>Appendix 2-EA - Not Applicable</t>
  </si>
  <si>
    <t>Appendix 2-EB - Not Applicable</t>
  </si>
  <si>
    <t>Appendix 2-EC - Not Applicable</t>
  </si>
  <si>
    <t>Sentinel Lighting</t>
  </si>
  <si>
    <t>Embedded Distributor</t>
  </si>
  <si>
    <t>Underground Asset Renewal</t>
  </si>
  <si>
    <t>FIT Contributions</t>
  </si>
  <si>
    <t>Fleet - UG Truck Replacement</t>
  </si>
  <si>
    <t>Project Name #5</t>
  </si>
  <si>
    <t>Comber Solar</t>
  </si>
  <si>
    <t>Project Name #6</t>
  </si>
  <si>
    <t>Cooper Estates Ph 4B</t>
  </si>
  <si>
    <t>Project Name #7</t>
  </si>
  <si>
    <t>Cottam Woods Solar</t>
  </si>
  <si>
    <t>Project Name #8</t>
  </si>
  <si>
    <t>Townsview Ph 3</t>
  </si>
  <si>
    <t>Project Name #9</t>
  </si>
  <si>
    <t>Timbercreek Estates Ph 1</t>
  </si>
  <si>
    <t>3 Phase Pump Feed</t>
  </si>
  <si>
    <t>Project Name #10</t>
  </si>
  <si>
    <t>Jakana Phase 4</t>
  </si>
  <si>
    <t>Project Name #11</t>
  </si>
  <si>
    <t>ROATC Phase 7</t>
  </si>
  <si>
    <t>Project Name #12</t>
  </si>
  <si>
    <t>Tim Horton's Harrow</t>
  </si>
  <si>
    <t>Project Name #13</t>
  </si>
  <si>
    <t>FIT 200 Clark Street</t>
  </si>
  <si>
    <t>Project Name #14</t>
  </si>
  <si>
    <t>Kingsville Commercial Development</t>
  </si>
  <si>
    <t>Project Name #15</t>
  </si>
  <si>
    <t>Notre Dame Street Project Phase 2</t>
  </si>
  <si>
    <t>Project Name #16</t>
  </si>
  <si>
    <t>Kimball Estates Phase 4</t>
  </si>
  <si>
    <t>Project Name #17</t>
  </si>
  <si>
    <t>Woodview Phase 2</t>
  </si>
  <si>
    <t>Project Name #18</t>
  </si>
  <si>
    <t>Bacon Development Phase 4E</t>
  </si>
  <si>
    <t>Project Name #19</t>
  </si>
  <si>
    <t>Woodslee Solar Garden</t>
  </si>
  <si>
    <t>Project Name #20</t>
  </si>
  <si>
    <t>JV Energy</t>
  </si>
  <si>
    <t>Project Name #21</t>
  </si>
  <si>
    <t>Notre Dame Street Phase 3</t>
  </si>
  <si>
    <t>Project Name #22</t>
  </si>
  <si>
    <t>ROATC Phase 8A</t>
  </si>
  <si>
    <t>Project Name #23</t>
  </si>
  <si>
    <t>Truax FIT</t>
  </si>
  <si>
    <t>Project Name #24</t>
  </si>
  <si>
    <t>Shoppers Harrow</t>
  </si>
  <si>
    <t>Project Name #25</t>
  </si>
  <si>
    <t>Agris</t>
  </si>
  <si>
    <t>Project Name #26</t>
  </si>
  <si>
    <t>Tesla</t>
  </si>
  <si>
    <t>Project Name #27</t>
  </si>
  <si>
    <t>225 Prince Albert</t>
  </si>
  <si>
    <t>Project Name #28</t>
  </si>
  <si>
    <t>319 Talbot</t>
  </si>
  <si>
    <t>Project Name #29</t>
  </si>
  <si>
    <t>Bernath</t>
  </si>
  <si>
    <t>Project Name #30</t>
  </si>
  <si>
    <t>Cottam Woods Phase 3A</t>
  </si>
  <si>
    <t>Project Name #31</t>
  </si>
  <si>
    <t>285 Division</t>
  </si>
  <si>
    <t>Project Name #32</t>
  </si>
  <si>
    <t>ROATC Phase 5</t>
  </si>
  <si>
    <t>Project Name #33</t>
  </si>
  <si>
    <t>Pumping Station #3</t>
  </si>
  <si>
    <t>Project Name #34</t>
  </si>
  <si>
    <t>Smart Meter KPMG Reclass</t>
  </si>
  <si>
    <t>Project Name #35</t>
  </si>
  <si>
    <t>Service Connections</t>
  </si>
  <si>
    <t>Project Name #36</t>
  </si>
  <si>
    <t>Fleet Replacement Unit #303</t>
  </si>
  <si>
    <t>Project Name #37</t>
  </si>
  <si>
    <t>186 Talbot</t>
  </si>
  <si>
    <t>Project Name #38</t>
  </si>
  <si>
    <t>Unknown Access Projects</t>
  </si>
  <si>
    <t>2012 OEB
 Approved</t>
  </si>
  <si>
    <t>To change the wording under Specific charge for access to the power poles - $/pole/year (with the exception of wireless attachments).  E.L.K. is not proposing a change to the dollar value, simply the wording as a general housekeeping item to make it more specific, and all inclusive.  E.L.K.’s proposal is to rename this specific charge to Specific charge for all attachments to the power poles (including streetlighting attachments) $/pole/year (with the exception of wireless attachments).</t>
  </si>
  <si>
    <t>Approval to continue to charge Hydro One Networks Inc. (‘HONI’), the Embedded Distributor Rate class. HONI has been consulted. And Hydro One has stated that “it has reviewed the 2017 cost allocation model with respect to ELK’s proposed Embedded Distributor rate class and has no concerns with the determination of costs allocated to the embedded distributor class.”</t>
  </si>
  <si>
    <t>To change the wording under specific service charges from Returned Cheque (plus bank charges) to Returned Item (plus bank charges).</t>
  </si>
  <si>
    <t>EB-2016-0066</t>
  </si>
</sst>
</file>

<file path=xl/styles.xml><?xml version="1.0" encoding="utf-8"?>
<styleSheet xmlns="http://schemas.openxmlformats.org/spreadsheetml/2006/main" xmlns:mc="http://schemas.openxmlformats.org/markup-compatibility/2006" xmlns:x14ac="http://schemas.microsoft.com/office/spreadsheetml/2009/9/ac" mc:Ignorable="x14ac">
  <numFmts count="30">
    <numFmt numFmtId="6" formatCode="&quot;$&quot;#,##0;[Red]\-&quot;$&quot;#,##0"/>
    <numFmt numFmtId="42" formatCode="_-&quot;$&quot;* #,##0_-;\-&quot;$&quot;* #,##0_-;_-&quot;$&quot;* &quot;-&quot;_-;_-@_-"/>
    <numFmt numFmtId="41" formatCode="_-* #,##0_-;\-* #,##0_-;_-* &quot;-&quot;_-;_-@_-"/>
    <numFmt numFmtId="44" formatCode="_-&quot;$&quot;* #,##0.00_-;\-&quot;$&quot;* #,##0.00_-;_-&quot;$&quot;* &quot;-&quot;??_-;_-@_-"/>
    <numFmt numFmtId="43" formatCode="_-* #,##0.00_-;\-* #,##0.00_-;_-* &quot;-&quot;??_-;_-@_-"/>
    <numFmt numFmtId="164" formatCode="&quot;$&quot;#,##0_);\(&quot;$&quot;#,##0\)"/>
    <numFmt numFmtId="165" formatCode="0.0%"/>
    <numFmt numFmtId="166" formatCode="_-&quot;$&quot;* #,##0_-;\-&quot;$&quot;* #,##0_-;_-&quot;$&quot;* &quot;-&quot;??_-;_-@_-"/>
    <numFmt numFmtId="167" formatCode="_-* #,##0_-;\-* #,##0_-;_-* &quot;-&quot;??_-;_-@_-"/>
    <numFmt numFmtId="168" formatCode="_-&quot;$&quot;* #,##0.0000_-;\-&quot;$&quot;* #,##0.0000_-;_-&quot;$&quot;* &quot;-&quot;??_-;_-@_-"/>
    <numFmt numFmtId="169" formatCode="[$-1009]mmmm\ d\,\ yyyy;@"/>
    <numFmt numFmtId="170" formatCode="0_ ;\-0\ "/>
    <numFmt numFmtId="171" formatCode="[$-1009]d\-mmm\-yy;@"/>
    <numFmt numFmtId="172" formatCode="\(#\)"/>
    <numFmt numFmtId="173" formatCode="&quot;$&quot;#,##0_);[Red]\(&quot;$&quot;#,##0\);&quot;$&quot;\ \-"/>
    <numFmt numFmtId="174" formatCode="#,##0_ ;\-#,##0\ "/>
    <numFmt numFmtId="175" formatCode="0.000"/>
    <numFmt numFmtId="176" formatCode="&quot;$&quot;#,##0"/>
    <numFmt numFmtId="177" formatCode="&quot;$&quot;#,##0.0000_);[Red]\(&quot;$&quot;#,##0.0000\)"/>
    <numFmt numFmtId="178" formatCode="&quot;$&quot;#,##0.00"/>
    <numFmt numFmtId="179" formatCode="0.0000"/>
    <numFmt numFmtId="180" formatCode="_(* #,##0.0_);_(* \(#,##0.0\);_(* &quot;-&quot;??_);_(@_)"/>
    <numFmt numFmtId="181" formatCode="#,##0.0"/>
    <numFmt numFmtId="182" formatCode="mm/dd/yyyy"/>
    <numFmt numFmtId="183" formatCode="0\-0"/>
    <numFmt numFmtId="184" formatCode="##\-#"/>
    <numFmt numFmtId="185" formatCode="_(* #,##0_);_(* \(#,##0\);_(* &quot;-&quot;??_);_(@_)"/>
    <numFmt numFmtId="186" formatCode="&quot;£ &quot;#,##0.00;[Red]\-&quot;£ &quot;#,##0.00"/>
    <numFmt numFmtId="187" formatCode="mmmm\ d"/>
    <numFmt numFmtId="188" formatCode="_-&quot;$&quot;* #,##0.0_-;\-&quot;$&quot;* #,##0.0_-;_-&quot;$&quot;* &quot;-&quot;??_-;_-@_-"/>
  </numFmts>
  <fonts count="127" x14ac:knownFonts="1">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u/>
      <sz val="10"/>
      <color indexed="12"/>
      <name val="Arial"/>
      <family val="2"/>
    </font>
    <font>
      <sz val="8"/>
      <name val="Arial"/>
      <family val="2"/>
    </font>
    <font>
      <b/>
      <sz val="10"/>
      <name val="Arial"/>
      <family val="2"/>
    </font>
    <font>
      <b/>
      <u/>
      <sz val="11"/>
      <name val="Arial"/>
      <family val="2"/>
    </font>
    <font>
      <b/>
      <sz val="12"/>
      <name val="Arial"/>
      <family val="2"/>
    </font>
    <font>
      <b/>
      <u/>
      <sz val="10"/>
      <name val="Arial"/>
      <family val="2"/>
    </font>
    <font>
      <b/>
      <sz val="14"/>
      <name val="Arial"/>
      <family val="2"/>
    </font>
    <font>
      <b/>
      <vertAlign val="superscript"/>
      <sz val="10"/>
      <name val="Arial"/>
      <family val="2"/>
    </font>
    <font>
      <sz val="10"/>
      <color indexed="9"/>
      <name val="Arial"/>
      <family val="2"/>
    </font>
    <font>
      <sz val="11"/>
      <color indexed="8"/>
      <name val="Calibri"/>
      <family val="2"/>
    </font>
    <font>
      <sz val="11"/>
      <color indexed="9"/>
      <name val="Calibri"/>
      <family val="2"/>
    </font>
    <font>
      <sz val="11"/>
      <color indexed="20"/>
      <name val="Calibri"/>
      <family val="2"/>
    </font>
    <font>
      <b/>
      <sz val="11"/>
      <color indexed="52"/>
      <name val="Calibri"/>
      <family val="2"/>
    </font>
    <font>
      <b/>
      <sz val="11"/>
      <color indexed="9"/>
      <name val="Calibri"/>
      <family val="2"/>
    </font>
    <font>
      <i/>
      <sz val="11"/>
      <color indexed="23"/>
      <name val="Calibri"/>
      <family val="2"/>
    </font>
    <font>
      <sz val="11"/>
      <color indexed="17"/>
      <name val="Calibri"/>
      <family val="2"/>
    </font>
    <font>
      <b/>
      <sz val="15"/>
      <color indexed="56"/>
      <name val="Calibri"/>
      <family val="2"/>
    </font>
    <font>
      <b/>
      <sz val="13"/>
      <color indexed="56"/>
      <name val="Calibri"/>
      <family val="2"/>
    </font>
    <font>
      <b/>
      <sz val="11"/>
      <color indexed="56"/>
      <name val="Calibri"/>
      <family val="2"/>
    </font>
    <font>
      <sz val="11"/>
      <color indexed="62"/>
      <name val="Calibri"/>
      <family val="2"/>
    </font>
    <font>
      <sz val="11"/>
      <color indexed="52"/>
      <name val="Calibri"/>
      <family val="2"/>
    </font>
    <font>
      <sz val="11"/>
      <color indexed="60"/>
      <name val="Calibri"/>
      <family val="2"/>
    </font>
    <font>
      <sz val="10"/>
      <name val="Arial"/>
      <family val="2"/>
    </font>
    <font>
      <b/>
      <sz val="11"/>
      <color indexed="63"/>
      <name val="Calibri"/>
      <family val="2"/>
    </font>
    <font>
      <b/>
      <sz val="18"/>
      <color indexed="56"/>
      <name val="Cambria"/>
      <family val="2"/>
    </font>
    <font>
      <b/>
      <sz val="11"/>
      <color indexed="8"/>
      <name val="Calibri"/>
      <family val="2"/>
    </font>
    <font>
      <sz val="11"/>
      <color indexed="10"/>
      <name val="Calibri"/>
      <family val="2"/>
    </font>
    <font>
      <i/>
      <sz val="10"/>
      <name val="Arial"/>
      <family val="2"/>
    </font>
    <font>
      <b/>
      <i/>
      <sz val="10"/>
      <name val="Arial"/>
      <family val="2"/>
    </font>
    <font>
      <b/>
      <u/>
      <sz val="10"/>
      <color indexed="12"/>
      <name val="Arial"/>
      <family val="2"/>
    </font>
    <font>
      <u/>
      <sz val="10"/>
      <name val="Arial"/>
      <family val="2"/>
    </font>
    <font>
      <b/>
      <sz val="10"/>
      <name val="Arial"/>
      <family val="2"/>
    </font>
    <font>
      <sz val="10"/>
      <name val="Arial"/>
      <family val="2"/>
    </font>
    <font>
      <b/>
      <sz val="11"/>
      <name val="Arial"/>
      <family val="2"/>
    </font>
    <font>
      <vertAlign val="superscript"/>
      <sz val="10"/>
      <name val="Arial"/>
      <family val="2"/>
    </font>
    <font>
      <b/>
      <sz val="10"/>
      <color indexed="10"/>
      <name val="Arial"/>
      <family val="2"/>
    </font>
    <font>
      <b/>
      <u/>
      <sz val="14"/>
      <name val="Arial"/>
      <family val="2"/>
    </font>
    <font>
      <b/>
      <u/>
      <sz val="14"/>
      <color indexed="10"/>
      <name val="Arial"/>
      <family val="2"/>
    </font>
    <font>
      <strike/>
      <sz val="10"/>
      <name val="Arial"/>
      <family val="2"/>
    </font>
    <font>
      <sz val="10"/>
      <color indexed="8"/>
      <name val="Arial"/>
      <family val="2"/>
    </font>
    <font>
      <sz val="10"/>
      <color rgb="FF000000"/>
      <name val="Arial"/>
      <family val="2"/>
    </font>
    <font>
      <b/>
      <sz val="11"/>
      <color theme="1"/>
      <name val="Arial"/>
      <family val="2"/>
    </font>
    <font>
      <sz val="20"/>
      <name val="Arial"/>
      <family val="2"/>
    </font>
    <font>
      <b/>
      <sz val="10"/>
      <color indexed="8"/>
      <name val="Arial"/>
      <family val="2"/>
    </font>
    <font>
      <sz val="10"/>
      <color indexed="8"/>
      <name val="Calibri"/>
      <family val="2"/>
    </font>
    <font>
      <sz val="10"/>
      <color indexed="55"/>
      <name val="Arial"/>
      <family val="2"/>
    </font>
    <font>
      <sz val="9"/>
      <name val="Arial"/>
      <family val="2"/>
    </font>
    <font>
      <b/>
      <sz val="9"/>
      <name val="Arial"/>
      <family val="2"/>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b/>
      <strike/>
      <sz val="10"/>
      <name val="Arial"/>
      <family val="2"/>
    </font>
    <font>
      <sz val="9"/>
      <color theme="1"/>
      <name val="Arial"/>
      <family val="2"/>
    </font>
    <font>
      <b/>
      <sz val="9"/>
      <color theme="1"/>
      <name val="Arial"/>
      <family val="2"/>
    </font>
    <font>
      <b/>
      <sz val="14"/>
      <color rgb="FFFF0000"/>
      <name val="Arial"/>
      <family val="2"/>
    </font>
    <font>
      <b/>
      <sz val="10"/>
      <color rgb="FFFF0000"/>
      <name val="Arial"/>
      <family val="2"/>
    </font>
    <font>
      <b/>
      <i/>
      <sz val="9"/>
      <color rgb="FFFF0000"/>
      <name val="Arial"/>
      <family val="2"/>
    </font>
    <font>
      <sz val="10"/>
      <color rgb="FFFF0000"/>
      <name val="Arial"/>
      <family val="2"/>
    </font>
    <font>
      <b/>
      <sz val="10"/>
      <color theme="3"/>
      <name val="Arial"/>
      <family val="2"/>
    </font>
    <font>
      <b/>
      <i/>
      <sz val="11"/>
      <color theme="1"/>
      <name val="Calibri"/>
      <family val="2"/>
      <scheme val="minor"/>
    </font>
    <font>
      <i/>
      <sz val="11"/>
      <color theme="1"/>
      <name val="Calibri"/>
      <family val="2"/>
      <scheme val="minor"/>
    </font>
    <font>
      <sz val="11"/>
      <color indexed="8"/>
      <name val="Arial"/>
      <family val="2"/>
    </font>
    <font>
      <b/>
      <sz val="11"/>
      <color indexed="8"/>
      <name val="Calibri"/>
      <family val="1"/>
      <charset val="204"/>
    </font>
    <font>
      <sz val="10"/>
      <name val="Calibri"/>
      <family val="2"/>
      <scheme val="minor"/>
    </font>
    <font>
      <sz val="11"/>
      <name val="Calibri"/>
      <family val="2"/>
      <scheme val="minor"/>
    </font>
    <font>
      <b/>
      <i/>
      <sz val="9"/>
      <name val="Arial"/>
      <family val="2"/>
    </font>
    <font>
      <sz val="11"/>
      <color theme="1"/>
      <name val="Arial"/>
      <family val="2"/>
    </font>
    <font>
      <sz val="9"/>
      <color indexed="8"/>
      <name val="Arial"/>
      <family val="2"/>
    </font>
    <font>
      <sz val="10"/>
      <name val="Symbol"/>
      <family val="1"/>
      <charset val="2"/>
    </font>
    <font>
      <sz val="10"/>
      <name val="Times New Roman"/>
      <family val="1"/>
    </font>
    <font>
      <sz val="12"/>
      <name val="Arial"/>
      <family val="2"/>
    </font>
    <font>
      <sz val="12"/>
      <name val="Symbol"/>
      <family val="1"/>
      <charset val="2"/>
    </font>
    <font>
      <i/>
      <sz val="12"/>
      <name val="Arial"/>
      <family val="2"/>
    </font>
    <font>
      <b/>
      <u/>
      <sz val="12"/>
      <name val="Arial"/>
      <family val="2"/>
    </font>
    <font>
      <i/>
      <u/>
      <sz val="12"/>
      <name val="Arial"/>
      <family val="2"/>
    </font>
    <font>
      <sz val="10"/>
      <name val="Calibri"/>
      <family val="2"/>
    </font>
    <font>
      <u/>
      <sz val="12"/>
      <color indexed="12"/>
      <name val="Arial"/>
      <family val="2"/>
    </font>
    <font>
      <i/>
      <sz val="9"/>
      <name val="Arial"/>
      <family val="2"/>
    </font>
    <font>
      <sz val="10"/>
      <color indexed="12"/>
      <name val="Arial"/>
      <family val="2"/>
    </font>
    <font>
      <i/>
      <sz val="12"/>
      <color theme="1"/>
      <name val="Calibri"/>
      <family val="2"/>
      <scheme val="minor"/>
    </font>
    <font>
      <b/>
      <sz val="14"/>
      <color theme="1"/>
      <name val="Calibri"/>
      <family val="2"/>
      <scheme val="minor"/>
    </font>
    <font>
      <sz val="10"/>
      <color theme="3" tint="0.39997558519241921"/>
      <name val="Arial"/>
      <family val="2"/>
    </font>
    <font>
      <b/>
      <vertAlign val="superscript"/>
      <sz val="14"/>
      <name val="Arial"/>
      <family val="2"/>
    </font>
    <font>
      <b/>
      <i/>
      <sz val="14"/>
      <color theme="1"/>
      <name val="Calibri"/>
      <family val="2"/>
      <scheme val="minor"/>
    </font>
    <font>
      <b/>
      <sz val="11"/>
      <name val="Calibri"/>
      <family val="2"/>
      <scheme val="minor"/>
    </font>
    <font>
      <sz val="10"/>
      <color rgb="FF00B050"/>
      <name val="Arial"/>
      <family val="2"/>
    </font>
    <font>
      <sz val="11"/>
      <name val="Arial"/>
      <family val="2"/>
    </font>
    <font>
      <sz val="11"/>
      <color rgb="FF00B0F0"/>
      <name val="Calibri"/>
      <family val="2"/>
      <scheme val="minor"/>
    </font>
    <font>
      <b/>
      <i/>
      <sz val="10"/>
      <color rgb="FFFF0000"/>
      <name val="Arial"/>
      <family val="2"/>
    </font>
    <font>
      <sz val="9"/>
      <color indexed="81"/>
      <name val="Tahoma"/>
      <family val="2"/>
    </font>
    <font>
      <b/>
      <sz val="9"/>
      <color indexed="81"/>
      <name val="Tahoma"/>
      <family val="2"/>
    </font>
    <font>
      <b/>
      <i/>
      <sz val="14"/>
      <name val="Arial"/>
      <family val="2"/>
    </font>
    <font>
      <sz val="10"/>
      <color theme="0"/>
      <name val="Arial"/>
      <family val="2"/>
    </font>
    <font>
      <vertAlign val="superscript"/>
      <sz val="11"/>
      <color indexed="17"/>
      <name val="Calibri"/>
      <family val="2"/>
    </font>
    <font>
      <b/>
      <i/>
      <sz val="11"/>
      <color rgb="FFFF0000"/>
      <name val="Calibri"/>
      <family val="2"/>
      <scheme val="minor"/>
    </font>
    <font>
      <sz val="11"/>
      <name val="Calibri"/>
      <family val="2"/>
    </font>
    <font>
      <sz val="10"/>
      <color theme="0" tint="-0.34998626667073579"/>
      <name val="Arial"/>
      <family val="2"/>
    </font>
    <font>
      <b/>
      <i/>
      <sz val="14"/>
      <name val="Calibri"/>
      <family val="2"/>
    </font>
    <font>
      <i/>
      <sz val="10"/>
      <color theme="0"/>
      <name val="Arial"/>
      <family val="2"/>
    </font>
  </fonts>
  <fills count="71">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indexed="42"/>
        <bgColor indexed="64"/>
      </patternFill>
    </fill>
    <fill>
      <patternFill patternType="solid">
        <fgColor indexed="9"/>
        <bgColor indexed="64"/>
      </patternFill>
    </fill>
    <fill>
      <patternFill patternType="solid">
        <fgColor indexed="8"/>
        <bgColor indexed="64"/>
      </patternFill>
    </fill>
    <fill>
      <patternFill patternType="solid">
        <fgColor indexed="22"/>
        <bgColor indexed="64"/>
      </patternFill>
    </fill>
    <fill>
      <patternFill patternType="solid">
        <fgColor theme="4" tint="0.79998168889431442"/>
        <bgColor indexed="64"/>
      </patternFill>
    </fill>
    <fill>
      <patternFill patternType="solid">
        <fgColor theme="6" tint="0.79998168889431442"/>
        <bgColor indexed="64"/>
      </patternFill>
    </fill>
    <fill>
      <patternFill patternType="lightDown">
        <bgColor indexed="55"/>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lightDown">
        <bgColor theme="0" tint="-0.249977111117893"/>
      </patternFill>
    </fill>
    <fill>
      <patternFill patternType="solid">
        <fgColor theme="0" tint="-4.9989318521683403E-2"/>
        <bgColor indexed="64"/>
      </patternFill>
    </fill>
    <fill>
      <patternFill patternType="solid">
        <fgColor theme="0"/>
        <bgColor indexed="64"/>
      </patternFill>
    </fill>
    <fill>
      <patternFill patternType="solid">
        <fgColor rgb="FFFFFF00"/>
        <bgColor indexed="64"/>
      </patternFill>
    </fill>
    <fill>
      <patternFill patternType="solid">
        <fgColor theme="0" tint="-0.34998626667073579"/>
        <bgColor indexed="64"/>
      </patternFill>
    </fill>
    <fill>
      <patternFill patternType="solid">
        <fgColor theme="0" tint="-0.249977111117893"/>
        <bgColor indexed="64"/>
      </patternFill>
    </fill>
    <fill>
      <patternFill patternType="solid">
        <fgColor indexed="26"/>
        <bgColor indexed="64"/>
      </patternFill>
    </fill>
    <fill>
      <patternFill patternType="solid">
        <fgColor theme="1"/>
        <bgColor indexed="64"/>
      </patternFill>
    </fill>
    <fill>
      <patternFill patternType="lightUp">
        <bgColor auto="1"/>
      </patternFill>
    </fill>
  </fills>
  <borders count="172">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right/>
      <top/>
      <bottom style="thin">
        <color indexed="64"/>
      </bottom>
      <diagonal/>
    </border>
    <border>
      <left/>
      <right/>
      <top style="thin">
        <color indexed="64"/>
      </top>
      <bottom style="thin">
        <color indexed="64"/>
      </bottom>
      <diagonal/>
    </border>
    <border>
      <left/>
      <right/>
      <top style="thin">
        <color indexed="64"/>
      </top>
      <bottom style="double">
        <color indexed="64"/>
      </bottom>
      <diagonal/>
    </border>
    <border>
      <left/>
      <right style="thin">
        <color indexed="64"/>
      </right>
      <top/>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style="medium">
        <color indexed="64"/>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right style="medium">
        <color indexed="64"/>
      </right>
      <top/>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style="thin">
        <color indexed="64"/>
      </right>
      <top style="thin">
        <color indexed="64"/>
      </top>
      <bottom style="double">
        <color indexed="64"/>
      </bottom>
      <diagonal/>
    </border>
    <border>
      <left style="thin">
        <color indexed="64"/>
      </left>
      <right style="medium">
        <color indexed="64"/>
      </right>
      <top style="thin">
        <color indexed="64"/>
      </top>
      <bottom style="double">
        <color indexed="64"/>
      </bottom>
      <diagonal/>
    </border>
    <border>
      <left style="medium">
        <color indexed="64"/>
      </left>
      <right style="thin">
        <color indexed="64"/>
      </right>
      <top/>
      <bottom style="medium">
        <color indexed="64"/>
      </bottom>
      <diagonal/>
    </border>
    <border>
      <left/>
      <right style="thin">
        <color indexed="64"/>
      </right>
      <top/>
      <bottom style="medium">
        <color indexed="64"/>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diagonal/>
    </border>
    <border>
      <left style="medium">
        <color indexed="64"/>
      </left>
      <right/>
      <top/>
      <bottom style="medium">
        <color indexed="64"/>
      </bottom>
      <diagonal/>
    </border>
    <border>
      <left style="medium">
        <color indexed="64"/>
      </left>
      <right style="medium">
        <color indexed="64"/>
      </right>
      <top/>
      <bottom style="double">
        <color indexed="64"/>
      </bottom>
      <diagonal/>
    </border>
    <border>
      <left style="medium">
        <color indexed="64"/>
      </left>
      <right/>
      <top/>
      <bottom/>
      <diagonal/>
    </border>
    <border>
      <left style="medium">
        <color indexed="64"/>
      </left>
      <right/>
      <top style="medium">
        <color indexed="64"/>
      </top>
      <bottom style="thin">
        <color indexed="64"/>
      </bottom>
      <diagonal/>
    </border>
    <border>
      <left/>
      <right style="thin">
        <color indexed="64"/>
      </right>
      <top style="medium">
        <color indexed="64"/>
      </top>
      <bottom style="thin">
        <color indexed="64"/>
      </bottom>
      <diagonal/>
    </border>
    <border>
      <left/>
      <right style="medium">
        <color indexed="64"/>
      </right>
      <top style="thin">
        <color indexed="64"/>
      </top>
      <bottom style="thin">
        <color indexed="64"/>
      </bottom>
      <diagonal/>
    </border>
    <border>
      <left style="medium">
        <color indexed="64"/>
      </left>
      <right/>
      <top/>
      <bottom style="double">
        <color indexed="64"/>
      </bottom>
      <diagonal/>
    </border>
    <border>
      <left style="medium">
        <color indexed="64"/>
      </left>
      <right/>
      <top/>
      <bottom style="thin">
        <color indexed="64"/>
      </bottom>
      <diagonal/>
    </border>
    <border>
      <left style="medium">
        <color indexed="64"/>
      </left>
      <right/>
      <top style="thin">
        <color indexed="64"/>
      </top>
      <bottom style="thin">
        <color indexed="64"/>
      </bottom>
      <diagonal/>
    </border>
    <border>
      <left/>
      <right style="medium">
        <color indexed="64"/>
      </right>
      <top/>
      <bottom style="thin">
        <color indexed="64"/>
      </bottom>
      <diagonal/>
    </border>
    <border>
      <left/>
      <right style="medium">
        <color indexed="64"/>
      </right>
      <top/>
      <bottom style="double">
        <color indexed="64"/>
      </bottom>
      <diagonal/>
    </border>
    <border>
      <left style="thin">
        <color indexed="64"/>
      </left>
      <right style="thin">
        <color indexed="64"/>
      </right>
      <top style="double">
        <color indexed="64"/>
      </top>
      <bottom style="medium">
        <color indexed="64"/>
      </bottom>
      <diagonal/>
    </border>
    <border>
      <left style="medium">
        <color indexed="64"/>
      </left>
      <right/>
      <top style="thin">
        <color indexed="64"/>
      </top>
      <bottom style="double">
        <color indexed="64"/>
      </bottom>
      <diagonal/>
    </border>
    <border>
      <left/>
      <right style="medium">
        <color indexed="64"/>
      </right>
      <top style="thin">
        <color indexed="64"/>
      </top>
      <bottom/>
      <diagonal/>
    </border>
    <border>
      <left style="thin">
        <color indexed="64"/>
      </left>
      <right style="medium">
        <color indexed="64"/>
      </right>
      <top style="double">
        <color indexed="64"/>
      </top>
      <bottom style="medium">
        <color indexed="64"/>
      </bottom>
      <diagonal/>
    </border>
    <border>
      <left style="medium">
        <color indexed="64"/>
      </left>
      <right/>
      <top style="double">
        <color indexed="64"/>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bottom style="thin">
        <color indexed="64"/>
      </bottom>
      <diagonal/>
    </border>
    <border>
      <left/>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medium">
        <color indexed="64"/>
      </right>
      <top/>
      <bottom/>
      <diagonal/>
    </border>
    <border>
      <left style="thin">
        <color indexed="64"/>
      </left>
      <right style="medium">
        <color indexed="64"/>
      </right>
      <top style="thin">
        <color indexed="64"/>
      </top>
      <bottom/>
      <diagonal/>
    </border>
    <border>
      <left/>
      <right style="thin">
        <color indexed="64"/>
      </right>
      <top style="medium">
        <color indexed="64"/>
      </top>
      <bottom/>
      <diagonal/>
    </border>
    <border>
      <left style="medium">
        <color indexed="64"/>
      </left>
      <right/>
      <top style="medium">
        <color indexed="64"/>
      </top>
      <bottom/>
      <diagonal/>
    </border>
    <border>
      <left/>
      <right/>
      <top style="medium">
        <color indexed="64"/>
      </top>
      <bottom/>
      <diagonal/>
    </border>
    <border>
      <left style="medium">
        <color indexed="64"/>
      </left>
      <right style="thin">
        <color indexed="64"/>
      </right>
      <top style="thin">
        <color indexed="64"/>
      </top>
      <bottom style="double">
        <color indexed="64"/>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top style="thin">
        <color indexed="64"/>
      </top>
      <bottom style="thin">
        <color indexed="64"/>
      </bottom>
      <diagonal/>
    </border>
    <border>
      <left style="medium">
        <color indexed="64"/>
      </left>
      <right style="thin">
        <color indexed="64"/>
      </right>
      <top/>
      <bottom style="thin">
        <color indexed="64"/>
      </bottom>
      <diagonal/>
    </border>
    <border>
      <left style="thin">
        <color indexed="64"/>
      </left>
      <right/>
      <top/>
      <bottom style="thin">
        <color indexed="64"/>
      </bottom>
      <diagonal/>
    </border>
    <border>
      <left style="thin">
        <color indexed="64"/>
      </left>
      <right/>
      <top/>
      <bottom style="medium">
        <color indexed="64"/>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right style="medium">
        <color indexed="64"/>
      </right>
      <top style="thin">
        <color indexed="64"/>
      </top>
      <bottom style="medium">
        <color indexed="64"/>
      </bottom>
      <diagonal/>
    </border>
    <border>
      <left/>
      <right/>
      <top style="thin">
        <color indexed="64"/>
      </top>
      <bottom/>
      <diagonal/>
    </border>
    <border>
      <left style="thin">
        <color indexed="64"/>
      </left>
      <right style="medium">
        <color indexed="64"/>
      </right>
      <top style="double">
        <color indexed="64"/>
      </top>
      <bottom style="thin">
        <color indexed="64"/>
      </bottom>
      <diagonal/>
    </border>
    <border>
      <left style="medium">
        <color indexed="64"/>
      </left>
      <right style="thin">
        <color indexed="64"/>
      </right>
      <top style="double">
        <color indexed="64"/>
      </top>
      <bottom style="medium">
        <color indexed="64"/>
      </bottom>
      <diagonal/>
    </border>
    <border>
      <left/>
      <right style="thin">
        <color indexed="64"/>
      </right>
      <top style="thin">
        <color indexed="64"/>
      </top>
      <bottom style="double">
        <color indexed="64"/>
      </bottom>
      <diagonal/>
    </border>
    <border>
      <left style="medium">
        <color indexed="64"/>
      </left>
      <right/>
      <top style="medium">
        <color indexed="64"/>
      </top>
      <bottom style="medium">
        <color indexed="64"/>
      </bottom>
      <diagonal/>
    </border>
    <border>
      <left/>
      <right/>
      <top style="medium">
        <color indexed="64"/>
      </top>
      <bottom style="thin">
        <color indexed="64"/>
      </bottom>
      <diagonal/>
    </border>
    <border>
      <left style="medium">
        <color indexed="64"/>
      </left>
      <right/>
      <top style="thin">
        <color indexed="64"/>
      </top>
      <bottom/>
      <diagonal/>
    </border>
    <border>
      <left style="medium">
        <color indexed="64"/>
      </left>
      <right style="thin">
        <color indexed="64"/>
      </right>
      <top style="thin">
        <color indexed="64"/>
      </top>
      <bottom/>
      <diagonal/>
    </border>
    <border>
      <left style="medium">
        <color indexed="64"/>
      </left>
      <right/>
      <top style="thin">
        <color indexed="64"/>
      </top>
      <bottom style="medium">
        <color indexed="64"/>
      </bottom>
      <diagonal/>
    </border>
    <border>
      <left style="medium">
        <color indexed="64"/>
      </left>
      <right style="medium">
        <color indexed="64"/>
      </right>
      <top/>
      <bottom style="thin">
        <color indexed="64"/>
      </bottom>
      <diagonal/>
    </border>
    <border>
      <left style="medium">
        <color indexed="64"/>
      </left>
      <right style="thin">
        <color indexed="64"/>
      </right>
      <top style="medium">
        <color indexed="64"/>
      </top>
      <bottom/>
      <diagonal/>
    </border>
    <border>
      <left style="thick">
        <color theme="0" tint="-0.34998626667073579"/>
      </left>
      <right/>
      <top style="thick">
        <color theme="0" tint="-0.34998626667073579"/>
      </top>
      <bottom style="medium">
        <color theme="0" tint="-4.9989318521683403E-2"/>
      </bottom>
      <diagonal/>
    </border>
    <border>
      <left/>
      <right/>
      <top style="thick">
        <color theme="0" tint="-0.34998626667073579"/>
      </top>
      <bottom style="medium">
        <color theme="0" tint="-4.9989318521683403E-2"/>
      </bottom>
      <diagonal/>
    </border>
    <border>
      <left/>
      <right style="medium">
        <color theme="0" tint="-4.9989318521683403E-2"/>
      </right>
      <top style="thick">
        <color theme="0" tint="-0.34998626667073579"/>
      </top>
      <bottom style="medium">
        <color theme="0" tint="-4.9989318521683403E-2"/>
      </bottom>
      <diagonal/>
    </border>
    <border>
      <left style="thick">
        <color theme="0" tint="-0.34998626667073579"/>
      </left>
      <right/>
      <top style="thick">
        <color theme="0" tint="-0.34998626667073579"/>
      </top>
      <bottom style="thick">
        <color theme="0" tint="-4.9989318521683403E-2"/>
      </bottom>
      <diagonal/>
    </border>
    <border>
      <left/>
      <right/>
      <top style="thick">
        <color theme="0" tint="-0.34998626667073579"/>
      </top>
      <bottom style="thick">
        <color theme="0" tint="-4.9989318521683403E-2"/>
      </bottom>
      <diagonal/>
    </border>
    <border>
      <left/>
      <right style="thick">
        <color theme="0" tint="-4.9989318521683403E-2"/>
      </right>
      <top style="thick">
        <color theme="0" tint="-0.34998626667073579"/>
      </top>
      <bottom style="thick">
        <color theme="0" tint="-4.9989318521683403E-2"/>
      </bottom>
      <diagonal/>
    </border>
    <border>
      <left/>
      <right/>
      <top/>
      <bottom style="thin">
        <color theme="0"/>
      </bottom>
      <diagonal/>
    </border>
    <border>
      <left style="thin">
        <color indexed="64"/>
      </left>
      <right/>
      <top style="medium">
        <color indexed="64"/>
      </top>
      <bottom/>
      <diagonal/>
    </border>
    <border>
      <left style="medium">
        <color indexed="64"/>
      </left>
      <right style="medium">
        <color indexed="64"/>
      </right>
      <top style="thin">
        <color indexed="64"/>
      </top>
      <bottom style="medium">
        <color indexed="64"/>
      </bottom>
      <diagonal/>
    </border>
    <border>
      <left/>
      <right/>
      <top style="thin">
        <color indexed="64"/>
      </top>
      <bottom style="medium">
        <color indexed="64"/>
      </bottom>
      <diagonal/>
    </border>
    <border>
      <left style="medium">
        <color indexed="64"/>
      </left>
      <right style="medium">
        <color indexed="64"/>
      </right>
      <top style="thin">
        <color indexed="64"/>
      </top>
      <bottom/>
      <diagonal/>
    </border>
    <border>
      <left style="medium">
        <color indexed="64"/>
      </left>
      <right style="medium">
        <color indexed="64"/>
      </right>
      <top style="double">
        <color indexed="64"/>
      </top>
      <bottom style="medium">
        <color indexed="64"/>
      </bottom>
      <diagonal/>
    </border>
    <border>
      <left style="thin">
        <color indexed="64"/>
      </left>
      <right/>
      <top style="thin">
        <color indexed="64"/>
      </top>
      <bottom/>
      <diagonal/>
    </border>
    <border>
      <left/>
      <right/>
      <top style="double">
        <color indexed="64"/>
      </top>
      <bottom style="medium">
        <color indexed="64"/>
      </bottom>
      <diagonal/>
    </border>
    <border>
      <left/>
      <right style="medium">
        <color indexed="64"/>
      </right>
      <top style="double">
        <color indexed="64"/>
      </top>
      <bottom style="medium">
        <color indexed="64"/>
      </bottom>
      <diagonal/>
    </border>
    <border>
      <left style="medium">
        <color indexed="64"/>
      </left>
      <right style="thin">
        <color indexed="64"/>
      </right>
      <top/>
      <bottom/>
      <diagonal/>
    </border>
    <border>
      <left style="thin">
        <color indexed="64"/>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double">
        <color indexed="64"/>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
      <left/>
      <right style="double">
        <color indexed="64"/>
      </right>
      <top/>
      <bottom/>
      <diagonal/>
    </border>
    <border>
      <left/>
      <right style="double">
        <color indexed="64"/>
      </right>
      <top/>
      <bottom style="double">
        <color indexed="64"/>
      </bottom>
      <diagonal/>
    </border>
    <border>
      <left/>
      <right style="double">
        <color indexed="64"/>
      </right>
      <top/>
      <bottom style="medium">
        <color indexed="64"/>
      </bottom>
      <diagonal/>
    </border>
    <border>
      <left/>
      <right/>
      <top style="thin">
        <color theme="0"/>
      </top>
      <bottom style="thin">
        <color theme="0"/>
      </bottom>
      <diagonal/>
    </border>
    <border>
      <left/>
      <right/>
      <top style="thin">
        <color theme="0"/>
      </top>
      <bottom/>
      <diagonal/>
    </border>
    <border>
      <left style="medium">
        <color indexed="64"/>
      </left>
      <right style="medium">
        <color indexed="64"/>
      </right>
      <top style="thin">
        <color indexed="64"/>
      </top>
      <bottom style="thin">
        <color indexed="64"/>
      </bottom>
      <diagonal/>
    </border>
    <border>
      <left style="medium">
        <color indexed="64"/>
      </left>
      <right/>
      <top style="double">
        <color indexed="64"/>
      </top>
      <bottom/>
      <diagonal/>
    </border>
    <border>
      <left/>
      <right/>
      <top style="double">
        <color indexed="64"/>
      </top>
      <bottom/>
      <diagonal/>
    </border>
    <border>
      <left/>
      <right style="medium">
        <color indexed="64"/>
      </right>
      <top style="double">
        <color indexed="64"/>
      </top>
      <bottom/>
      <diagonal/>
    </border>
    <border>
      <left style="medium">
        <color indexed="64"/>
      </left>
      <right style="thin">
        <color indexed="64"/>
      </right>
      <top style="double">
        <color indexed="64"/>
      </top>
      <bottom/>
      <diagonal/>
    </border>
    <border>
      <left style="thick">
        <color indexed="64"/>
      </left>
      <right/>
      <top style="medium">
        <color indexed="64"/>
      </top>
      <bottom style="medium">
        <color indexed="64"/>
      </bottom>
      <diagonal/>
    </border>
    <border>
      <left/>
      <right style="thick">
        <color indexed="64"/>
      </right>
      <top style="medium">
        <color indexed="64"/>
      </top>
      <bottom style="thin">
        <color indexed="64"/>
      </bottom>
      <diagonal/>
    </border>
    <border>
      <left/>
      <right style="thick">
        <color indexed="64"/>
      </right>
      <top style="thin">
        <color indexed="64"/>
      </top>
      <bottom style="thin">
        <color indexed="64"/>
      </bottom>
      <diagonal/>
    </border>
    <border>
      <left/>
      <right style="thick">
        <color indexed="64"/>
      </right>
      <top style="thin">
        <color indexed="64"/>
      </top>
      <bottom style="medium">
        <color indexed="64"/>
      </bottom>
      <diagonal/>
    </border>
    <border>
      <left style="medium">
        <color indexed="64"/>
      </left>
      <right style="thick">
        <color indexed="64"/>
      </right>
      <top/>
      <bottom style="medium">
        <color indexed="64"/>
      </bottom>
      <diagonal/>
    </border>
    <border>
      <left style="thick">
        <color indexed="64"/>
      </left>
      <right style="medium">
        <color indexed="64"/>
      </right>
      <top style="thick">
        <color indexed="64"/>
      </top>
      <bottom/>
      <diagonal/>
    </border>
    <border>
      <left style="medium">
        <color indexed="64"/>
      </left>
      <right/>
      <top style="thick">
        <color indexed="64"/>
      </top>
      <bottom style="medium">
        <color indexed="64"/>
      </bottom>
      <diagonal/>
    </border>
    <border>
      <left/>
      <right/>
      <top style="thick">
        <color indexed="64"/>
      </top>
      <bottom style="medium">
        <color indexed="64"/>
      </bottom>
      <diagonal/>
    </border>
    <border>
      <left/>
      <right style="medium">
        <color indexed="64"/>
      </right>
      <top style="thick">
        <color indexed="64"/>
      </top>
      <bottom style="medium">
        <color indexed="64"/>
      </bottom>
      <diagonal/>
    </border>
    <border>
      <left/>
      <right style="thick">
        <color indexed="64"/>
      </right>
      <top style="thick">
        <color indexed="64"/>
      </top>
      <bottom style="medium">
        <color indexed="64"/>
      </bottom>
      <diagonal/>
    </border>
    <border>
      <left style="thick">
        <color indexed="64"/>
      </left>
      <right style="medium">
        <color indexed="64"/>
      </right>
      <top/>
      <bottom/>
      <diagonal/>
    </border>
    <border>
      <left style="thick">
        <color indexed="64"/>
      </left>
      <right style="medium">
        <color indexed="64"/>
      </right>
      <top/>
      <bottom style="medium">
        <color indexed="64"/>
      </bottom>
      <diagonal/>
    </border>
    <border>
      <left/>
      <right style="thick">
        <color indexed="64"/>
      </right>
      <top style="medium">
        <color indexed="64"/>
      </top>
      <bottom style="medium">
        <color indexed="64"/>
      </bottom>
      <diagonal/>
    </border>
    <border>
      <left/>
      <right style="thick">
        <color indexed="64"/>
      </right>
      <top/>
      <bottom style="medium">
        <color indexed="64"/>
      </bottom>
      <diagonal/>
    </border>
    <border>
      <left style="thick">
        <color indexed="64"/>
      </left>
      <right style="medium">
        <color indexed="64"/>
      </right>
      <top/>
      <bottom style="double">
        <color indexed="64"/>
      </bottom>
      <diagonal/>
    </border>
    <border>
      <left/>
      <right style="medium">
        <color indexed="64"/>
      </right>
      <top style="medium">
        <color indexed="64"/>
      </top>
      <bottom style="double">
        <color indexed="64"/>
      </bottom>
      <diagonal/>
    </border>
    <border>
      <left style="medium">
        <color indexed="64"/>
      </left>
      <right style="thick">
        <color indexed="64"/>
      </right>
      <top style="medium">
        <color indexed="64"/>
      </top>
      <bottom style="double">
        <color indexed="64"/>
      </bottom>
      <diagonal/>
    </border>
    <border>
      <left style="thick">
        <color indexed="64"/>
      </left>
      <right style="medium">
        <color indexed="64"/>
      </right>
      <top/>
      <bottom style="thick">
        <color indexed="64"/>
      </bottom>
      <diagonal/>
    </border>
    <border>
      <left/>
      <right style="medium">
        <color indexed="64"/>
      </right>
      <top/>
      <bottom style="thick">
        <color indexed="64"/>
      </bottom>
      <diagonal/>
    </border>
    <border>
      <left style="medium">
        <color indexed="64"/>
      </left>
      <right style="medium">
        <color indexed="64"/>
      </right>
      <top/>
      <bottom style="thick">
        <color indexed="64"/>
      </bottom>
      <diagonal/>
    </border>
    <border>
      <left/>
      <right style="thick">
        <color indexed="64"/>
      </right>
      <top/>
      <bottom style="thick">
        <color indexed="64"/>
      </bottom>
      <diagonal/>
    </border>
    <border>
      <left/>
      <right style="thick">
        <color theme="0" tint="-0.34998626667073579"/>
      </right>
      <top/>
      <bottom/>
      <diagonal/>
    </border>
    <border>
      <left/>
      <right style="thin">
        <color rgb="FF000000"/>
      </right>
      <top style="thin">
        <color rgb="FF000000"/>
      </top>
      <bottom/>
      <diagonal/>
    </border>
    <border>
      <left style="thin">
        <color rgb="FF000000"/>
      </left>
      <right style="thin">
        <color rgb="FF000000"/>
      </right>
      <top style="thin">
        <color rgb="FF000000"/>
      </top>
      <bottom/>
      <diagonal/>
    </border>
    <border>
      <left style="medium">
        <color indexed="64"/>
      </left>
      <right style="medium">
        <color indexed="64"/>
      </right>
      <top style="double">
        <color indexed="64"/>
      </top>
      <bottom style="thick">
        <color indexed="64"/>
      </bottom>
      <diagonal/>
    </border>
    <border>
      <left style="thin">
        <color rgb="FF000000"/>
      </left>
      <right/>
      <top style="thin">
        <color rgb="FF000000"/>
      </top>
      <bottom/>
      <diagonal/>
    </border>
    <border>
      <left/>
      <right style="medium">
        <color indexed="64"/>
      </right>
      <top style="medium">
        <color indexed="64"/>
      </top>
      <bottom style="thin">
        <color indexed="64"/>
      </bottom>
      <diagonal/>
    </border>
    <border>
      <left style="medium">
        <color indexed="64"/>
      </left>
      <right style="medium">
        <color indexed="64"/>
      </right>
      <top style="thin">
        <color indexed="64"/>
      </top>
      <bottom style="double">
        <color indexed="64"/>
      </bottom>
      <diagonal/>
    </border>
    <border>
      <left style="thick">
        <color theme="0" tint="-0.34998626667073579"/>
      </left>
      <right style="medium">
        <color theme="0" tint="-4.9989318521683403E-2"/>
      </right>
      <top style="thick">
        <color theme="0" tint="-0.34998626667073579"/>
      </top>
      <bottom style="medium">
        <color theme="0" tint="-4.9989318521683403E-2"/>
      </bottom>
      <diagonal/>
    </border>
    <border>
      <left style="medium">
        <color indexed="64"/>
      </left>
      <right/>
      <top style="double">
        <color indexed="64"/>
      </top>
      <bottom style="thin">
        <color indexed="64"/>
      </bottom>
      <diagonal/>
    </border>
    <border>
      <left/>
      <right/>
      <top style="double">
        <color indexed="64"/>
      </top>
      <bottom style="thin">
        <color indexed="64"/>
      </bottom>
      <diagonal/>
    </border>
    <border>
      <left/>
      <right style="double">
        <color indexed="64"/>
      </right>
      <top style="double">
        <color indexed="64"/>
      </top>
      <bottom style="thin">
        <color indexed="64"/>
      </bottom>
      <diagonal/>
    </border>
    <border>
      <left/>
      <right style="medium">
        <color indexed="64"/>
      </right>
      <top style="double">
        <color indexed="64"/>
      </top>
      <bottom style="thin">
        <color indexed="64"/>
      </bottom>
      <diagonal/>
    </border>
    <border>
      <left/>
      <right/>
      <top style="double">
        <color indexed="64"/>
      </top>
      <bottom style="double">
        <color indexed="64"/>
      </bottom>
      <diagonal/>
    </border>
    <border>
      <left/>
      <right style="medium">
        <color indexed="64"/>
      </right>
      <top style="double">
        <color indexed="64"/>
      </top>
      <bottom style="double">
        <color indexed="64"/>
      </bottom>
      <diagonal/>
    </border>
    <border>
      <left style="thin">
        <color indexed="64"/>
      </left>
      <right/>
      <top style="double">
        <color indexed="64"/>
      </top>
      <bottom style="thin">
        <color indexed="64"/>
      </bottom>
      <diagonal/>
    </border>
    <border>
      <left/>
      <right style="thin">
        <color indexed="64"/>
      </right>
      <top style="double">
        <color indexed="64"/>
      </top>
      <bottom style="thin">
        <color indexed="64"/>
      </bottom>
      <diagonal/>
    </border>
    <border>
      <left/>
      <right/>
      <top style="thick">
        <color theme="0" tint="-0.34998626667073579"/>
      </top>
      <bottom/>
      <diagonal/>
    </border>
    <border>
      <left/>
      <right/>
      <top/>
      <bottom style="thick">
        <color theme="0" tint="-0.34998626667073579"/>
      </bottom>
      <diagonal/>
    </border>
  </borders>
  <cellStyleXfs count="130">
    <xf numFmtId="0" fontId="0" fillId="0" borderId="0"/>
    <xf numFmtId="0" fontId="24" fillId="2" borderId="0" applyNumberFormat="0" applyBorder="0" applyAlignment="0" applyProtection="0"/>
    <xf numFmtId="0" fontId="24" fillId="3" borderId="0" applyNumberFormat="0" applyBorder="0" applyAlignment="0" applyProtection="0"/>
    <xf numFmtId="0" fontId="24" fillId="4" borderId="0" applyNumberFormat="0" applyBorder="0" applyAlignment="0" applyProtection="0"/>
    <xf numFmtId="0" fontId="24" fillId="5" borderId="0" applyNumberFormat="0" applyBorder="0" applyAlignment="0" applyProtection="0"/>
    <xf numFmtId="0" fontId="24" fillId="6" borderId="0" applyNumberFormat="0" applyBorder="0" applyAlignment="0" applyProtection="0"/>
    <xf numFmtId="0" fontId="24" fillId="7" borderId="0" applyNumberFormat="0" applyBorder="0" applyAlignment="0" applyProtection="0"/>
    <xf numFmtId="0" fontId="24" fillId="8" borderId="0" applyNumberFormat="0" applyBorder="0" applyAlignment="0" applyProtection="0"/>
    <xf numFmtId="0" fontId="24" fillId="9" borderId="0" applyNumberFormat="0" applyBorder="0" applyAlignment="0" applyProtection="0"/>
    <xf numFmtId="0" fontId="24" fillId="10" borderId="0" applyNumberFormat="0" applyBorder="0" applyAlignment="0" applyProtection="0"/>
    <xf numFmtId="0" fontId="24" fillId="5" borderId="0" applyNumberFormat="0" applyBorder="0" applyAlignment="0" applyProtection="0"/>
    <xf numFmtId="0" fontId="24" fillId="8" borderId="0" applyNumberFormat="0" applyBorder="0" applyAlignment="0" applyProtection="0"/>
    <xf numFmtId="0" fontId="24" fillId="11" borderId="0" applyNumberFormat="0" applyBorder="0" applyAlignment="0" applyProtection="0"/>
    <xf numFmtId="0" fontId="25" fillId="12" borderId="0" applyNumberFormat="0" applyBorder="0" applyAlignment="0" applyProtection="0"/>
    <xf numFmtId="0" fontId="25" fillId="9" borderId="0" applyNumberFormat="0" applyBorder="0" applyAlignment="0" applyProtection="0"/>
    <xf numFmtId="0" fontId="25" fillId="10" borderId="0" applyNumberFormat="0" applyBorder="0" applyAlignment="0" applyProtection="0"/>
    <xf numFmtId="0" fontId="25" fillId="13" borderId="0" applyNumberFormat="0" applyBorder="0" applyAlignment="0" applyProtection="0"/>
    <xf numFmtId="0" fontId="25" fillId="14" borderId="0" applyNumberFormat="0" applyBorder="0" applyAlignment="0" applyProtection="0"/>
    <xf numFmtId="0" fontId="25" fillId="15" borderId="0" applyNumberFormat="0" applyBorder="0" applyAlignment="0" applyProtection="0"/>
    <xf numFmtId="0" fontId="25" fillId="16" borderId="0" applyNumberFormat="0" applyBorder="0" applyAlignment="0" applyProtection="0"/>
    <xf numFmtId="0" fontId="25" fillId="17" borderId="0" applyNumberFormat="0" applyBorder="0" applyAlignment="0" applyProtection="0"/>
    <xf numFmtId="0" fontId="25" fillId="18" borderId="0" applyNumberFormat="0" applyBorder="0" applyAlignment="0" applyProtection="0"/>
    <xf numFmtId="0" fontId="25" fillId="13" borderId="0" applyNumberFormat="0" applyBorder="0" applyAlignment="0" applyProtection="0"/>
    <xf numFmtId="0" fontId="25" fillId="14" borderId="0" applyNumberFormat="0" applyBorder="0" applyAlignment="0" applyProtection="0"/>
    <xf numFmtId="0" fontId="25" fillId="19" borderId="0" applyNumberFormat="0" applyBorder="0" applyAlignment="0" applyProtection="0"/>
    <xf numFmtId="0" fontId="26" fillId="3" borderId="0" applyNumberFormat="0" applyBorder="0" applyAlignment="0" applyProtection="0"/>
    <xf numFmtId="0" fontId="27" fillId="20" borderId="1" applyNumberFormat="0" applyAlignment="0" applyProtection="0"/>
    <xf numFmtId="0" fontId="28" fillId="21" borderId="2" applyNumberFormat="0" applyAlignment="0" applyProtection="0"/>
    <xf numFmtId="43" fontId="14" fillId="0" borderId="0" applyFont="0" applyFill="0" applyBorder="0" applyAlignment="0" applyProtection="0"/>
    <xf numFmtId="44" fontId="14" fillId="0" borderId="0" applyFont="0" applyFill="0" applyBorder="0" applyAlignment="0" applyProtection="0"/>
    <xf numFmtId="0" fontId="29" fillId="0" borderId="0" applyNumberFormat="0" applyFill="0" applyBorder="0" applyAlignment="0" applyProtection="0"/>
    <xf numFmtId="0" fontId="30" fillId="4" borderId="0" applyNumberFormat="0" applyBorder="0" applyAlignment="0" applyProtection="0"/>
    <xf numFmtId="0" fontId="31" fillId="0" borderId="3" applyNumberFormat="0" applyFill="0" applyAlignment="0" applyProtection="0"/>
    <xf numFmtId="0" fontId="32" fillId="0" borderId="4" applyNumberFormat="0" applyFill="0" applyAlignment="0" applyProtection="0"/>
    <xf numFmtId="0" fontId="33" fillId="0" borderId="5" applyNumberFormat="0" applyFill="0" applyAlignment="0" applyProtection="0"/>
    <xf numFmtId="0" fontId="33" fillId="0" borderId="0" applyNumberFormat="0" applyFill="0" applyBorder="0" applyAlignment="0" applyProtection="0"/>
    <xf numFmtId="0" fontId="15" fillId="0" borderId="0" applyNumberFormat="0" applyFill="0" applyBorder="0" applyAlignment="0" applyProtection="0">
      <alignment vertical="top"/>
      <protection locked="0"/>
    </xf>
    <xf numFmtId="0" fontId="34" fillId="7" borderId="1" applyNumberFormat="0" applyAlignment="0" applyProtection="0"/>
    <xf numFmtId="0" fontId="35" fillId="0" borderId="6" applyNumberFormat="0" applyFill="0" applyAlignment="0" applyProtection="0"/>
    <xf numFmtId="0" fontId="36" fillId="22" borderId="0" applyNumberFormat="0" applyBorder="0" applyAlignment="0" applyProtection="0"/>
    <xf numFmtId="0" fontId="37" fillId="23" borderId="7" applyNumberFormat="0" applyFont="0" applyAlignment="0" applyProtection="0"/>
    <xf numFmtId="0" fontId="38" fillId="20" borderId="8" applyNumberFormat="0" applyAlignment="0" applyProtection="0"/>
    <xf numFmtId="9" fontId="14" fillId="0" borderId="0" applyFont="0" applyFill="0" applyBorder="0" applyAlignment="0" applyProtection="0"/>
    <xf numFmtId="0" fontId="39" fillId="0" borderId="0" applyNumberFormat="0" applyFill="0" applyBorder="0" applyAlignment="0" applyProtection="0"/>
    <xf numFmtId="0" fontId="40" fillId="0" borderId="9" applyNumberFormat="0" applyFill="0" applyAlignment="0" applyProtection="0"/>
    <xf numFmtId="0" fontId="41" fillId="0" borderId="0" applyNumberFormat="0" applyFill="0" applyBorder="0" applyAlignment="0" applyProtection="0"/>
    <xf numFmtId="0" fontId="14" fillId="0" borderId="0"/>
    <xf numFmtId="0" fontId="24" fillId="0" borderId="0"/>
    <xf numFmtId="0" fontId="63" fillId="0" borderId="0" applyNumberFormat="0" applyFill="0" applyBorder="0" applyAlignment="0" applyProtection="0"/>
    <xf numFmtId="0" fontId="65" fillId="0" borderId="112" applyNumberFormat="0" applyFill="0" applyAlignment="0" applyProtection="0"/>
    <xf numFmtId="0" fontId="64" fillId="0" borderId="111" applyNumberFormat="0" applyFill="0" applyAlignment="0" applyProtection="0"/>
    <xf numFmtId="0" fontId="13" fillId="0" borderId="0"/>
    <xf numFmtId="0" fontId="66" fillId="0" borderId="113" applyNumberFormat="0" applyFill="0" applyAlignment="0" applyProtection="0"/>
    <xf numFmtId="0" fontId="66" fillId="0" borderId="0" applyNumberFormat="0" applyFill="0" applyBorder="0" applyAlignment="0" applyProtection="0"/>
    <xf numFmtId="0" fontId="67" fillId="31" borderId="0" applyNumberFormat="0" applyBorder="0" applyAlignment="0" applyProtection="0"/>
    <xf numFmtId="0" fontId="68" fillId="32" borderId="0" applyNumberFormat="0" applyBorder="0" applyAlignment="0" applyProtection="0"/>
    <xf numFmtId="0" fontId="69" fillId="33" borderId="0" applyNumberFormat="0" applyBorder="0" applyAlignment="0" applyProtection="0"/>
    <xf numFmtId="0" fontId="70" fillId="34" borderId="114" applyNumberFormat="0" applyAlignment="0" applyProtection="0"/>
    <xf numFmtId="0" fontId="71" fillId="35" borderId="115" applyNumberFormat="0" applyAlignment="0" applyProtection="0"/>
    <xf numFmtId="0" fontId="72" fillId="35" borderId="114" applyNumberFormat="0" applyAlignment="0" applyProtection="0"/>
    <xf numFmtId="0" fontId="73" fillId="0" borderId="116" applyNumberFormat="0" applyFill="0" applyAlignment="0" applyProtection="0"/>
    <xf numFmtId="0" fontId="74" fillId="36" borderId="117" applyNumberFormat="0" applyAlignment="0" applyProtection="0"/>
    <xf numFmtId="0" fontId="75" fillId="0" borderId="0" applyNumberFormat="0" applyFill="0" applyBorder="0" applyAlignment="0" applyProtection="0"/>
    <xf numFmtId="0" fontId="13" fillId="37" borderId="118" applyNumberFormat="0" applyFont="0" applyAlignment="0" applyProtection="0"/>
    <xf numFmtId="0" fontId="76" fillId="0" borderId="0" applyNumberFormat="0" applyFill="0" applyBorder="0" applyAlignment="0" applyProtection="0"/>
    <xf numFmtId="0" fontId="77" fillId="0" borderId="119" applyNumberFormat="0" applyFill="0" applyAlignment="0" applyProtection="0"/>
    <xf numFmtId="0" fontId="78" fillId="38" borderId="0" applyNumberFormat="0" applyBorder="0" applyAlignment="0" applyProtection="0"/>
    <xf numFmtId="0" fontId="13" fillId="39" borderId="0" applyNumberFormat="0" applyBorder="0" applyAlignment="0" applyProtection="0"/>
    <xf numFmtId="0" fontId="13" fillId="40" borderId="0" applyNumberFormat="0" applyBorder="0" applyAlignment="0" applyProtection="0"/>
    <xf numFmtId="0" fontId="78" fillId="41" borderId="0" applyNumberFormat="0" applyBorder="0" applyAlignment="0" applyProtection="0"/>
    <xf numFmtId="0" fontId="78" fillId="42" borderId="0" applyNumberFormat="0" applyBorder="0" applyAlignment="0" applyProtection="0"/>
    <xf numFmtId="0" fontId="13" fillId="43" borderId="0" applyNumberFormat="0" applyBorder="0" applyAlignment="0" applyProtection="0"/>
    <xf numFmtId="0" fontId="13" fillId="44" borderId="0" applyNumberFormat="0" applyBorder="0" applyAlignment="0" applyProtection="0"/>
    <xf numFmtId="0" fontId="78" fillId="45" borderId="0" applyNumberFormat="0" applyBorder="0" applyAlignment="0" applyProtection="0"/>
    <xf numFmtId="0" fontId="78" fillId="46" borderId="0" applyNumberFormat="0" applyBorder="0" applyAlignment="0" applyProtection="0"/>
    <xf numFmtId="0" fontId="13" fillId="47" borderId="0" applyNumberFormat="0" applyBorder="0" applyAlignment="0" applyProtection="0"/>
    <xf numFmtId="0" fontId="13" fillId="48" borderId="0" applyNumberFormat="0" applyBorder="0" applyAlignment="0" applyProtection="0"/>
    <xf numFmtId="0" fontId="78" fillId="49" borderId="0" applyNumberFormat="0" applyBorder="0" applyAlignment="0" applyProtection="0"/>
    <xf numFmtId="0" fontId="78" fillId="50" borderId="0" applyNumberFormat="0" applyBorder="0" applyAlignment="0" applyProtection="0"/>
    <xf numFmtId="0" fontId="13" fillId="51" borderId="0" applyNumberFormat="0" applyBorder="0" applyAlignment="0" applyProtection="0"/>
    <xf numFmtId="0" fontId="13" fillId="52" borderId="0" applyNumberFormat="0" applyBorder="0" applyAlignment="0" applyProtection="0"/>
    <xf numFmtId="0" fontId="78" fillId="53" borderId="0" applyNumberFormat="0" applyBorder="0" applyAlignment="0" applyProtection="0"/>
    <xf numFmtId="0" fontId="78" fillId="54" borderId="0" applyNumberFormat="0" applyBorder="0" applyAlignment="0" applyProtection="0"/>
    <xf numFmtId="0" fontId="13" fillId="55" borderId="0" applyNumberFormat="0" applyBorder="0" applyAlignment="0" applyProtection="0"/>
    <xf numFmtId="0" fontId="13" fillId="56" borderId="0" applyNumberFormat="0" applyBorder="0" applyAlignment="0" applyProtection="0"/>
    <xf numFmtId="0" fontId="78" fillId="57" borderId="0" applyNumberFormat="0" applyBorder="0" applyAlignment="0" applyProtection="0"/>
    <xf numFmtId="0" fontId="78" fillId="58" borderId="0" applyNumberFormat="0" applyBorder="0" applyAlignment="0" applyProtection="0"/>
    <xf numFmtId="0" fontId="13" fillId="59" borderId="0" applyNumberFormat="0" applyBorder="0" applyAlignment="0" applyProtection="0"/>
    <xf numFmtId="0" fontId="13" fillId="60" borderId="0" applyNumberFormat="0" applyBorder="0" applyAlignment="0" applyProtection="0"/>
    <xf numFmtId="0" fontId="78" fillId="61" borderId="0" applyNumberFormat="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1" fillId="0" borderId="0"/>
    <xf numFmtId="43" fontId="11" fillId="0" borderId="0" applyFont="0" applyFill="0" applyBorder="0" applyAlignment="0" applyProtection="0"/>
    <xf numFmtId="9" fontId="11" fillId="0" borderId="0" applyFont="0" applyFill="0" applyBorder="0" applyAlignment="0" applyProtection="0"/>
    <xf numFmtId="0" fontId="14" fillId="0" borderId="0"/>
    <xf numFmtId="0" fontId="14" fillId="0" borderId="0"/>
    <xf numFmtId="0" fontId="14" fillId="0" borderId="0"/>
    <xf numFmtId="0" fontId="10" fillId="0" borderId="0"/>
    <xf numFmtId="9" fontId="10" fillId="0" borderId="0" applyFont="0" applyFill="0" applyBorder="0" applyAlignment="0" applyProtection="0"/>
    <xf numFmtId="44" fontId="10" fillId="0" borderId="0" applyFont="0" applyFill="0" applyBorder="0" applyAlignment="0" applyProtection="0"/>
    <xf numFmtId="43" fontId="10" fillId="0" borderId="0" applyFont="0" applyFill="0" applyBorder="0" applyAlignment="0" applyProtection="0"/>
    <xf numFmtId="180" fontId="14" fillId="0" borderId="0"/>
    <xf numFmtId="181" fontId="14" fillId="0" borderId="0"/>
    <xf numFmtId="180" fontId="14" fillId="0" borderId="0"/>
    <xf numFmtId="180" fontId="14" fillId="0" borderId="0"/>
    <xf numFmtId="180" fontId="14" fillId="0" borderId="0"/>
    <xf numFmtId="180" fontId="14" fillId="0" borderId="0"/>
    <xf numFmtId="182" fontId="14" fillId="0" borderId="0"/>
    <xf numFmtId="183" fontId="14" fillId="0" borderId="0"/>
    <xf numFmtId="182" fontId="14" fillId="0" borderId="0"/>
    <xf numFmtId="3" fontId="14" fillId="0" borderId="0" applyFont="0" applyFill="0" applyBorder="0" applyAlignment="0" applyProtection="0"/>
    <xf numFmtId="164" fontId="14" fillId="0" borderId="0" applyFont="0" applyFill="0" applyBorder="0" applyAlignment="0" applyProtection="0"/>
    <xf numFmtId="14" fontId="14" fillId="0" borderId="0" applyFont="0" applyFill="0" applyBorder="0" applyAlignment="0" applyProtection="0"/>
    <xf numFmtId="2" fontId="14" fillId="0" borderId="0" applyFont="0" applyFill="0" applyBorder="0" applyAlignment="0" applyProtection="0"/>
    <xf numFmtId="38" fontId="16" fillId="27" borderId="0" applyNumberFormat="0" applyBorder="0" applyAlignment="0" applyProtection="0"/>
    <xf numFmtId="10" fontId="16" fillId="68" borderId="10" applyNumberFormat="0" applyBorder="0" applyAlignment="0" applyProtection="0"/>
    <xf numFmtId="184" fontId="14" fillId="0" borderId="0"/>
    <xf numFmtId="185" fontId="14" fillId="0" borderId="0"/>
    <xf numFmtId="184" fontId="14" fillId="0" borderId="0"/>
    <xf numFmtId="184" fontId="14" fillId="0" borderId="0"/>
    <xf numFmtId="184" fontId="14" fillId="0" borderId="0"/>
    <xf numFmtId="184" fontId="14" fillId="0" borderId="0"/>
    <xf numFmtId="186" fontId="14" fillId="0" borderId="0"/>
    <xf numFmtId="10" fontId="14" fillId="0" borderId="0" applyFont="0" applyFill="0" applyBorder="0" applyAlignment="0" applyProtection="0"/>
    <xf numFmtId="0" fontId="9" fillId="0" borderId="0"/>
    <xf numFmtId="43" fontId="9" fillId="0" borderId="0" applyFont="0" applyFill="0" applyBorder="0" applyAlignment="0" applyProtection="0"/>
    <xf numFmtId="9" fontId="9" fillId="0" borderId="0" applyFont="0" applyFill="0" applyBorder="0" applyAlignment="0" applyProtection="0"/>
    <xf numFmtId="44" fontId="14" fillId="0" borderId="0" applyFont="0" applyFill="0" applyBorder="0" applyAlignment="0" applyProtection="0"/>
  </cellStyleXfs>
  <cellXfs count="2091">
    <xf numFmtId="0" fontId="0" fillId="0" borderId="0" xfId="0"/>
    <xf numFmtId="0" fontId="0" fillId="0" borderId="0" xfId="0" applyProtection="1"/>
    <xf numFmtId="0" fontId="0" fillId="0" borderId="0" xfId="0" applyFill="1" applyBorder="1"/>
    <xf numFmtId="0" fontId="17" fillId="0" borderId="0" xfId="0" applyFont="1"/>
    <xf numFmtId="0" fontId="0" fillId="0" borderId="0" xfId="0" applyAlignment="1" applyProtection="1">
      <alignment vertical="center"/>
    </xf>
    <xf numFmtId="0" fontId="0" fillId="0" borderId="0" xfId="0" applyFill="1" applyAlignment="1" applyProtection="1">
      <alignment vertical="center"/>
    </xf>
    <xf numFmtId="0" fontId="20" fillId="0" borderId="0" xfId="0" applyFont="1"/>
    <xf numFmtId="0" fontId="0" fillId="0" borderId="44" xfId="0" applyBorder="1"/>
    <xf numFmtId="0" fontId="17" fillId="0" borderId="0" xfId="0" applyFont="1" applyAlignment="1">
      <alignment vertical="top"/>
    </xf>
    <xf numFmtId="0" fontId="0" fillId="0" borderId="0" xfId="0" applyAlignment="1">
      <alignment wrapText="1"/>
    </xf>
    <xf numFmtId="0" fontId="37" fillId="0" borderId="0" xfId="0" applyFont="1"/>
    <xf numFmtId="0" fontId="17" fillId="0" borderId="0" xfId="0" applyFont="1" applyAlignment="1">
      <alignment horizontal="center"/>
    </xf>
    <xf numFmtId="0" fontId="44" fillId="0" borderId="0" xfId="36" quotePrefix="1" applyFont="1" applyAlignment="1" applyProtection="1">
      <alignment horizontal="center"/>
    </xf>
    <xf numFmtId="0" fontId="14" fillId="0" borderId="0" xfId="0" applyFont="1"/>
    <xf numFmtId="0" fontId="37" fillId="0" borderId="0" xfId="0" applyFont="1" applyProtection="1"/>
    <xf numFmtId="0" fontId="51" fillId="0" borderId="0" xfId="0" applyFont="1"/>
    <xf numFmtId="0" fontId="55" fillId="0" borderId="0" xfId="0" applyFont="1" applyFill="1" applyBorder="1" applyAlignment="1">
      <alignment vertical="top"/>
    </xf>
    <xf numFmtId="0" fontId="0" fillId="29" borderId="44" xfId="0" applyFill="1" applyBorder="1"/>
    <xf numFmtId="0" fontId="0" fillId="28" borderId="44" xfId="0" applyFill="1" applyBorder="1"/>
    <xf numFmtId="0" fontId="0" fillId="0" borderId="0" xfId="0" applyFill="1" applyBorder="1" applyAlignment="1">
      <alignment wrapText="1"/>
    </xf>
    <xf numFmtId="0" fontId="56" fillId="0" borderId="0" xfId="0" applyFont="1" applyAlignment="1" applyProtection="1">
      <alignment horizontal="right" vertical="center"/>
    </xf>
    <xf numFmtId="0" fontId="37" fillId="0" borderId="0" xfId="0" applyFont="1" applyAlignment="1" applyProtection="1">
      <alignment horizontal="right" vertical="center"/>
    </xf>
    <xf numFmtId="0" fontId="56" fillId="0" borderId="0" xfId="0" applyFont="1" applyAlignment="1" applyProtection="1">
      <alignment horizontal="right" vertical="center" indent="1"/>
    </xf>
    <xf numFmtId="0" fontId="37" fillId="0" borderId="0" xfId="0" applyFont="1" applyAlignment="1">
      <alignment horizontal="right" indent="1"/>
    </xf>
    <xf numFmtId="0" fontId="57" fillId="0" borderId="0" xfId="0" applyFont="1" applyAlignment="1">
      <alignment horizontal="left" vertical="top" indent="1"/>
    </xf>
    <xf numFmtId="0" fontId="53" fillId="0" borderId="0" xfId="0" applyFont="1"/>
    <xf numFmtId="0" fontId="79" fillId="0" borderId="0" xfId="0" applyFont="1"/>
    <xf numFmtId="0" fontId="17" fillId="0" borderId="0" xfId="0" applyFont="1" applyAlignment="1"/>
    <xf numFmtId="0" fontId="15" fillId="0" borderId="0" xfId="36" applyAlignment="1" applyProtection="1"/>
    <xf numFmtId="0" fontId="14" fillId="0" borderId="0" xfId="36" applyFont="1" applyAlignment="1" applyProtection="1"/>
    <xf numFmtId="172" fontId="14" fillId="0" borderId="0" xfId="46" applyNumberFormat="1" applyFill="1" applyBorder="1" applyProtection="1">
      <protection locked="0"/>
    </xf>
    <xf numFmtId="172" fontId="14" fillId="0" borderId="0" xfId="46" quotePrefix="1" applyNumberFormat="1" applyFill="1" applyBorder="1" applyProtection="1">
      <protection locked="0"/>
    </xf>
    <xf numFmtId="172" fontId="14" fillId="29" borderId="0" xfId="46" applyNumberFormat="1" applyFill="1" applyBorder="1" applyProtection="1">
      <protection locked="0"/>
    </xf>
    <xf numFmtId="172" fontId="14" fillId="29" borderId="0" xfId="46" applyNumberFormat="1" applyFill="1" applyAlignment="1" applyProtection="1">
      <alignment horizontal="center" vertical="center"/>
      <protection locked="0"/>
    </xf>
    <xf numFmtId="0" fontId="86" fillId="0" borderId="0" xfId="0" applyFont="1"/>
    <xf numFmtId="0" fontId="56" fillId="0" borderId="0" xfId="0" applyFont="1" applyAlignment="1" applyProtection="1">
      <alignment horizontal="center" vertical="center" wrapText="1"/>
    </xf>
    <xf numFmtId="0" fontId="56" fillId="0" borderId="0" xfId="0" applyFont="1" applyAlignment="1" applyProtection="1">
      <alignment horizontal="right" vertical="center" wrapText="1" indent="1"/>
    </xf>
    <xf numFmtId="0" fontId="56" fillId="0" borderId="0" xfId="0" applyFont="1" applyAlignment="1" applyProtection="1">
      <alignment horizontal="right" vertical="center" wrapText="1" indent="1"/>
    </xf>
    <xf numFmtId="0" fontId="42" fillId="0" borderId="0" xfId="0" applyFont="1" applyFill="1"/>
    <xf numFmtId="0" fontId="0" fillId="29" borderId="94" xfId="0" applyNumberFormat="1" applyFill="1" applyBorder="1" applyAlignment="1" applyProtection="1">
      <alignment vertical="center"/>
      <protection locked="0"/>
    </xf>
    <xf numFmtId="0" fontId="0" fillId="29" borderId="95" xfId="0" applyNumberFormat="1" applyFill="1" applyBorder="1" applyAlignment="1" applyProtection="1">
      <alignment vertical="center"/>
      <protection locked="0"/>
    </xf>
    <xf numFmtId="0" fontId="0" fillId="29" borderId="96" xfId="0" applyNumberFormat="1" applyFill="1" applyBorder="1" applyAlignment="1" applyProtection="1">
      <alignment vertical="center"/>
      <protection locked="0"/>
    </xf>
    <xf numFmtId="0" fontId="56" fillId="0" borderId="0" xfId="0" applyFont="1" applyAlignment="1" applyProtection="1">
      <alignment horizontal="right" vertical="center" wrapText="1" indent="1"/>
    </xf>
    <xf numFmtId="0" fontId="0" fillId="0" borderId="0" xfId="0" applyProtection="1">
      <protection locked="0"/>
    </xf>
    <xf numFmtId="0" fontId="0" fillId="0" borderId="0" xfId="0" applyAlignment="1" applyProtection="1">
      <alignment vertical="top"/>
      <protection locked="0"/>
    </xf>
    <xf numFmtId="0" fontId="0" fillId="64" borderId="0" xfId="0" applyFill="1"/>
    <xf numFmtId="187" fontId="48" fillId="0" borderId="0" xfId="0" applyNumberFormat="1" applyFont="1" applyAlignment="1">
      <alignment horizontal="center" vertical="center"/>
    </xf>
    <xf numFmtId="0" fontId="48" fillId="28" borderId="161" xfId="0" applyNumberFormat="1" applyFont="1" applyFill="1" applyBorder="1" applyAlignment="1" applyProtection="1">
      <alignment horizontal="center" vertical="center"/>
      <protection locked="0"/>
    </xf>
    <xf numFmtId="0" fontId="0" fillId="28" borderId="0" xfId="0" applyNumberFormat="1" applyFill="1" applyBorder="1" applyAlignment="1" applyProtection="1">
      <alignment horizontal="center" vertical="center"/>
      <protection locked="0"/>
    </xf>
    <xf numFmtId="0" fontId="14" fillId="0" borderId="0" xfId="0" applyFont="1" applyAlignment="1">
      <alignment vertical="center"/>
    </xf>
    <xf numFmtId="0" fontId="0" fillId="0" borderId="0" xfId="0" applyAlignment="1">
      <alignment vertical="center"/>
    </xf>
    <xf numFmtId="0" fontId="16" fillId="29" borderId="100" xfId="46" applyFont="1" applyFill="1" applyBorder="1" applyAlignment="1" applyProtection="1">
      <alignment horizontal="right" vertical="top"/>
      <protection locked="0"/>
    </xf>
    <xf numFmtId="0" fontId="14" fillId="0" borderId="0" xfId="46" applyProtection="1">
      <protection locked="0"/>
    </xf>
    <xf numFmtId="0" fontId="14" fillId="29" borderId="10" xfId="46" applyFill="1" applyBorder="1" applyAlignment="1" applyProtection="1">
      <alignment horizontal="center" vertical="center"/>
      <protection locked="0"/>
    </xf>
    <xf numFmtId="0" fontId="15" fillId="0" borderId="0" xfId="36" applyAlignment="1" applyProtection="1">
      <alignment horizontal="left" vertical="top"/>
    </xf>
    <xf numFmtId="0" fontId="15" fillId="64" borderId="0" xfId="36" applyFill="1" applyAlignment="1" applyProtection="1">
      <alignment horizontal="left" vertical="top"/>
    </xf>
    <xf numFmtId="0" fontId="14" fillId="0" borderId="0" xfId="46" applyFont="1" applyProtection="1">
      <protection locked="0"/>
    </xf>
    <xf numFmtId="0" fontId="14" fillId="63" borderId="10" xfId="46" applyFill="1" applyBorder="1" applyProtection="1">
      <protection locked="0"/>
    </xf>
    <xf numFmtId="0" fontId="14" fillId="0" borderId="0" xfId="46" applyAlignment="1" applyProtection="1">
      <alignment vertical="center" wrapText="1"/>
      <protection locked="0"/>
    </xf>
    <xf numFmtId="0" fontId="14" fillId="0" borderId="0" xfId="46" applyAlignment="1" applyProtection="1">
      <alignment vertical="top" wrapText="1"/>
      <protection locked="0"/>
    </xf>
    <xf numFmtId="0" fontId="17" fillId="0" borderId="0" xfId="0" applyFont="1" applyProtection="1">
      <protection locked="0"/>
    </xf>
    <xf numFmtId="0" fontId="16" fillId="0" borderId="0" xfId="0" applyFont="1" applyAlignment="1" applyProtection="1">
      <alignment horizontal="right" vertical="top"/>
      <protection locked="0"/>
    </xf>
    <xf numFmtId="0" fontId="16" fillId="29" borderId="100" xfId="0" applyFont="1" applyFill="1" applyBorder="1" applyAlignment="1" applyProtection="1">
      <alignment horizontal="right" vertical="top"/>
      <protection locked="0"/>
    </xf>
    <xf numFmtId="0" fontId="16" fillId="29" borderId="0" xfId="0" applyFont="1" applyFill="1" applyAlignment="1" applyProtection="1">
      <alignment horizontal="right" vertical="top"/>
      <protection locked="0"/>
    </xf>
    <xf numFmtId="0" fontId="21" fillId="0" borderId="0" xfId="0" applyFont="1" applyAlignment="1" applyProtection="1">
      <protection locked="0"/>
    </xf>
    <xf numFmtId="0" fontId="17" fillId="0" borderId="50" xfId="0" applyFont="1" applyFill="1" applyBorder="1" applyProtection="1">
      <protection locked="0"/>
    </xf>
    <xf numFmtId="0" fontId="17" fillId="0" borderId="24" xfId="0" applyFont="1" applyFill="1" applyBorder="1" applyAlignment="1" applyProtection="1">
      <alignment horizontal="center" vertical="center" wrapText="1"/>
      <protection locked="0"/>
    </xf>
    <xf numFmtId="0" fontId="17" fillId="0" borderId="16" xfId="0" applyFont="1" applyFill="1" applyBorder="1" applyProtection="1">
      <protection locked="0"/>
    </xf>
    <xf numFmtId="0" fontId="17" fillId="28" borderId="19" xfId="0" applyFont="1" applyFill="1" applyBorder="1" applyAlignment="1" applyProtection="1">
      <alignment horizontal="center"/>
      <protection locked="0"/>
    </xf>
    <xf numFmtId="0" fontId="17" fillId="29" borderId="33" xfId="0" applyFont="1" applyFill="1" applyBorder="1" applyProtection="1">
      <protection locked="0"/>
    </xf>
    <xf numFmtId="3" fontId="0" fillId="0" borderId="10" xfId="29" applyNumberFormat="1" applyFont="1" applyFill="1" applyBorder="1" applyProtection="1">
      <protection locked="0"/>
    </xf>
    <xf numFmtId="3" fontId="0" fillId="29" borderId="11" xfId="29" applyNumberFormat="1" applyFont="1" applyFill="1" applyBorder="1" applyProtection="1">
      <protection locked="0"/>
    </xf>
    <xf numFmtId="3" fontId="0" fillId="29" borderId="10" xfId="29" applyNumberFormat="1" applyFont="1" applyFill="1" applyBorder="1" applyProtection="1">
      <protection locked="0"/>
    </xf>
    <xf numFmtId="3" fontId="0" fillId="29" borderId="17" xfId="29" applyNumberFormat="1" applyFont="1" applyFill="1" applyBorder="1" applyProtection="1">
      <protection locked="0"/>
    </xf>
    <xf numFmtId="0" fontId="17" fillId="0" borderId="33" xfId="0" applyFont="1" applyFill="1" applyBorder="1" applyProtection="1">
      <protection locked="0"/>
    </xf>
    <xf numFmtId="3" fontId="0" fillId="0" borderId="10" xfId="0" applyNumberFormat="1" applyFill="1" applyBorder="1" applyProtection="1">
      <protection locked="0"/>
    </xf>
    <xf numFmtId="0" fontId="17" fillId="29" borderId="33" xfId="0" applyFont="1" applyFill="1" applyBorder="1" applyAlignment="1" applyProtection="1">
      <alignment wrapText="1"/>
      <protection locked="0"/>
    </xf>
    <xf numFmtId="3" fontId="0" fillId="0" borderId="19" xfId="29" applyNumberFormat="1" applyFont="1" applyFill="1" applyBorder="1" applyProtection="1">
      <protection locked="0"/>
    </xf>
    <xf numFmtId="0" fontId="17" fillId="0" borderId="132" xfId="0" applyFont="1" applyFill="1" applyBorder="1" applyProtection="1">
      <protection locked="0"/>
    </xf>
    <xf numFmtId="3" fontId="17" fillId="0" borderId="57" xfId="0" applyNumberFormat="1" applyFont="1" applyFill="1" applyBorder="1" applyProtection="1">
      <protection locked="0"/>
    </xf>
    <xf numFmtId="0" fontId="17" fillId="0" borderId="10" xfId="0" applyFont="1" applyBorder="1" applyAlignment="1" applyProtection="1">
      <alignment vertical="top" wrapText="1"/>
      <protection locked="0"/>
    </xf>
    <xf numFmtId="0" fontId="17" fillId="0" borderId="57" xfId="0" applyFont="1" applyFill="1" applyBorder="1" applyProtection="1">
      <protection locked="0"/>
    </xf>
    <xf numFmtId="0" fontId="43" fillId="0" borderId="0" xfId="0" applyFont="1" applyAlignment="1" applyProtection="1">
      <alignment horizontal="left" vertical="top"/>
      <protection locked="0"/>
    </xf>
    <xf numFmtId="0" fontId="14" fillId="0" borderId="0" xfId="0" applyFont="1" applyProtection="1">
      <protection locked="0"/>
    </xf>
    <xf numFmtId="0" fontId="101" fillId="0" borderId="0" xfId="0" applyFont="1" applyAlignment="1" applyProtection="1">
      <alignment vertical="center"/>
      <protection locked="0"/>
    </xf>
    <xf numFmtId="0" fontId="19" fillId="0" borderId="0" xfId="0" applyFont="1" applyAlignment="1" applyProtection="1">
      <alignment vertical="center"/>
      <protection locked="0"/>
    </xf>
    <xf numFmtId="0" fontId="0" fillId="0" borderId="0" xfId="0" applyAlignment="1" applyProtection="1">
      <protection locked="0"/>
    </xf>
    <xf numFmtId="0" fontId="98" fillId="0" borderId="0" xfId="0" applyFont="1" applyAlignment="1" applyProtection="1">
      <alignment vertical="center"/>
      <protection locked="0"/>
    </xf>
    <xf numFmtId="0" fontId="102" fillId="0" borderId="0" xfId="0" applyFont="1" applyAlignment="1" applyProtection="1">
      <alignment vertical="center"/>
      <protection locked="0"/>
    </xf>
    <xf numFmtId="0" fontId="103" fillId="0" borderId="0" xfId="0" applyFont="1" applyAlignment="1" applyProtection="1">
      <alignment horizontal="left" indent="4"/>
      <protection locked="0"/>
    </xf>
    <xf numFmtId="0" fontId="98" fillId="0" borderId="0" xfId="0" applyFont="1" applyAlignment="1" applyProtection="1">
      <alignment horizontal="left" vertical="center" indent="1"/>
      <protection locked="0"/>
    </xf>
    <xf numFmtId="0" fontId="104" fillId="0" borderId="0" xfId="36" applyFont="1" applyAlignment="1" applyProtection="1">
      <alignment horizontal="left" vertical="center" indent="1"/>
      <protection locked="0"/>
    </xf>
    <xf numFmtId="0" fontId="98" fillId="0" borderId="0" xfId="0" applyFont="1" applyProtection="1">
      <protection locked="0"/>
    </xf>
    <xf numFmtId="0" fontId="100" fillId="0" borderId="0" xfId="0" applyFont="1" applyAlignment="1" applyProtection="1">
      <alignment vertical="center"/>
      <protection locked="0"/>
    </xf>
    <xf numFmtId="0" fontId="15" fillId="0" borderId="0" xfId="36" applyAlignment="1" applyProtection="1">
      <alignment horizontal="left" vertical="center" indent="4"/>
      <protection locked="0"/>
    </xf>
    <xf numFmtId="0" fontId="99" fillId="0" borderId="0" xfId="0" applyFont="1" applyAlignment="1" applyProtection="1">
      <alignment horizontal="left" vertical="center" indent="4"/>
      <protection locked="0"/>
    </xf>
    <xf numFmtId="0" fontId="100" fillId="0" borderId="0" xfId="0" applyFont="1" applyAlignment="1" applyProtection="1">
      <alignment horizontal="left" vertical="center" indent="1"/>
      <protection locked="0"/>
    </xf>
    <xf numFmtId="0" fontId="15" fillId="0" borderId="0" xfId="36" applyAlignment="1" applyProtection="1">
      <alignment horizontal="left" vertical="center" indent="1"/>
      <protection locked="0"/>
    </xf>
    <xf numFmtId="0" fontId="98" fillId="0" borderId="0" xfId="0" applyFont="1" applyAlignment="1" applyProtection="1">
      <alignment horizontal="left" vertical="center" indent="4"/>
      <protection locked="0"/>
    </xf>
    <xf numFmtId="0" fontId="103" fillId="0" borderId="0" xfId="0" applyFont="1" applyAlignment="1" applyProtection="1">
      <alignment vertical="center"/>
      <protection locked="0"/>
    </xf>
    <xf numFmtId="0" fontId="17" fillId="0" borderId="0" xfId="0" applyFont="1" applyAlignment="1" applyProtection="1">
      <alignment horizontal="right" vertical="center"/>
      <protection locked="0"/>
    </xf>
    <xf numFmtId="0" fontId="107" fillId="0" borderId="0" xfId="0" applyFont="1" applyAlignment="1" applyProtection="1">
      <alignment horizontal="center" vertical="center"/>
      <protection locked="0"/>
    </xf>
    <xf numFmtId="0" fontId="14" fillId="0" borderId="0" xfId="0" applyFont="1" applyFill="1" applyProtection="1">
      <protection locked="0"/>
    </xf>
    <xf numFmtId="0" fontId="62" fillId="0" borderId="31" xfId="0" applyFont="1" applyFill="1" applyBorder="1" applyAlignment="1" applyProtection="1">
      <alignment horizontal="center" vertical="center" wrapText="1"/>
      <protection locked="0"/>
    </xf>
    <xf numFmtId="0" fontId="62" fillId="0" borderId="44" xfId="0" applyFont="1" applyFill="1" applyBorder="1" applyAlignment="1" applyProtection="1">
      <alignment horizontal="center" vertical="center" wrapText="1"/>
      <protection locked="0"/>
    </xf>
    <xf numFmtId="0" fontId="19" fillId="0" borderId="144" xfId="0" applyFont="1" applyFill="1" applyBorder="1" applyAlignment="1" applyProtection="1">
      <alignment horizontal="right" vertical="center" wrapText="1" indent="1"/>
      <protection locked="0"/>
    </xf>
    <xf numFmtId="41" fontId="14" fillId="29" borderId="31" xfId="0" applyNumberFormat="1" applyFont="1" applyFill="1" applyBorder="1" applyAlignment="1" applyProtection="1">
      <alignment horizontal="center" vertical="center" wrapText="1"/>
      <protection locked="0"/>
    </xf>
    <xf numFmtId="165" fontId="14" fillId="0" borderId="31" xfId="0" applyNumberFormat="1" applyFont="1" applyFill="1" applyBorder="1" applyAlignment="1" applyProtection="1">
      <alignment horizontal="center" vertical="center" wrapText="1"/>
      <protection locked="0"/>
    </xf>
    <xf numFmtId="41" fontId="14" fillId="29" borderId="44" xfId="0" applyNumberFormat="1" applyFont="1" applyFill="1" applyBorder="1" applyAlignment="1" applyProtection="1">
      <alignment horizontal="center" vertical="center" wrapText="1"/>
      <protection locked="0"/>
    </xf>
    <xf numFmtId="41" fontId="14" fillId="29" borderId="146" xfId="0" applyNumberFormat="1" applyFont="1" applyFill="1" applyBorder="1" applyAlignment="1" applyProtection="1">
      <alignment horizontal="center" vertical="center" wrapText="1"/>
      <protection locked="0"/>
    </xf>
    <xf numFmtId="41" fontId="14" fillId="29" borderId="41" xfId="0" applyNumberFormat="1" applyFont="1" applyFill="1" applyBorder="1" applyAlignment="1" applyProtection="1">
      <alignment horizontal="center" vertical="center" wrapText="1"/>
      <protection locked="0"/>
    </xf>
    <xf numFmtId="0" fontId="19" fillId="0" borderId="147" xfId="0" applyFont="1" applyFill="1" applyBorder="1" applyAlignment="1" applyProtection="1">
      <alignment horizontal="right" vertical="center" wrapText="1" indent="1"/>
      <protection locked="0"/>
    </xf>
    <xf numFmtId="41" fontId="14" fillId="0" borderId="56" xfId="0" applyNumberFormat="1" applyFont="1" applyFill="1" applyBorder="1" applyAlignment="1" applyProtection="1">
      <alignment horizontal="center" vertical="center" wrapText="1"/>
      <protection locked="0"/>
    </xf>
    <xf numFmtId="165" fontId="14" fillId="0" borderId="29" xfId="0" applyNumberFormat="1" applyFont="1" applyFill="1" applyBorder="1" applyAlignment="1" applyProtection="1">
      <alignment horizontal="center" vertical="center" wrapText="1"/>
      <protection locked="0"/>
    </xf>
    <xf numFmtId="41" fontId="14" fillId="0" borderId="148" xfId="0" applyNumberFormat="1" applyFont="1" applyFill="1" applyBorder="1" applyAlignment="1" applyProtection="1">
      <alignment horizontal="center" vertical="center" wrapText="1"/>
      <protection locked="0"/>
    </xf>
    <xf numFmtId="41" fontId="14" fillId="0" borderId="149" xfId="0" applyNumberFormat="1" applyFont="1" applyFill="1" applyBorder="1" applyAlignment="1" applyProtection="1">
      <alignment horizontal="center" vertical="center" wrapText="1"/>
      <protection locked="0"/>
    </xf>
    <xf numFmtId="0" fontId="19" fillId="0" borderId="150" xfId="0" applyFont="1" applyFill="1" applyBorder="1" applyAlignment="1" applyProtection="1">
      <alignment horizontal="right" vertical="center" wrapText="1" indent="1"/>
      <protection locked="0"/>
    </xf>
    <xf numFmtId="165" fontId="14" fillId="0" borderId="157" xfId="0" applyNumberFormat="1" applyFont="1" applyFill="1" applyBorder="1" applyAlignment="1" applyProtection="1">
      <alignment horizontal="center" vertical="center" wrapText="1"/>
      <protection locked="0"/>
    </xf>
    <xf numFmtId="0" fontId="77" fillId="0" borderId="0" xfId="0" applyFont="1" applyProtection="1">
      <protection locked="0"/>
    </xf>
    <xf numFmtId="0" fontId="0" fillId="0" borderId="0" xfId="0" applyBorder="1" applyProtection="1">
      <protection locked="0"/>
    </xf>
    <xf numFmtId="0" fontId="0" fillId="29" borderId="44" xfId="0" applyFill="1" applyBorder="1" applyProtection="1">
      <protection locked="0"/>
    </xf>
    <xf numFmtId="0" fontId="0" fillId="0" borderId="0" xfId="0" applyFill="1" applyBorder="1" applyProtection="1">
      <protection locked="0"/>
    </xf>
    <xf numFmtId="0" fontId="17" fillId="0" borderId="0" xfId="46" applyFont="1" applyAlignment="1" applyProtection="1">
      <alignment horizontal="right"/>
      <protection locked="0"/>
    </xf>
    <xf numFmtId="0" fontId="16" fillId="0" borderId="0" xfId="46" applyFont="1" applyAlignment="1" applyProtection="1">
      <alignment vertical="top"/>
      <protection locked="0"/>
    </xf>
    <xf numFmtId="0" fontId="16" fillId="29" borderId="0" xfId="46" applyFont="1" applyFill="1" applyBorder="1" applyAlignment="1" applyProtection="1">
      <alignment vertical="top"/>
      <protection locked="0"/>
    </xf>
    <xf numFmtId="0" fontId="16" fillId="29" borderId="0" xfId="46" applyFont="1" applyFill="1" applyAlignment="1" applyProtection="1">
      <alignment vertical="top"/>
      <protection locked="0"/>
    </xf>
    <xf numFmtId="0" fontId="17" fillId="0" borderId="10" xfId="0" applyFont="1" applyBorder="1" applyAlignment="1" applyProtection="1">
      <alignment horizontal="left" vertical="center" wrapText="1"/>
      <protection locked="0"/>
    </xf>
    <xf numFmtId="0" fontId="17" fillId="0" borderId="10" xfId="0" applyFont="1" applyBorder="1" applyAlignment="1" applyProtection="1">
      <alignment horizontal="center" vertical="center" wrapText="1"/>
      <protection locked="0"/>
    </xf>
    <xf numFmtId="0" fontId="0" fillId="29" borderId="10" xfId="0" applyFill="1" applyBorder="1" applyAlignment="1" applyProtection="1">
      <alignment horizontal="left" vertical="top" wrapText="1"/>
      <protection locked="0"/>
    </xf>
    <xf numFmtId="0" fontId="14" fillId="29" borderId="10" xfId="0" applyFont="1" applyFill="1" applyBorder="1" applyAlignment="1" applyProtection="1">
      <alignment horizontal="left" vertical="top" wrapText="1"/>
      <protection locked="0"/>
    </xf>
    <xf numFmtId="0" fontId="98" fillId="29" borderId="10" xfId="0" applyFont="1" applyFill="1" applyBorder="1" applyAlignment="1" applyProtection="1">
      <alignment horizontal="left" vertical="top" wrapText="1"/>
      <protection locked="0"/>
    </xf>
    <xf numFmtId="0" fontId="14" fillId="0" borderId="0" xfId="46" applyFont="1" applyAlignment="1" applyProtection="1">
      <alignment horizontal="left" vertical="center" indent="2"/>
      <protection locked="0"/>
    </xf>
    <xf numFmtId="0" fontId="17" fillId="66" borderId="42" xfId="46" applyFont="1" applyFill="1" applyBorder="1" applyAlignment="1" applyProtection="1">
      <alignment wrapText="1"/>
      <protection locked="0"/>
    </xf>
    <xf numFmtId="0" fontId="17" fillId="66" borderId="71" xfId="0" applyFont="1" applyFill="1" applyBorder="1" applyProtection="1">
      <protection locked="0"/>
    </xf>
    <xf numFmtId="0" fontId="17" fillId="66" borderId="45" xfId="0" applyFont="1" applyFill="1" applyBorder="1" applyProtection="1">
      <protection locked="0"/>
    </xf>
    <xf numFmtId="0" fontId="14" fillId="0" borderId="42" xfId="46" applyBorder="1" applyAlignment="1" applyProtection="1">
      <alignment horizontal="center"/>
      <protection locked="0"/>
    </xf>
    <xf numFmtId="0" fontId="14" fillId="0" borderId="159" xfId="46" applyBorder="1" applyAlignment="1" applyProtection="1">
      <alignment horizontal="center"/>
      <protection locked="0"/>
    </xf>
    <xf numFmtId="0" fontId="17" fillId="66" borderId="0" xfId="0" applyFont="1" applyFill="1" applyBorder="1" applyProtection="1">
      <protection locked="0"/>
    </xf>
    <xf numFmtId="0" fontId="17" fillId="66" borderId="29" xfId="0" applyFont="1" applyFill="1" applyBorder="1" applyProtection="1">
      <protection locked="0"/>
    </xf>
    <xf numFmtId="0" fontId="114" fillId="0" borderId="128" xfId="31" applyFont="1" applyFill="1" applyBorder="1" applyAlignment="1" applyProtection="1">
      <alignment horizontal="center"/>
      <protection locked="0"/>
    </xf>
    <xf numFmtId="0" fontId="30" fillId="4" borderId="128" xfId="31" applyBorder="1" applyAlignment="1" applyProtection="1">
      <alignment horizontal="center"/>
      <protection locked="0"/>
    </xf>
    <xf numFmtId="0" fontId="14" fillId="0" borderId="128" xfId="46" applyBorder="1" applyAlignment="1" applyProtection="1">
      <alignment horizontal="center"/>
      <protection locked="0"/>
    </xf>
    <xf numFmtId="0" fontId="14" fillId="0" borderId="51" xfId="46" applyBorder="1" applyAlignment="1" applyProtection="1">
      <alignment horizontal="center"/>
      <protection locked="0"/>
    </xf>
    <xf numFmtId="0" fontId="17" fillId="66" borderId="30" xfId="0" applyFont="1" applyFill="1" applyBorder="1" applyAlignment="1" applyProtection="1">
      <alignment horizontal="right"/>
      <protection locked="0"/>
    </xf>
    <xf numFmtId="0" fontId="17" fillId="66" borderId="31" xfId="0" applyFont="1" applyFill="1" applyBorder="1" applyProtection="1">
      <protection locked="0"/>
    </xf>
    <xf numFmtId="0" fontId="14" fillId="0" borderId="102" xfId="46" applyBorder="1" applyAlignment="1" applyProtection="1">
      <alignment horizontal="center"/>
      <protection locked="0"/>
    </xf>
    <xf numFmtId="0" fontId="14" fillId="0" borderId="82" xfId="46" applyBorder="1" applyAlignment="1" applyProtection="1">
      <alignment horizontal="center"/>
      <protection locked="0"/>
    </xf>
    <xf numFmtId="0" fontId="14" fillId="0" borderId="0" xfId="46" applyFont="1" applyAlignment="1" applyProtection="1">
      <alignment horizontal="left"/>
      <protection locked="0"/>
    </xf>
    <xf numFmtId="0" fontId="43" fillId="0" borderId="0" xfId="46" applyFont="1" applyProtection="1">
      <protection locked="0"/>
    </xf>
    <xf numFmtId="0" fontId="96" fillId="0" borderId="0" xfId="46" applyFont="1" applyAlignment="1" applyProtection="1">
      <alignment horizontal="left" vertical="center" indent="4"/>
      <protection locked="0"/>
    </xf>
    <xf numFmtId="0" fontId="14" fillId="0" borderId="0" xfId="46" applyFont="1" applyAlignment="1" applyProtection="1">
      <alignment vertical="center"/>
      <protection locked="0"/>
    </xf>
    <xf numFmtId="0" fontId="20" fillId="0" borderId="0" xfId="46" applyFont="1" applyProtection="1">
      <protection locked="0"/>
    </xf>
    <xf numFmtId="0" fontId="17" fillId="0" borderId="0" xfId="46" applyFont="1" applyProtection="1">
      <protection locked="0"/>
    </xf>
    <xf numFmtId="0" fontId="20" fillId="0" borderId="0" xfId="46" applyFont="1" applyFill="1" applyProtection="1">
      <protection locked="0"/>
    </xf>
    <xf numFmtId="0" fontId="17" fillId="0" borderId="0" xfId="46" applyFont="1" applyFill="1" applyProtection="1">
      <protection locked="0"/>
    </xf>
    <xf numFmtId="0" fontId="14" fillId="0" borderId="0" xfId="46" applyFill="1" applyProtection="1">
      <protection locked="0"/>
    </xf>
    <xf numFmtId="0" fontId="14" fillId="0" borderId="0" xfId="46" applyFont="1" applyFill="1" applyProtection="1">
      <protection locked="0"/>
    </xf>
    <xf numFmtId="0" fontId="17" fillId="0" borderId="0" xfId="46" applyFont="1" applyFill="1" applyAlignment="1" applyProtection="1">
      <alignment horizontal="left"/>
      <protection locked="0"/>
    </xf>
    <xf numFmtId="0" fontId="14" fillId="0" borderId="0" xfId="46" applyFont="1" applyFill="1" applyAlignment="1" applyProtection="1">
      <alignment vertical="center" wrapText="1"/>
      <protection locked="0"/>
    </xf>
    <xf numFmtId="0" fontId="14" fillId="0" borderId="0" xfId="46" applyBorder="1" applyProtection="1">
      <protection locked="0"/>
    </xf>
    <xf numFmtId="0" fontId="48" fillId="29" borderId="0" xfId="46" applyFont="1" applyFill="1" applyAlignment="1" applyProtection="1">
      <protection locked="0"/>
    </xf>
    <xf numFmtId="0" fontId="18" fillId="0" borderId="0" xfId="46" applyFont="1" applyAlignment="1" applyProtection="1">
      <alignment horizontal="center"/>
      <protection locked="0"/>
    </xf>
    <xf numFmtId="0" fontId="14" fillId="25" borderId="75" xfId="46" applyFill="1" applyBorder="1" applyProtection="1">
      <protection locked="0"/>
    </xf>
    <xf numFmtId="0" fontId="17" fillId="25" borderId="13" xfId="46" applyFont="1" applyFill="1" applyBorder="1" applyAlignment="1" applyProtection="1">
      <protection locked="0"/>
    </xf>
    <xf numFmtId="0" fontId="17" fillId="25" borderId="33" xfId="46" applyFont="1" applyFill="1" applyBorder="1" applyAlignment="1" applyProtection="1">
      <protection locked="0"/>
    </xf>
    <xf numFmtId="0" fontId="17" fillId="25" borderId="10" xfId="46" applyFont="1" applyFill="1" applyBorder="1" applyAlignment="1" applyProtection="1">
      <alignment horizontal="center" wrapText="1"/>
      <protection locked="0"/>
    </xf>
    <xf numFmtId="0" fontId="17" fillId="25" borderId="10" xfId="46" applyFont="1" applyFill="1" applyBorder="1" applyProtection="1">
      <protection locked="0"/>
    </xf>
    <xf numFmtId="0" fontId="17" fillId="25" borderId="10" xfId="46" applyFont="1" applyFill="1" applyBorder="1" applyAlignment="1" applyProtection="1">
      <alignment horizontal="center"/>
      <protection locked="0"/>
    </xf>
    <xf numFmtId="0" fontId="14" fillId="25" borderId="11" xfId="46" applyFill="1" applyBorder="1" applyProtection="1">
      <protection locked="0"/>
    </xf>
    <xf numFmtId="0" fontId="17" fillId="25" borderId="16" xfId="46" applyFont="1" applyFill="1" applyBorder="1" applyAlignment="1" applyProtection="1">
      <alignment horizontal="center" wrapText="1"/>
      <protection locked="0"/>
    </xf>
    <xf numFmtId="0" fontId="17" fillId="25" borderId="19" xfId="46" applyFont="1" applyFill="1" applyBorder="1" applyAlignment="1" applyProtection="1">
      <alignment horizontal="center"/>
      <protection locked="0"/>
    </xf>
    <xf numFmtId="0" fontId="17" fillId="25" borderId="19" xfId="46" applyFont="1" applyFill="1" applyBorder="1" applyAlignment="1" applyProtection="1">
      <alignment horizontal="center" wrapText="1"/>
      <protection locked="0"/>
    </xf>
    <xf numFmtId="0" fontId="14" fillId="0" borderId="10" xfId="46" applyFont="1" applyBorder="1" applyAlignment="1" applyProtection="1">
      <alignment vertical="center" wrapText="1"/>
      <protection locked="0"/>
    </xf>
    <xf numFmtId="166" fontId="0" fillId="29" borderId="10" xfId="29" applyNumberFormat="1" applyFont="1" applyFill="1" applyBorder="1" applyProtection="1">
      <protection locked="0"/>
    </xf>
    <xf numFmtId="166" fontId="0" fillId="0" borderId="10" xfId="29" applyNumberFormat="1" applyFont="1" applyBorder="1" applyProtection="1">
      <protection locked="0"/>
    </xf>
    <xf numFmtId="0" fontId="14" fillId="0" borderId="11" xfId="46" applyBorder="1" applyProtection="1">
      <protection locked="0"/>
    </xf>
    <xf numFmtId="166" fontId="0" fillId="29" borderId="33" xfId="29" applyNumberFormat="1" applyFont="1" applyFill="1" applyBorder="1" applyProtection="1">
      <protection locked="0"/>
    </xf>
    <xf numFmtId="166" fontId="14" fillId="0" borderId="10" xfId="46" applyNumberFormat="1" applyBorder="1" applyProtection="1">
      <protection locked="0"/>
    </xf>
    <xf numFmtId="0" fontId="14" fillId="0" borderId="10" xfId="46" applyFill="1" applyBorder="1" applyAlignment="1" applyProtection="1">
      <alignment horizontal="center" vertical="center"/>
      <protection locked="0"/>
    </xf>
    <xf numFmtId="0" fontId="14" fillId="0" borderId="10" xfId="46" applyFill="1" applyBorder="1" applyAlignment="1" applyProtection="1">
      <alignment vertical="center" wrapText="1"/>
      <protection locked="0"/>
    </xf>
    <xf numFmtId="0" fontId="14" fillId="0" borderId="10" xfId="46" applyBorder="1" applyAlignment="1" applyProtection="1">
      <alignment vertical="center" wrapText="1"/>
      <protection locked="0"/>
    </xf>
    <xf numFmtId="0" fontId="14" fillId="0" borderId="10" xfId="46" applyFont="1" applyFill="1" applyBorder="1" applyAlignment="1" applyProtection="1">
      <alignment horizontal="center" vertical="center"/>
      <protection locked="0"/>
    </xf>
    <xf numFmtId="166" fontId="0" fillId="29" borderId="0" xfId="29" applyNumberFormat="1" applyFont="1" applyFill="1" applyProtection="1">
      <protection locked="0"/>
    </xf>
    <xf numFmtId="0" fontId="14" fillId="29" borderId="10" xfId="46" applyFont="1" applyFill="1" applyBorder="1" applyAlignment="1" applyProtection="1">
      <alignment horizontal="center" vertical="center"/>
      <protection locked="0"/>
    </xf>
    <xf numFmtId="0" fontId="14" fillId="0" borderId="10" xfId="46" applyFont="1" applyFill="1" applyBorder="1" applyAlignment="1" applyProtection="1">
      <alignment vertical="center" wrapText="1"/>
      <protection locked="0"/>
    </xf>
    <xf numFmtId="0" fontId="14" fillId="0" borderId="10" xfId="46" applyFont="1" applyBorder="1" applyAlignment="1" applyProtection="1">
      <alignment horizontal="center" vertical="center"/>
      <protection locked="0"/>
    </xf>
    <xf numFmtId="0" fontId="14" fillId="29" borderId="0" xfId="46" applyFill="1" applyAlignment="1" applyProtection="1">
      <alignment horizontal="center"/>
      <protection locked="0"/>
    </xf>
    <xf numFmtId="0" fontId="14" fillId="0" borderId="10" xfId="46" applyBorder="1" applyAlignment="1" applyProtection="1">
      <alignment horizontal="center"/>
      <protection locked="0"/>
    </xf>
    <xf numFmtId="0" fontId="14" fillId="0" borderId="10" xfId="46" applyBorder="1" applyProtection="1">
      <protection locked="0"/>
    </xf>
    <xf numFmtId="0" fontId="14" fillId="29" borderId="10" xfId="46" applyFill="1" applyBorder="1" applyProtection="1">
      <protection locked="0"/>
    </xf>
    <xf numFmtId="0" fontId="17" fillId="0" borderId="10" xfId="46" applyFont="1" applyBorder="1" applyProtection="1">
      <protection locked="0"/>
    </xf>
    <xf numFmtId="166" fontId="17" fillId="0" borderId="10" xfId="46" applyNumberFormat="1" applyFont="1" applyBorder="1" applyProtection="1">
      <protection locked="0"/>
    </xf>
    <xf numFmtId="0" fontId="17" fillId="0" borderId="10" xfId="46" applyFont="1" applyBorder="1" applyAlignment="1" applyProtection="1">
      <alignment vertical="center" wrapText="1"/>
      <protection locked="0"/>
    </xf>
    <xf numFmtId="0" fontId="43" fillId="0" borderId="10" xfId="46" applyFont="1" applyBorder="1" applyAlignment="1" applyProtection="1">
      <alignment vertical="top" wrapText="1"/>
      <protection locked="0"/>
    </xf>
    <xf numFmtId="0" fontId="14" fillId="0" borderId="0" xfId="46" applyFill="1" applyBorder="1" applyProtection="1">
      <protection locked="0"/>
    </xf>
    <xf numFmtId="166" fontId="0" fillId="0" borderId="0" xfId="29" applyNumberFormat="1" applyFont="1" applyFill="1" applyBorder="1" applyProtection="1">
      <protection locked="0"/>
    </xf>
    <xf numFmtId="166" fontId="14" fillId="0" borderId="0" xfId="46" applyNumberFormat="1" applyFill="1" applyBorder="1" applyProtection="1">
      <protection locked="0"/>
    </xf>
    <xf numFmtId="0" fontId="14" fillId="0" borderId="0" xfId="46" applyFont="1" applyAlignment="1" applyProtection="1">
      <protection locked="0"/>
    </xf>
    <xf numFmtId="166" fontId="0" fillId="29" borderId="100" xfId="29" applyNumberFormat="1" applyFont="1" applyFill="1" applyBorder="1" applyProtection="1">
      <protection locked="0"/>
    </xf>
    <xf numFmtId="166" fontId="0" fillId="29" borderId="12" xfId="29" applyNumberFormat="1" applyFont="1" applyFill="1" applyBorder="1" applyProtection="1">
      <protection locked="0"/>
    </xf>
    <xf numFmtId="0" fontId="17" fillId="0" borderId="0" xfId="46" applyFont="1" applyFill="1" applyBorder="1" applyAlignment="1" applyProtection="1">
      <protection locked="0"/>
    </xf>
    <xf numFmtId="166" fontId="0" fillId="0" borderId="13" xfId="29" applyNumberFormat="1" applyFont="1" applyBorder="1" applyProtection="1">
      <protection locked="0"/>
    </xf>
    <xf numFmtId="15" fontId="14" fillId="0" borderId="0" xfId="46" applyNumberFormat="1" applyProtection="1">
      <protection locked="0"/>
    </xf>
    <xf numFmtId="0" fontId="43" fillId="0" borderId="0" xfId="46" applyFont="1" applyAlignment="1" applyProtection="1">
      <alignment horizontal="center"/>
      <protection locked="0"/>
    </xf>
    <xf numFmtId="0" fontId="14" fillId="0" borderId="0" xfId="46" applyAlignment="1" applyProtection="1">
      <alignment horizontal="left"/>
      <protection locked="0"/>
    </xf>
    <xf numFmtId="0" fontId="21" fillId="0" borderId="0" xfId="46" applyFont="1" applyAlignment="1" applyProtection="1">
      <alignment vertical="center" wrapText="1"/>
      <protection locked="0"/>
    </xf>
    <xf numFmtId="0" fontId="21" fillId="0" borderId="0" xfId="46" applyFont="1" applyAlignment="1" applyProtection="1">
      <alignment vertical="top"/>
      <protection locked="0"/>
    </xf>
    <xf numFmtId="0" fontId="17" fillId="69" borderId="10" xfId="46" applyFont="1" applyFill="1" applyBorder="1" applyProtection="1">
      <protection locked="0"/>
    </xf>
    <xf numFmtId="0" fontId="14" fillId="69" borderId="10" xfId="46" applyFill="1" applyBorder="1" applyAlignment="1" applyProtection="1">
      <alignment horizontal="center" vertical="center"/>
      <protection locked="0"/>
    </xf>
    <xf numFmtId="0" fontId="90" fillId="63" borderId="17" xfId="46" applyFont="1" applyFill="1" applyBorder="1" applyAlignment="1" applyProtection="1">
      <alignment horizontal="center" vertical="center" wrapText="1"/>
      <protection locked="0"/>
    </xf>
    <xf numFmtId="0" fontId="90" fillId="63" borderId="155" xfId="46" applyFont="1" applyFill="1" applyBorder="1" applyAlignment="1" applyProtection="1">
      <alignment horizontal="center" vertical="center" wrapText="1"/>
      <protection locked="0"/>
    </xf>
    <xf numFmtId="0" fontId="90" fillId="63" borderId="158" xfId="46" applyFont="1" applyFill="1" applyBorder="1" applyAlignment="1" applyProtection="1">
      <alignment horizontal="center" vertical="center" wrapText="1"/>
      <protection locked="0"/>
    </xf>
    <xf numFmtId="0" fontId="14" fillId="0" borderId="62" xfId="46" applyBorder="1" applyAlignment="1" applyProtection="1">
      <alignment horizontal="center" vertical="center"/>
      <protection locked="0"/>
    </xf>
    <xf numFmtId="0" fontId="14" fillId="69" borderId="33" xfId="46" applyFill="1" applyBorder="1" applyAlignment="1" applyProtection="1">
      <alignment horizontal="center" vertical="center"/>
      <protection locked="0"/>
    </xf>
    <xf numFmtId="1" fontId="14" fillId="29" borderId="10" xfId="46" applyNumberFormat="1" applyFill="1" applyBorder="1" applyAlignment="1" applyProtection="1">
      <alignment horizontal="center" vertical="center"/>
      <protection locked="0"/>
    </xf>
    <xf numFmtId="0" fontId="14" fillId="29" borderId="10" xfId="46" applyFill="1" applyBorder="1" applyAlignment="1" applyProtection="1">
      <alignment horizontal="left" vertical="center"/>
      <protection locked="0"/>
    </xf>
    <xf numFmtId="9" fontId="0" fillId="0" borderId="10" xfId="42" applyFont="1" applyBorder="1" applyAlignment="1" applyProtection="1">
      <alignment horizontal="center" vertical="center"/>
      <protection locked="0"/>
    </xf>
    <xf numFmtId="9" fontId="0" fillId="0" borderId="75" xfId="42" applyFont="1" applyBorder="1" applyAlignment="1" applyProtection="1">
      <alignment horizontal="center" vertical="center"/>
      <protection locked="0"/>
    </xf>
    <xf numFmtId="0" fontId="14" fillId="0" borderId="25" xfId="46" applyBorder="1" applyAlignment="1" applyProtection="1">
      <alignment horizontal="center" vertical="center"/>
      <protection locked="0"/>
    </xf>
    <xf numFmtId="0" fontId="14" fillId="0" borderId="68" xfId="46" applyBorder="1" applyAlignment="1" applyProtection="1">
      <alignment horizontal="center" vertical="center"/>
      <protection locked="0"/>
    </xf>
    <xf numFmtId="0" fontId="83" fillId="69" borderId="33" xfId="46" applyFont="1" applyFill="1" applyBorder="1" applyAlignment="1" applyProtection="1">
      <alignment horizontal="center" vertical="center"/>
      <protection locked="0"/>
    </xf>
    <xf numFmtId="0" fontId="14" fillId="69" borderId="33" xfId="46" applyFill="1" applyBorder="1" applyProtection="1">
      <protection locked="0"/>
    </xf>
    <xf numFmtId="0" fontId="14" fillId="0" borderId="26" xfId="46" applyBorder="1" applyAlignment="1" applyProtection="1">
      <alignment horizontal="center" vertical="center"/>
      <protection locked="0"/>
    </xf>
    <xf numFmtId="0" fontId="14" fillId="0" borderId="63" xfId="46" applyBorder="1" applyAlignment="1" applyProtection="1">
      <alignment horizontal="center" vertical="center"/>
      <protection locked="0"/>
    </xf>
    <xf numFmtId="0" fontId="14" fillId="0" borderId="26" xfId="46" applyFill="1" applyBorder="1" applyAlignment="1" applyProtection="1">
      <alignment horizontal="center" vertical="center"/>
      <protection locked="0"/>
    </xf>
    <xf numFmtId="0" fontId="17" fillId="0" borderId="20" xfId="46" applyFont="1" applyBorder="1" applyAlignment="1" applyProtection="1">
      <alignment horizontal="center" vertical="center"/>
      <protection locked="0"/>
    </xf>
    <xf numFmtId="0" fontId="14" fillId="0" borderId="21" xfId="46" applyBorder="1" applyAlignment="1" applyProtection="1">
      <alignment horizontal="center" vertical="center"/>
      <protection locked="0"/>
    </xf>
    <xf numFmtId="0" fontId="14" fillId="0" borderId="21" xfId="46" applyFill="1" applyBorder="1" applyAlignment="1" applyProtection="1">
      <alignment horizontal="center" vertical="center"/>
      <protection locked="0"/>
    </xf>
    <xf numFmtId="0" fontId="14" fillId="0" borderId="66" xfId="46" applyBorder="1" applyAlignment="1" applyProtection="1">
      <alignment horizontal="center" vertical="center"/>
      <protection locked="0"/>
    </xf>
    <xf numFmtId="0" fontId="90" fillId="63" borderId="156" xfId="46" applyFont="1" applyFill="1" applyBorder="1" applyAlignment="1" applyProtection="1">
      <alignment horizontal="center" vertical="center" wrapText="1"/>
      <protection locked="0"/>
    </xf>
    <xf numFmtId="1" fontId="14" fillId="0" borderId="10" xfId="46" applyNumberFormat="1" applyBorder="1" applyAlignment="1" applyProtection="1">
      <alignment vertical="center"/>
      <protection locked="0"/>
    </xf>
    <xf numFmtId="0" fontId="15" fillId="0" borderId="0" xfId="36" applyAlignment="1" applyProtection="1">
      <protection locked="0"/>
    </xf>
    <xf numFmtId="176" fontId="14" fillId="0" borderId="0" xfId="46" applyNumberFormat="1" applyProtection="1">
      <protection locked="0"/>
    </xf>
    <xf numFmtId="176" fontId="14" fillId="0" borderId="0" xfId="46" applyNumberFormat="1" applyFill="1" applyProtection="1">
      <protection locked="0"/>
    </xf>
    <xf numFmtId="3" fontId="17" fillId="0" borderId="0" xfId="46" applyNumberFormat="1" applyFont="1" applyFill="1" applyProtection="1">
      <protection locked="0"/>
    </xf>
    <xf numFmtId="176" fontId="17" fillId="0" borderId="0" xfId="46" applyNumberFormat="1" applyFont="1" applyProtection="1">
      <protection locked="0"/>
    </xf>
    <xf numFmtId="176" fontId="16" fillId="29" borderId="100" xfId="46" applyNumberFormat="1" applyFont="1" applyFill="1" applyBorder="1" applyAlignment="1" applyProtection="1">
      <alignment horizontal="right" vertical="top"/>
      <protection locked="0"/>
    </xf>
    <xf numFmtId="176" fontId="16" fillId="29" borderId="0" xfId="46" applyNumberFormat="1" applyFont="1" applyFill="1" applyAlignment="1" applyProtection="1">
      <alignment horizontal="right" vertical="top"/>
      <protection locked="0"/>
    </xf>
    <xf numFmtId="176" fontId="16" fillId="0" borderId="0" xfId="46" applyNumberFormat="1" applyFont="1" applyAlignment="1" applyProtection="1">
      <alignment horizontal="right" vertical="top"/>
      <protection locked="0"/>
    </xf>
    <xf numFmtId="169" fontId="14" fillId="0" borderId="0" xfId="46" applyNumberFormat="1" applyFill="1" applyProtection="1">
      <protection locked="0"/>
    </xf>
    <xf numFmtId="176" fontId="17" fillId="0" borderId="0" xfId="46" applyNumberFormat="1" applyFont="1" applyAlignment="1" applyProtection="1">
      <alignment vertical="center"/>
      <protection locked="0"/>
    </xf>
    <xf numFmtId="0" fontId="19" fillId="0" borderId="0" xfId="46" applyFont="1" applyAlignment="1" applyProtection="1">
      <alignment horizontal="center" vertical="center"/>
      <protection locked="0"/>
    </xf>
    <xf numFmtId="3" fontId="14" fillId="0" borderId="0" xfId="46" applyNumberFormat="1" applyProtection="1">
      <protection locked="0"/>
    </xf>
    <xf numFmtId="176" fontId="17" fillId="25" borderId="73" xfId="46" applyNumberFormat="1" applyFont="1" applyFill="1" applyBorder="1" applyAlignment="1" applyProtection="1">
      <alignment horizontal="center" vertical="center" wrapText="1"/>
      <protection locked="0"/>
    </xf>
    <xf numFmtId="3" fontId="17" fillId="25" borderId="73" xfId="46" applyNumberFormat="1" applyFont="1" applyFill="1" applyBorder="1" applyAlignment="1" applyProtection="1">
      <alignment horizontal="center" vertical="center" wrapText="1"/>
      <protection locked="0"/>
    </xf>
    <xf numFmtId="0" fontId="17" fillId="25" borderId="73" xfId="46" applyFont="1" applyFill="1" applyBorder="1" applyAlignment="1" applyProtection="1">
      <alignment horizontal="center" vertical="center" wrapText="1"/>
      <protection locked="0"/>
    </xf>
    <xf numFmtId="176" fontId="17" fillId="25" borderId="19" xfId="46" quotePrefix="1" applyNumberFormat="1" applyFont="1" applyFill="1" applyBorder="1" applyAlignment="1" applyProtection="1">
      <alignment horizontal="center"/>
      <protection locked="0"/>
    </xf>
    <xf numFmtId="176" fontId="17" fillId="25" borderId="19" xfId="46" quotePrefix="1" applyNumberFormat="1" applyFont="1" applyFill="1" applyBorder="1" applyAlignment="1" applyProtection="1">
      <alignment horizontal="center" wrapText="1"/>
      <protection locked="0"/>
    </xf>
    <xf numFmtId="3" fontId="17" fillId="25" borderId="19" xfId="46" quotePrefix="1" applyNumberFormat="1" applyFont="1" applyFill="1" applyBorder="1" applyAlignment="1" applyProtection="1">
      <alignment horizontal="center"/>
      <protection locked="0"/>
    </xf>
    <xf numFmtId="0" fontId="17" fillId="25" borderId="19" xfId="46" quotePrefix="1" applyFont="1" applyFill="1" applyBorder="1" applyAlignment="1" applyProtection="1">
      <alignment horizontal="center"/>
      <protection locked="0"/>
    </xf>
    <xf numFmtId="43" fontId="14" fillId="29" borderId="10" xfId="28" applyFill="1" applyBorder="1" applyProtection="1">
      <protection locked="0"/>
    </xf>
    <xf numFmtId="10" fontId="14" fillId="0" borderId="10" xfId="29" applyNumberFormat="1" applyBorder="1" applyProtection="1">
      <protection locked="0"/>
    </xf>
    <xf numFmtId="10" fontId="14" fillId="0" borderId="10" xfId="42" applyNumberFormat="1" applyBorder="1" applyProtection="1">
      <protection locked="0"/>
    </xf>
    <xf numFmtId="0" fontId="14" fillId="0" borderId="27" xfId="46" applyFill="1" applyBorder="1" applyAlignment="1" applyProtection="1">
      <alignment horizontal="center" vertical="center"/>
      <protection locked="0"/>
    </xf>
    <xf numFmtId="0" fontId="14" fillId="0" borderId="27" xfId="46" applyFont="1" applyBorder="1" applyAlignment="1" applyProtection="1">
      <alignment horizontal="center" vertical="center"/>
      <protection locked="0"/>
    </xf>
    <xf numFmtId="0" fontId="14" fillId="0" borderId="27" xfId="46" applyFont="1" applyFill="1" applyBorder="1" applyAlignment="1" applyProtection="1">
      <alignment horizontal="center" vertical="center"/>
      <protection locked="0"/>
    </xf>
    <xf numFmtId="0" fontId="14" fillId="0" borderId="10" xfId="46" applyFont="1" applyFill="1" applyBorder="1" applyAlignment="1" applyProtection="1">
      <alignment vertical="center"/>
      <protection locked="0"/>
    </xf>
    <xf numFmtId="166" fontId="0" fillId="29" borderId="36" xfId="29" applyNumberFormat="1" applyFont="1" applyFill="1" applyBorder="1" applyProtection="1">
      <protection locked="0"/>
    </xf>
    <xf numFmtId="166" fontId="0" fillId="0" borderId="36" xfId="29" applyNumberFormat="1" applyFont="1" applyBorder="1" applyProtection="1">
      <protection locked="0"/>
    </xf>
    <xf numFmtId="43" fontId="14" fillId="29" borderId="36" xfId="28" applyFill="1" applyBorder="1" applyProtection="1">
      <protection locked="0"/>
    </xf>
    <xf numFmtId="10" fontId="14" fillId="0" borderId="36" xfId="42" applyNumberFormat="1" applyBorder="1" applyProtection="1">
      <protection locked="0"/>
    </xf>
    <xf numFmtId="0" fontId="14" fillId="0" borderId="38" xfId="46" applyFont="1" applyBorder="1" applyAlignment="1" applyProtection="1">
      <alignment horizontal="center"/>
      <protection locked="0"/>
    </xf>
    <xf numFmtId="0" fontId="17" fillId="0" borderId="34" xfId="46" applyFont="1" applyBorder="1" applyProtection="1">
      <protection locked="0"/>
    </xf>
    <xf numFmtId="166" fontId="17" fillId="0" borderId="34" xfId="46" applyNumberFormat="1" applyFont="1" applyBorder="1" applyProtection="1">
      <protection locked="0"/>
    </xf>
    <xf numFmtId="166" fontId="0" fillId="0" borderId="34" xfId="29" applyNumberFormat="1" applyFont="1" applyBorder="1" applyProtection="1">
      <protection locked="0"/>
    </xf>
    <xf numFmtId="3" fontId="14" fillId="0" borderId="34" xfId="42" applyNumberFormat="1" applyBorder="1" applyProtection="1">
      <protection locked="0"/>
    </xf>
    <xf numFmtId="44" fontId="14" fillId="0" borderId="34" xfId="29" applyBorder="1" applyProtection="1">
      <protection locked="0"/>
    </xf>
    <xf numFmtId="166" fontId="0" fillId="29" borderId="34" xfId="29" applyNumberFormat="1" applyFont="1" applyFill="1" applyBorder="1" applyProtection="1">
      <protection locked="0"/>
    </xf>
    <xf numFmtId="176" fontId="14" fillId="0" borderId="0" xfId="46" applyNumberFormat="1" applyFont="1" applyProtection="1">
      <protection locked="0"/>
    </xf>
    <xf numFmtId="3" fontId="14" fillId="0" borderId="0" xfId="46" applyNumberFormat="1" applyFont="1" applyProtection="1">
      <protection locked="0"/>
    </xf>
    <xf numFmtId="0" fontId="14" fillId="0" borderId="0" xfId="46" applyAlignment="1" applyProtection="1">
      <alignment horizontal="center" vertical="top"/>
      <protection locked="0"/>
    </xf>
    <xf numFmtId="0" fontId="17" fillId="0" borderId="0" xfId="46" applyFont="1" applyAlignment="1" applyProtection="1">
      <alignment vertical="top" wrapText="1"/>
      <protection locked="0"/>
    </xf>
    <xf numFmtId="176" fontId="17" fillId="0" borderId="0" xfId="46" applyNumberFormat="1" applyFont="1" applyAlignment="1" applyProtection="1">
      <alignment vertical="top" wrapText="1"/>
      <protection locked="0"/>
    </xf>
    <xf numFmtId="3" fontId="17" fillId="0" borderId="0" xfId="46" applyNumberFormat="1" applyFont="1" applyAlignment="1" applyProtection="1">
      <alignment vertical="top" wrapText="1"/>
      <protection locked="0"/>
    </xf>
    <xf numFmtId="0" fontId="19" fillId="0" borderId="0" xfId="46" applyFont="1" applyAlignment="1" applyProtection="1">
      <alignment horizontal="center"/>
      <protection locked="0"/>
    </xf>
    <xf numFmtId="0" fontId="19" fillId="0" borderId="0" xfId="46" applyFont="1" applyAlignment="1" applyProtection="1">
      <protection locked="0"/>
    </xf>
    <xf numFmtId="0" fontId="17" fillId="25" borderId="101" xfId="46" applyFont="1" applyFill="1" applyBorder="1" applyAlignment="1" applyProtection="1">
      <alignment horizontal="center" vertical="center" wrapText="1"/>
      <protection locked="0"/>
    </xf>
    <xf numFmtId="0" fontId="17" fillId="25" borderId="74" xfId="46" applyFont="1" applyFill="1" applyBorder="1" applyAlignment="1" applyProtection="1">
      <alignment horizontal="center" vertical="center" wrapText="1"/>
      <protection locked="0"/>
    </xf>
    <xf numFmtId="0" fontId="17" fillId="25" borderId="34" xfId="46" quotePrefix="1" applyFont="1" applyFill="1" applyBorder="1" applyAlignment="1" applyProtection="1">
      <alignment horizontal="center"/>
      <protection locked="0"/>
    </xf>
    <xf numFmtId="0" fontId="17" fillId="25" borderId="34" xfId="46" applyFont="1" applyFill="1" applyBorder="1" applyAlignment="1" applyProtection="1">
      <alignment horizontal="center" wrapText="1"/>
      <protection locked="0"/>
    </xf>
    <xf numFmtId="0" fontId="17" fillId="25" borderId="78" xfId="46" applyFont="1" applyFill="1" applyBorder="1" applyAlignment="1" applyProtection="1">
      <alignment horizontal="center"/>
      <protection locked="0"/>
    </xf>
    <xf numFmtId="0" fontId="17" fillId="25" borderId="35" xfId="46" quotePrefix="1" applyFont="1" applyFill="1" applyBorder="1" applyAlignment="1" applyProtection="1">
      <alignment horizontal="center"/>
      <protection locked="0"/>
    </xf>
    <xf numFmtId="0" fontId="17" fillId="25" borderId="35" xfId="46" applyFont="1" applyFill="1" applyBorder="1" applyAlignment="1" applyProtection="1">
      <alignment horizontal="center"/>
      <protection locked="0"/>
    </xf>
    <xf numFmtId="0" fontId="14" fillId="0" borderId="19" xfId="46" applyFont="1" applyBorder="1" applyAlignment="1" applyProtection="1">
      <alignment vertical="center" wrapText="1"/>
      <protection locked="0"/>
    </xf>
    <xf numFmtId="10" fontId="14" fillId="0" borderId="19" xfId="42" applyNumberFormat="1" applyBorder="1" applyProtection="1">
      <protection locked="0"/>
    </xf>
    <xf numFmtId="166" fontId="17" fillId="0" borderId="36" xfId="46" applyNumberFormat="1" applyFont="1" applyBorder="1" applyProtection="1">
      <protection locked="0"/>
    </xf>
    <xf numFmtId="166" fontId="17" fillId="0" borderId="57" xfId="46" applyNumberFormat="1" applyFont="1" applyBorder="1" applyProtection="1">
      <protection locked="0"/>
    </xf>
    <xf numFmtId="43" fontId="14" fillId="0" borderId="57" xfId="28" applyBorder="1" applyProtection="1">
      <protection locked="0"/>
    </xf>
    <xf numFmtId="10" fontId="14" fillId="0" borderId="57" xfId="42" applyNumberFormat="1" applyBorder="1" applyProtection="1">
      <protection locked="0"/>
    </xf>
    <xf numFmtId="0" fontId="14" fillId="0" borderId="0" xfId="46" applyFont="1" applyBorder="1" applyAlignment="1" applyProtection="1">
      <alignment horizontal="center"/>
      <protection locked="0"/>
    </xf>
    <xf numFmtId="0" fontId="17" fillId="0" borderId="0" xfId="46" applyFont="1" applyBorder="1" applyProtection="1">
      <protection locked="0"/>
    </xf>
    <xf numFmtId="166" fontId="17" fillId="0" borderId="0" xfId="46" applyNumberFormat="1" applyFont="1" applyBorder="1" applyProtection="1">
      <protection locked="0"/>
    </xf>
    <xf numFmtId="43" fontId="14" fillId="0" borderId="0" xfId="28" applyBorder="1" applyProtection="1">
      <protection locked="0"/>
    </xf>
    <xf numFmtId="10" fontId="14" fillId="0" borderId="0" xfId="42" applyNumberFormat="1" applyBorder="1" applyProtection="1">
      <protection locked="0"/>
    </xf>
    <xf numFmtId="0" fontId="14" fillId="0" borderId="0" xfId="46" applyAlignment="1" applyProtection="1">
      <alignment horizontal="center" vertical="center"/>
      <protection locked="0"/>
    </xf>
    <xf numFmtId="0" fontId="17" fillId="0" borderId="0" xfId="46" applyFont="1" applyAlignment="1" applyProtection="1">
      <alignment vertical="center" wrapText="1"/>
      <protection locked="0"/>
    </xf>
    <xf numFmtId="0" fontId="17" fillId="25" borderId="35" xfId="46" quotePrefix="1" applyFont="1" applyFill="1" applyBorder="1" applyAlignment="1" applyProtection="1">
      <alignment horizontal="center" wrapText="1"/>
      <protection locked="0"/>
    </xf>
    <xf numFmtId="0" fontId="17" fillId="25" borderId="35" xfId="46" applyFont="1" applyFill="1" applyBorder="1" applyAlignment="1" applyProtection="1">
      <alignment horizontal="center" wrapText="1"/>
      <protection locked="0"/>
    </xf>
    <xf numFmtId="43" fontId="14" fillId="29" borderId="19" xfId="28" applyFill="1" applyBorder="1" applyProtection="1">
      <protection locked="0"/>
    </xf>
    <xf numFmtId="10" fontId="14" fillId="0" borderId="19" xfId="29" applyNumberFormat="1" applyBorder="1" applyProtection="1">
      <protection locked="0"/>
    </xf>
    <xf numFmtId="0" fontId="14" fillId="0" borderId="85" xfId="46" applyFont="1" applyBorder="1" applyAlignment="1" applyProtection="1">
      <alignment horizontal="center"/>
      <protection locked="0"/>
    </xf>
    <xf numFmtId="0" fontId="17" fillId="0" borderId="57" xfId="46" applyFont="1" applyBorder="1" applyProtection="1">
      <protection locked="0"/>
    </xf>
    <xf numFmtId="166" fontId="17" fillId="0" borderId="57" xfId="29" applyNumberFormat="1" applyFont="1" applyBorder="1" applyProtection="1">
      <protection locked="0"/>
    </xf>
    <xf numFmtId="10" fontId="14" fillId="0" borderId="57" xfId="29" applyNumberFormat="1" applyBorder="1" applyProtection="1">
      <protection locked="0"/>
    </xf>
    <xf numFmtId="10" fontId="14" fillId="0" borderId="0" xfId="29" applyNumberFormat="1" applyBorder="1" applyProtection="1">
      <protection locked="0"/>
    </xf>
    <xf numFmtId="0" fontId="14" fillId="0" borderId="0" xfId="46" applyFont="1" applyAlignment="1" applyProtection="1">
      <alignment horizontal="center" vertical="center"/>
      <protection locked="0"/>
    </xf>
    <xf numFmtId="10" fontId="14" fillId="0" borderId="36" xfId="29" applyNumberFormat="1" applyBorder="1" applyProtection="1">
      <protection locked="0"/>
    </xf>
    <xf numFmtId="166" fontId="17" fillId="0" borderId="34" xfId="29" applyNumberFormat="1" applyFont="1" applyBorder="1" applyProtection="1">
      <protection locked="0"/>
    </xf>
    <xf numFmtId="43" fontId="14" fillId="0" borderId="34" xfId="28" applyBorder="1" applyProtection="1">
      <protection locked="0"/>
    </xf>
    <xf numFmtId="10" fontId="14" fillId="0" borderId="34" xfId="29" applyNumberFormat="1" applyBorder="1" applyProtection="1">
      <protection locked="0"/>
    </xf>
    <xf numFmtId="166" fontId="17" fillId="0" borderId="19" xfId="46" applyNumberFormat="1" applyFont="1" applyBorder="1" applyProtection="1">
      <protection locked="0"/>
    </xf>
    <xf numFmtId="0" fontId="14" fillId="0" borderId="0" xfId="46" applyFont="1" applyBorder="1" applyProtection="1">
      <protection locked="0"/>
    </xf>
    <xf numFmtId="44" fontId="14" fillId="0" borderId="0" xfId="29" applyBorder="1" applyProtection="1">
      <protection locked="0"/>
    </xf>
    <xf numFmtId="0" fontId="17" fillId="0" borderId="70" xfId="46" applyFont="1" applyBorder="1" applyProtection="1">
      <protection locked="0"/>
    </xf>
    <xf numFmtId="0" fontId="14" fillId="0" borderId="46" xfId="46" applyBorder="1" applyProtection="1">
      <protection locked="0"/>
    </xf>
    <xf numFmtId="0" fontId="14" fillId="0" borderId="32" xfId="46" applyBorder="1" applyAlignment="1" applyProtection="1">
      <alignment horizontal="center" vertical="center"/>
      <protection locked="0"/>
    </xf>
    <xf numFmtId="0" fontId="14" fillId="0" borderId="24" xfId="46" applyFont="1" applyBorder="1" applyAlignment="1" applyProtection="1">
      <alignment vertical="center" wrapText="1"/>
      <protection locked="0"/>
    </xf>
    <xf numFmtId="43" fontId="14" fillId="29" borderId="24" xfId="28" applyFill="1" applyBorder="1" applyProtection="1">
      <protection locked="0"/>
    </xf>
    <xf numFmtId="10" fontId="14" fillId="0" borderId="24" xfId="42" applyNumberFormat="1" applyBorder="1" applyProtection="1">
      <protection locked="0"/>
    </xf>
    <xf numFmtId="166" fontId="14" fillId="29" borderId="24" xfId="29" applyNumberFormat="1" applyFill="1" applyBorder="1" applyProtection="1">
      <protection locked="0"/>
    </xf>
    <xf numFmtId="166" fontId="14" fillId="29" borderId="10" xfId="29" applyNumberFormat="1" applyFill="1" applyBorder="1" applyProtection="1">
      <protection locked="0"/>
    </xf>
    <xf numFmtId="166" fontId="14" fillId="29" borderId="36" xfId="29" applyNumberFormat="1" applyFill="1" applyBorder="1" applyProtection="1">
      <protection locked="0"/>
    </xf>
    <xf numFmtId="0" fontId="17" fillId="0" borderId="0" xfId="46" applyFont="1" applyAlignment="1" applyProtection="1">
      <alignment vertical="top"/>
      <protection locked="0"/>
    </xf>
    <xf numFmtId="44" fontId="14" fillId="29" borderId="24" xfId="29" applyFill="1" applyBorder="1" applyProtection="1">
      <protection locked="0"/>
    </xf>
    <xf numFmtId="44" fontId="14" fillId="29" borderId="10" xfId="29" applyFill="1" applyBorder="1" applyProtection="1">
      <protection locked="0"/>
    </xf>
    <xf numFmtId="44" fontId="14" fillId="29" borderId="36" xfId="29" applyFill="1" applyBorder="1" applyProtection="1">
      <protection locked="0"/>
    </xf>
    <xf numFmtId="44" fontId="14" fillId="0" borderId="57" xfId="29" applyBorder="1" applyProtection="1">
      <protection locked="0"/>
    </xf>
    <xf numFmtId="0" fontId="14" fillId="0" borderId="0" xfId="46" applyFill="1" applyAlignment="1" applyProtection="1">
      <alignment horizontal="center" vertical="center"/>
      <protection locked="0"/>
    </xf>
    <xf numFmtId="0" fontId="17" fillId="25" borderId="19" xfId="46" quotePrefix="1" applyFont="1" applyFill="1" applyBorder="1" applyAlignment="1" applyProtection="1">
      <alignment horizontal="center" wrapText="1"/>
      <protection locked="0"/>
    </xf>
    <xf numFmtId="0" fontId="17" fillId="25" borderId="64" xfId="46" quotePrefix="1" applyFont="1" applyFill="1" applyBorder="1" applyAlignment="1" applyProtection="1">
      <alignment horizontal="center"/>
      <protection locked="0"/>
    </xf>
    <xf numFmtId="10" fontId="14" fillId="0" borderId="34" xfId="42" applyNumberFormat="1" applyBorder="1" applyProtection="1">
      <protection locked="0"/>
    </xf>
    <xf numFmtId="0" fontId="48" fillId="0" borderId="0" xfId="46" applyFont="1" applyAlignment="1" applyProtection="1">
      <alignment horizontal="center" vertical="center"/>
      <protection locked="0"/>
    </xf>
    <xf numFmtId="166" fontId="0" fillId="29" borderId="19" xfId="29" applyNumberFormat="1" applyFont="1" applyFill="1" applyBorder="1" applyProtection="1">
      <protection locked="0"/>
    </xf>
    <xf numFmtId="0" fontId="17" fillId="0" borderId="0" xfId="46" applyFont="1" applyAlignment="1" applyProtection="1">
      <alignment vertical="center"/>
      <protection locked="0"/>
    </xf>
    <xf numFmtId="0" fontId="17" fillId="0" borderId="0" xfId="46" applyFont="1" applyAlignment="1" applyProtection="1">
      <alignment horizontal="center"/>
      <protection locked="0"/>
    </xf>
    <xf numFmtId="0" fontId="17" fillId="29" borderId="67" xfId="46" applyFont="1" applyFill="1" applyBorder="1" applyAlignment="1" applyProtection="1">
      <alignment horizontal="center"/>
      <protection locked="0"/>
    </xf>
    <xf numFmtId="0" fontId="17" fillId="29" borderId="53" xfId="46" applyFont="1" applyFill="1" applyBorder="1" applyAlignment="1" applyProtection="1">
      <alignment horizontal="center"/>
      <protection locked="0"/>
    </xf>
    <xf numFmtId="0" fontId="17" fillId="29" borderId="64" xfId="46" applyFont="1" applyFill="1" applyBorder="1" applyAlignment="1" applyProtection="1">
      <alignment horizontal="center"/>
      <protection locked="0"/>
    </xf>
    <xf numFmtId="166" fontId="14" fillId="29" borderId="25" xfId="29" applyNumberFormat="1" applyFont="1" applyFill="1" applyBorder="1" applyProtection="1">
      <protection locked="0"/>
    </xf>
    <xf numFmtId="166" fontId="14" fillId="29" borderId="25" xfId="29" applyNumberFormat="1" applyFill="1" applyBorder="1" applyProtection="1">
      <protection locked="0"/>
    </xf>
    <xf numFmtId="0" fontId="14" fillId="29" borderId="54" xfId="46" applyFill="1" applyBorder="1" applyAlignment="1" applyProtection="1">
      <alignment horizontal="left" wrapText="1"/>
      <protection locked="0"/>
    </xf>
    <xf numFmtId="166" fontId="14" fillId="29" borderId="68" xfId="29" applyNumberFormat="1" applyFill="1" applyBorder="1" applyProtection="1">
      <protection locked="0"/>
    </xf>
    <xf numFmtId="0" fontId="17" fillId="0" borderId="46" xfId="46" applyFont="1" applyBorder="1" applyAlignment="1" applyProtection="1">
      <alignment vertical="top"/>
      <protection locked="0"/>
    </xf>
    <xf numFmtId="166" fontId="14" fillId="0" borderId="60" xfId="29" applyNumberFormat="1" applyBorder="1" applyProtection="1">
      <protection locked="0"/>
    </xf>
    <xf numFmtId="0" fontId="17" fillId="0" borderId="0" xfId="46" applyFont="1" applyBorder="1" applyAlignment="1" applyProtection="1">
      <alignment vertical="top"/>
      <protection locked="0"/>
    </xf>
    <xf numFmtId="166" fontId="14" fillId="0" borderId="0" xfId="29" applyNumberFormat="1" applyBorder="1" applyProtection="1">
      <protection locked="0"/>
    </xf>
    <xf numFmtId="166" fontId="14" fillId="0" borderId="0" xfId="29" applyNumberFormat="1" applyFill="1" applyBorder="1" applyProtection="1">
      <protection locked="0"/>
    </xf>
    <xf numFmtId="166" fontId="14" fillId="0" borderId="0" xfId="29" applyNumberFormat="1" applyFill="1" applyBorder="1" applyAlignment="1" applyProtection="1">
      <protection locked="0"/>
    </xf>
    <xf numFmtId="0" fontId="17" fillId="0" borderId="0" xfId="46" applyFont="1" applyFill="1" applyBorder="1" applyAlignment="1" applyProtection="1">
      <alignment vertical="top"/>
      <protection locked="0"/>
    </xf>
    <xf numFmtId="0" fontId="17" fillId="0" borderId="43" xfId="46" applyFont="1" applyFill="1" applyBorder="1" applyAlignment="1" applyProtection="1">
      <alignment horizontal="center"/>
      <protection locked="0"/>
    </xf>
    <xf numFmtId="0" fontId="17" fillId="0" borderId="40" xfId="46" applyFont="1" applyFill="1" applyBorder="1" applyAlignment="1" applyProtection="1">
      <alignment horizontal="center"/>
      <protection locked="0"/>
    </xf>
    <xf numFmtId="0" fontId="17" fillId="29" borderId="92" xfId="46" applyFont="1" applyFill="1" applyBorder="1" applyAlignment="1" applyProtection="1">
      <alignment horizontal="center"/>
      <protection locked="0"/>
    </xf>
    <xf numFmtId="0" fontId="17" fillId="29" borderId="12" xfId="46" applyFont="1" applyFill="1" applyBorder="1" applyAlignment="1" applyProtection="1">
      <alignment horizontal="center"/>
      <protection locked="0"/>
    </xf>
    <xf numFmtId="0" fontId="17" fillId="0" borderId="92" xfId="46" applyFont="1" applyFill="1" applyBorder="1" applyAlignment="1" applyProtection="1">
      <alignment horizontal="center"/>
      <protection locked="0"/>
    </xf>
    <xf numFmtId="0" fontId="14" fillId="0" borderId="40" xfId="46" applyBorder="1" applyAlignment="1" applyProtection="1">
      <alignment horizontal="left" wrapText="1"/>
      <protection locked="0"/>
    </xf>
    <xf numFmtId="166" fontId="14" fillId="29" borderId="53" xfId="29" applyNumberFormat="1" applyFont="1" applyFill="1" applyBorder="1" applyAlignment="1" applyProtection="1">
      <alignment horizontal="center"/>
      <protection locked="0"/>
    </xf>
    <xf numFmtId="166" fontId="14" fillId="28" borderId="128" xfId="29" applyNumberFormat="1" applyFill="1" applyBorder="1" applyProtection="1">
      <protection locked="0"/>
    </xf>
    <xf numFmtId="166" fontId="14" fillId="29" borderId="128" xfId="29" applyNumberFormat="1" applyFill="1" applyBorder="1" applyAlignment="1" applyProtection="1">
      <alignment horizontal="left" vertical="top" wrapText="1"/>
      <protection locked="0"/>
    </xf>
    <xf numFmtId="0" fontId="14" fillId="0" borderId="128" xfId="46" applyBorder="1" applyAlignment="1" applyProtection="1">
      <alignment horizontal="left" wrapText="1"/>
      <protection locked="0"/>
    </xf>
    <xf numFmtId="0" fontId="14" fillId="0" borderId="104" xfId="46" applyBorder="1" applyAlignment="1" applyProtection="1">
      <alignment horizontal="left" wrapText="1"/>
      <protection locked="0"/>
    </xf>
    <xf numFmtId="166" fontId="14" fillId="29" borderId="54" xfId="29" applyNumberFormat="1" applyFont="1" applyFill="1" applyBorder="1" applyProtection="1">
      <protection locked="0"/>
    </xf>
    <xf numFmtId="166" fontId="14" fillId="28" borderId="104" xfId="29" applyNumberFormat="1" applyFill="1" applyBorder="1" applyProtection="1">
      <protection locked="0"/>
    </xf>
    <xf numFmtId="0" fontId="14" fillId="0" borderId="104" xfId="46" applyFill="1" applyBorder="1" applyAlignment="1" applyProtection="1">
      <alignment horizontal="left" wrapText="1"/>
      <protection locked="0"/>
    </xf>
    <xf numFmtId="0" fontId="14" fillId="29" borderId="104" xfId="46" applyFill="1" applyBorder="1" applyAlignment="1" applyProtection="1">
      <alignment horizontal="left" wrapText="1"/>
      <protection locked="0"/>
    </xf>
    <xf numFmtId="0" fontId="14" fillId="29" borderId="160" xfId="46" applyFill="1" applyBorder="1" applyAlignment="1" applyProtection="1">
      <alignment horizontal="left" wrapText="1"/>
      <protection locked="0"/>
    </xf>
    <xf numFmtId="166" fontId="14" fillId="29" borderId="89" xfId="29" applyNumberFormat="1" applyFont="1" applyFill="1" applyBorder="1" applyProtection="1">
      <protection locked="0"/>
    </xf>
    <xf numFmtId="166" fontId="14" fillId="29" borderId="160" xfId="29" applyNumberFormat="1" applyFill="1" applyBorder="1" applyAlignment="1" applyProtection="1">
      <alignment horizontal="left" vertical="top" wrapText="1"/>
      <protection locked="0"/>
    </xf>
    <xf numFmtId="0" fontId="17" fillId="0" borderId="41" xfId="46" applyFont="1" applyBorder="1" applyAlignment="1" applyProtection="1">
      <alignment vertical="top"/>
      <protection locked="0"/>
    </xf>
    <xf numFmtId="166" fontId="14" fillId="0" borderId="61" xfId="29" applyNumberFormat="1" applyBorder="1" applyProtection="1">
      <protection locked="0"/>
    </xf>
    <xf numFmtId="166" fontId="14" fillId="66" borderId="105" xfId="29" applyNumberFormat="1" applyFill="1" applyBorder="1" applyProtection="1">
      <protection locked="0"/>
    </xf>
    <xf numFmtId="166" fontId="14" fillId="66" borderId="41" xfId="29" applyNumberFormat="1" applyFill="1" applyBorder="1" applyProtection="1">
      <protection locked="0"/>
    </xf>
    <xf numFmtId="0" fontId="17" fillId="0" borderId="44" xfId="46" applyFont="1" applyBorder="1" applyAlignment="1" applyProtection="1">
      <alignment vertical="top"/>
      <protection locked="0"/>
    </xf>
    <xf numFmtId="9" fontId="14" fillId="0" borderId="20" xfId="42" applyBorder="1" applyAlignment="1" applyProtection="1">
      <alignment horizontal="right"/>
      <protection locked="0"/>
    </xf>
    <xf numFmtId="166" fontId="14" fillId="0" borderId="44" xfId="29" applyNumberFormat="1" applyBorder="1" applyProtection="1">
      <protection locked="0"/>
    </xf>
    <xf numFmtId="166" fontId="14" fillId="29" borderId="44" xfId="29" applyNumberFormat="1" applyFill="1" applyBorder="1" applyAlignment="1" applyProtection="1">
      <alignment horizontal="left" vertical="top" wrapText="1"/>
      <protection locked="0"/>
    </xf>
    <xf numFmtId="0" fontId="24" fillId="0" borderId="0" xfId="47" applyProtection="1">
      <protection locked="0"/>
    </xf>
    <xf numFmtId="0" fontId="40" fillId="0" borderId="0" xfId="47" applyFont="1" applyProtection="1">
      <protection locked="0"/>
    </xf>
    <xf numFmtId="0" fontId="54" fillId="0" borderId="0" xfId="47" applyFont="1" applyProtection="1">
      <protection locked="0"/>
    </xf>
    <xf numFmtId="0" fontId="59" fillId="0" borderId="0" xfId="47" applyFont="1" applyProtection="1">
      <protection locked="0"/>
    </xf>
    <xf numFmtId="0" fontId="58" fillId="0" borderId="10" xfId="47" applyFont="1" applyBorder="1" applyAlignment="1" applyProtection="1">
      <alignment horizontal="center" wrapText="1"/>
      <protection locked="0"/>
    </xf>
    <xf numFmtId="0" fontId="58" fillId="0" borderId="0" xfId="47" applyFont="1" applyProtection="1">
      <protection locked="0"/>
    </xf>
    <xf numFmtId="0" fontId="58" fillId="0" borderId="10" xfId="47" applyFont="1" applyBorder="1" applyAlignment="1" applyProtection="1">
      <alignment horizontal="center" vertical="center"/>
      <protection locked="0"/>
    </xf>
    <xf numFmtId="0" fontId="58" fillId="0" borderId="10" xfId="47" applyFont="1" applyBorder="1" applyAlignment="1" applyProtection="1">
      <alignment horizontal="center" vertical="center" wrapText="1"/>
      <protection locked="0"/>
    </xf>
    <xf numFmtId="0" fontId="54" fillId="0" borderId="10" xfId="47" applyFont="1" applyBorder="1" applyProtection="1">
      <protection locked="0"/>
    </xf>
    <xf numFmtId="0" fontId="54" fillId="0" borderId="10" xfId="47" applyFont="1" applyBorder="1" applyAlignment="1" applyProtection="1">
      <alignment horizontal="center"/>
      <protection locked="0"/>
    </xf>
    <xf numFmtId="0" fontId="54" fillId="30" borderId="10" xfId="47" applyFont="1" applyFill="1" applyBorder="1" applyProtection="1">
      <protection locked="0"/>
    </xf>
    <xf numFmtId="3" fontId="54" fillId="29" borderId="10" xfId="47" applyNumberFormat="1" applyFont="1" applyFill="1" applyBorder="1" applyAlignment="1" applyProtection="1">
      <protection locked="0"/>
    </xf>
    <xf numFmtId="3" fontId="54" fillId="0" borderId="10" xfId="47" applyNumberFormat="1" applyFont="1" applyFill="1" applyBorder="1" applyAlignment="1" applyProtection="1">
      <protection locked="0"/>
    </xf>
    <xf numFmtId="0" fontId="58" fillId="0" borderId="10" xfId="47" applyFont="1" applyBorder="1" applyProtection="1">
      <protection locked="0"/>
    </xf>
    <xf numFmtId="3" fontId="54" fillId="0" borderId="10" xfId="47" applyNumberFormat="1" applyFont="1" applyBorder="1" applyAlignment="1" applyProtection="1">
      <protection locked="0"/>
    </xf>
    <xf numFmtId="0" fontId="58" fillId="0" borderId="0" xfId="47" applyFont="1" applyAlignment="1" applyProtection="1">
      <alignment wrapText="1"/>
      <protection locked="0"/>
    </xf>
    <xf numFmtId="3" fontId="14" fillId="29" borderId="10" xfId="47" applyNumberFormat="1" applyFont="1" applyFill="1" applyBorder="1" applyAlignment="1" applyProtection="1">
      <protection locked="0"/>
    </xf>
    <xf numFmtId="0" fontId="58" fillId="0" borderId="10" xfId="47" applyFont="1" applyBorder="1" applyAlignment="1" applyProtection="1">
      <alignment wrapText="1"/>
      <protection locked="0"/>
    </xf>
    <xf numFmtId="3" fontId="54" fillId="0" borderId="10" xfId="47" applyNumberFormat="1" applyFont="1" applyBorder="1" applyProtection="1">
      <protection locked="0"/>
    </xf>
    <xf numFmtId="3" fontId="54" fillId="0" borderId="0" xfId="47" applyNumberFormat="1" applyFont="1" applyProtection="1">
      <protection locked="0"/>
    </xf>
    <xf numFmtId="0" fontId="54" fillId="0" borderId="12" xfId="47" applyFont="1" applyBorder="1" applyAlignment="1" applyProtection="1">
      <alignment horizontal="left" wrapText="1" indent="4"/>
      <protection locked="0"/>
    </xf>
    <xf numFmtId="0" fontId="54" fillId="0" borderId="12" xfId="47" applyFont="1" applyBorder="1" applyProtection="1">
      <protection locked="0"/>
    </xf>
    <xf numFmtId="167" fontId="54" fillId="0" borderId="12" xfId="28" applyNumberFormat="1" applyFont="1" applyBorder="1" applyProtection="1">
      <protection locked="0"/>
    </xf>
    <xf numFmtId="0" fontId="58" fillId="0" borderId="0" xfId="47" applyFont="1" applyAlignment="1" applyProtection="1">
      <alignment horizontal="right"/>
      <protection locked="0"/>
    </xf>
    <xf numFmtId="10" fontId="54" fillId="29" borderId="100" xfId="47" applyNumberFormat="1" applyFont="1" applyFill="1" applyBorder="1" applyProtection="1">
      <protection locked="0"/>
    </xf>
    <xf numFmtId="0" fontId="24" fillId="0" borderId="0" xfId="47" applyFont="1" applyProtection="1">
      <protection locked="0"/>
    </xf>
    <xf numFmtId="0" fontId="59" fillId="0" borderId="0" xfId="47" applyFont="1" applyAlignment="1" applyProtection="1">
      <alignment vertical="center"/>
      <protection locked="0"/>
    </xf>
    <xf numFmtId="0" fontId="58" fillId="0" borderId="13" xfId="47" applyFont="1" applyBorder="1" applyProtection="1">
      <protection locked="0"/>
    </xf>
    <xf numFmtId="0" fontId="54" fillId="0" borderId="13" xfId="47" applyFont="1" applyBorder="1" applyProtection="1">
      <protection locked="0"/>
    </xf>
    <xf numFmtId="167" fontId="54" fillId="0" borderId="13" xfId="28" applyNumberFormat="1" applyFont="1" applyBorder="1" applyProtection="1">
      <protection locked="0"/>
    </xf>
    <xf numFmtId="0" fontId="54" fillId="0" borderId="0" xfId="47" applyFont="1" applyAlignment="1" applyProtection="1">
      <alignment wrapText="1"/>
      <protection locked="0"/>
    </xf>
    <xf numFmtId="0" fontId="54" fillId="0" borderId="0" xfId="47" applyFont="1" applyAlignment="1" applyProtection="1">
      <alignment vertical="center"/>
      <protection locked="0"/>
    </xf>
    <xf numFmtId="0" fontId="54" fillId="0" borderId="0" xfId="47" applyFont="1" applyAlignment="1" applyProtection="1">
      <alignment vertical="center" wrapText="1"/>
      <protection locked="0"/>
    </xf>
    <xf numFmtId="0" fontId="54" fillId="0" borderId="10" xfId="47" applyFont="1" applyBorder="1" applyAlignment="1" applyProtection="1">
      <protection locked="0"/>
    </xf>
    <xf numFmtId="0" fontId="60" fillId="30" borderId="10" xfId="47" applyFont="1" applyFill="1" applyBorder="1" applyProtection="1">
      <protection locked="0"/>
    </xf>
    <xf numFmtId="0" fontId="54" fillId="29" borderId="10" xfId="47" applyFont="1" applyFill="1" applyBorder="1" applyProtection="1">
      <protection locked="0"/>
    </xf>
    <xf numFmtId="167" fontId="54" fillId="0" borderId="0" xfId="28" applyNumberFormat="1" applyFont="1" applyProtection="1">
      <protection locked="0"/>
    </xf>
    <xf numFmtId="0" fontId="14" fillId="64" borderId="0" xfId="46" applyFill="1" applyProtection="1">
      <protection locked="0"/>
    </xf>
    <xf numFmtId="0" fontId="89" fillId="0" borderId="0" xfId="47" applyFont="1" applyProtection="1">
      <protection locked="0"/>
    </xf>
    <xf numFmtId="0" fontId="21" fillId="0" borderId="0" xfId="46" applyFont="1" applyAlignment="1" applyProtection="1">
      <protection locked="0"/>
    </xf>
    <xf numFmtId="0" fontId="12" fillId="0" borderId="0" xfId="90" applyProtection="1">
      <protection locked="0"/>
    </xf>
    <xf numFmtId="0" fontId="114" fillId="0" borderId="0" xfId="0" applyFont="1" applyAlignment="1" applyProtection="1">
      <alignment horizontal="left" vertical="top"/>
      <protection locked="0"/>
    </xf>
    <xf numFmtId="0" fontId="6" fillId="0" borderId="0" xfId="90" applyFont="1" applyProtection="1">
      <protection locked="0"/>
    </xf>
    <xf numFmtId="0" fontId="92" fillId="0" borderId="0" xfId="0" applyFont="1" applyAlignment="1" applyProtection="1">
      <protection locked="0"/>
    </xf>
    <xf numFmtId="0" fontId="92" fillId="0" borderId="0" xfId="90" applyFont="1" applyProtection="1">
      <protection locked="0"/>
    </xf>
    <xf numFmtId="0" fontId="7" fillId="0" borderId="0" xfId="90" applyFont="1" applyProtection="1">
      <protection locked="0"/>
    </xf>
    <xf numFmtId="0" fontId="21" fillId="0" borderId="0" xfId="0" applyFont="1" applyProtection="1">
      <protection locked="0"/>
    </xf>
    <xf numFmtId="0" fontId="17" fillId="0" borderId="0" xfId="0" applyFont="1" applyAlignment="1" applyProtection="1">
      <alignment horizontal="center"/>
      <protection locked="0"/>
    </xf>
    <xf numFmtId="0" fontId="20" fillId="0" borderId="0" xfId="0" applyFont="1" applyProtection="1">
      <protection locked="0"/>
    </xf>
    <xf numFmtId="0" fontId="17" fillId="0" borderId="10" xfId="0" applyFont="1" applyBorder="1" applyAlignment="1" applyProtection="1">
      <alignment horizontal="center"/>
      <protection locked="0"/>
    </xf>
    <xf numFmtId="0" fontId="43" fillId="0" borderId="0" xfId="0" applyFont="1" applyProtection="1">
      <protection locked="0"/>
    </xf>
    <xf numFmtId="176" fontId="14" fillId="29" borderId="0" xfId="28" applyNumberFormat="1" applyFont="1" applyFill="1" applyBorder="1" applyAlignment="1" applyProtection="1">
      <alignment horizontal="center"/>
      <protection locked="0"/>
    </xf>
    <xf numFmtId="166" fontId="14" fillId="0" borderId="0" xfId="29" applyNumberFormat="1" applyFont="1" applyProtection="1">
      <protection locked="0"/>
    </xf>
    <xf numFmtId="166" fontId="17" fillId="0" borderId="0" xfId="29" applyNumberFormat="1" applyFont="1" applyProtection="1">
      <protection locked="0"/>
    </xf>
    <xf numFmtId="0" fontId="17" fillId="0" borderId="0" xfId="0" applyFont="1" applyFill="1" applyBorder="1" applyProtection="1">
      <protection locked="0"/>
    </xf>
    <xf numFmtId="166" fontId="17" fillId="0" borderId="0" xfId="0" applyNumberFormat="1" applyFont="1" applyFill="1" applyBorder="1" applyProtection="1">
      <protection locked="0"/>
    </xf>
    <xf numFmtId="0" fontId="0" fillId="66" borderId="0" xfId="0" applyFill="1" applyBorder="1" applyProtection="1">
      <protection locked="0"/>
    </xf>
    <xf numFmtId="0" fontId="105" fillId="66" borderId="0" xfId="0" applyFont="1" applyFill="1" applyBorder="1" applyAlignment="1" applyProtection="1">
      <alignment horizontal="center"/>
      <protection locked="0"/>
    </xf>
    <xf numFmtId="166" fontId="98" fillId="66" borderId="0" xfId="0" applyNumberFormat="1" applyFont="1" applyFill="1" applyBorder="1" applyProtection="1">
      <protection locked="0"/>
    </xf>
    <xf numFmtId="166" fontId="98" fillId="66" borderId="0" xfId="0" applyNumberFormat="1" applyFont="1" applyFill="1" applyBorder="1" applyAlignment="1" applyProtection="1">
      <alignment horizontal="center"/>
      <protection locked="0"/>
    </xf>
    <xf numFmtId="0" fontId="105" fillId="0" borderId="0" xfId="0" applyFont="1" applyFill="1" applyBorder="1" applyAlignment="1" applyProtection="1">
      <alignment horizontal="center"/>
      <protection locked="0"/>
    </xf>
    <xf numFmtId="0" fontId="14" fillId="0" borderId="0" xfId="0" applyFont="1" applyFill="1" applyBorder="1" applyProtection="1">
      <protection locked="0"/>
    </xf>
    <xf numFmtId="9" fontId="14" fillId="0" borderId="0" xfId="0" applyNumberFormat="1" applyFont="1" applyFill="1" applyBorder="1" applyAlignment="1" applyProtection="1">
      <alignment horizontal="center"/>
      <protection locked="0"/>
    </xf>
    <xf numFmtId="166" fontId="14" fillId="0" borderId="0" xfId="29" applyNumberFormat="1" applyFont="1" applyFill="1" applyBorder="1" applyProtection="1">
      <protection locked="0"/>
    </xf>
    <xf numFmtId="166" fontId="14" fillId="0" borderId="0" xfId="29" applyNumberFormat="1" applyFont="1" applyFill="1" applyBorder="1" applyAlignment="1" applyProtection="1">
      <alignment horizontal="center"/>
      <protection locked="0"/>
    </xf>
    <xf numFmtId="9" fontId="14" fillId="0" borderId="0" xfId="28" applyNumberFormat="1" applyFont="1" applyFill="1" applyBorder="1" applyAlignment="1" applyProtection="1">
      <alignment horizontal="center"/>
      <protection locked="0"/>
    </xf>
    <xf numFmtId="166" fontId="14" fillId="0" borderId="0" xfId="0" applyNumberFormat="1" applyFont="1" applyFill="1" applyBorder="1" applyProtection="1">
      <protection locked="0"/>
    </xf>
    <xf numFmtId="9" fontId="14" fillId="0" borderId="0" xfId="42" applyFont="1" applyFill="1" applyBorder="1" applyAlignment="1" applyProtection="1">
      <alignment horizontal="center"/>
      <protection locked="0"/>
    </xf>
    <xf numFmtId="0" fontId="42" fillId="0" borderId="0" xfId="0" applyFont="1" applyFill="1" applyBorder="1" applyAlignment="1" applyProtection="1">
      <alignment horizontal="center"/>
      <protection locked="0"/>
    </xf>
    <xf numFmtId="166" fontId="14" fillId="0" borderId="0" xfId="0" applyNumberFormat="1" applyFont="1" applyFill="1" applyBorder="1" applyAlignment="1" applyProtection="1">
      <alignment horizontal="center"/>
      <protection locked="0"/>
    </xf>
    <xf numFmtId="0" fontId="14" fillId="66" borderId="0" xfId="0" applyFont="1" applyFill="1" applyBorder="1" applyProtection="1">
      <protection locked="0"/>
    </xf>
    <xf numFmtId="0" fontId="42" fillId="66" borderId="0" xfId="0" applyFont="1" applyFill="1" applyBorder="1" applyAlignment="1" applyProtection="1">
      <alignment horizontal="center"/>
      <protection locked="0"/>
    </xf>
    <xf numFmtId="166" fontId="14" fillId="66" borderId="0" xfId="0" applyNumberFormat="1" applyFont="1" applyFill="1" applyBorder="1" applyProtection="1">
      <protection locked="0"/>
    </xf>
    <xf numFmtId="166" fontId="14" fillId="66" borderId="0" xfId="0" applyNumberFormat="1" applyFont="1" applyFill="1" applyBorder="1" applyAlignment="1" applyProtection="1">
      <alignment horizontal="center"/>
      <protection locked="0"/>
    </xf>
    <xf numFmtId="0" fontId="94" fillId="0" borderId="0" xfId="90" applyFont="1" applyProtection="1">
      <protection locked="0"/>
    </xf>
    <xf numFmtId="0" fontId="17" fillId="0" borderId="0" xfId="0" applyFont="1" applyBorder="1" applyAlignment="1" applyProtection="1">
      <protection locked="0"/>
    </xf>
    <xf numFmtId="0" fontId="14" fillId="0" borderId="0" xfId="0" applyFont="1" applyBorder="1" applyProtection="1">
      <protection locked="0"/>
    </xf>
    <xf numFmtId="0" fontId="12" fillId="0" borderId="0" xfId="90" applyBorder="1" applyProtection="1">
      <protection locked="0"/>
    </xf>
    <xf numFmtId="0" fontId="14" fillId="0" borderId="0" xfId="0" applyFont="1" applyAlignment="1" applyProtection="1">
      <alignment horizontal="right"/>
      <protection locked="0"/>
    </xf>
    <xf numFmtId="0" fontId="17" fillId="0" borderId="0" xfId="97" applyFont="1" applyFill="1" applyBorder="1" applyAlignment="1" applyProtection="1">
      <alignment horizontal="center"/>
      <protection locked="0"/>
    </xf>
    <xf numFmtId="9" fontId="17" fillId="0" borderId="0" xfId="97" applyNumberFormat="1" applyFont="1" applyFill="1" applyBorder="1" applyAlignment="1" applyProtection="1">
      <alignment horizontal="center"/>
      <protection locked="0"/>
    </xf>
    <xf numFmtId="9" fontId="14" fillId="0" borderId="0" xfId="0" applyNumberFormat="1" applyFont="1" applyAlignment="1" applyProtection="1">
      <alignment horizontal="center"/>
      <protection locked="0"/>
    </xf>
    <xf numFmtId="166" fontId="14" fillId="64" borderId="0" xfId="29" applyNumberFormat="1" applyFont="1" applyFill="1" applyProtection="1">
      <protection locked="0"/>
    </xf>
    <xf numFmtId="166" fontId="14" fillId="0" borderId="0" xfId="29" applyNumberFormat="1" applyFont="1" applyAlignment="1" applyProtection="1">
      <alignment horizontal="center"/>
      <protection locked="0"/>
    </xf>
    <xf numFmtId="166" fontId="14" fillId="0" borderId="0" xfId="29" applyNumberFormat="1" applyFont="1" applyFill="1" applyProtection="1">
      <protection locked="0"/>
    </xf>
    <xf numFmtId="42" fontId="14" fillId="0" borderId="0" xfId="0" applyNumberFormat="1" applyFont="1" applyAlignment="1" applyProtection="1">
      <alignment horizontal="center"/>
      <protection locked="0"/>
    </xf>
    <xf numFmtId="176" fontId="14" fillId="0" borderId="0" xfId="28" applyNumberFormat="1" applyFont="1" applyFill="1" applyBorder="1" applyAlignment="1" applyProtection="1">
      <alignment horizontal="center"/>
      <protection locked="0"/>
    </xf>
    <xf numFmtId="166" fontId="14" fillId="0" borderId="0" xfId="0" applyNumberFormat="1" applyFont="1" applyFill="1" applyProtection="1">
      <protection locked="0"/>
    </xf>
    <xf numFmtId="42" fontId="14" fillId="0" borderId="0" xfId="0" applyNumberFormat="1" applyFont="1" applyFill="1" applyAlignment="1" applyProtection="1">
      <alignment horizontal="center"/>
      <protection locked="0"/>
    </xf>
    <xf numFmtId="9" fontId="14" fillId="29" borderId="0" xfId="28" applyNumberFormat="1" applyFont="1" applyFill="1" applyBorder="1" applyAlignment="1" applyProtection="1">
      <alignment horizontal="center"/>
      <protection locked="0"/>
    </xf>
    <xf numFmtId="165" fontId="14" fillId="0" borderId="0" xfId="0" applyNumberFormat="1" applyFont="1" applyAlignment="1" applyProtection="1">
      <alignment horizontal="center"/>
      <protection locked="0"/>
    </xf>
    <xf numFmtId="166" fontId="14" fillId="0" borderId="12" xfId="0" applyNumberFormat="1" applyFont="1" applyBorder="1" applyProtection="1">
      <protection locked="0"/>
    </xf>
    <xf numFmtId="166" fontId="14" fillId="0" borderId="12" xfId="29" applyNumberFormat="1" applyFont="1" applyBorder="1" applyAlignment="1" applyProtection="1">
      <alignment horizontal="center"/>
      <protection locked="0"/>
    </xf>
    <xf numFmtId="166" fontId="14" fillId="0" borderId="0" xfId="0" applyNumberFormat="1" applyFont="1" applyProtection="1">
      <protection locked="0"/>
    </xf>
    <xf numFmtId="9" fontId="14" fillId="0" borderId="0" xfId="42" applyFont="1" applyBorder="1" applyAlignment="1" applyProtection="1">
      <alignment horizontal="center"/>
      <protection locked="0"/>
    </xf>
    <xf numFmtId="9" fontId="14" fillId="0" borderId="0" xfId="42" applyFont="1" applyAlignment="1" applyProtection="1">
      <alignment horizontal="center"/>
      <protection locked="0"/>
    </xf>
    <xf numFmtId="44" fontId="14" fillId="0" borderId="0" xfId="29" applyFont="1" applyProtection="1">
      <protection locked="0"/>
    </xf>
    <xf numFmtId="10" fontId="14" fillId="0" borderId="0" xfId="42" applyNumberFormat="1" applyFont="1" applyAlignment="1" applyProtection="1">
      <alignment horizontal="center"/>
      <protection locked="0"/>
    </xf>
    <xf numFmtId="0" fontId="17" fillId="0" borderId="0" xfId="0" applyFont="1" applyAlignment="1" applyProtection="1">
      <alignment horizontal="right"/>
      <protection locked="0"/>
    </xf>
    <xf numFmtId="166" fontId="14" fillId="0" borderId="13" xfId="0" applyNumberFormat="1" applyFont="1" applyBorder="1" applyProtection="1">
      <protection locked="0"/>
    </xf>
    <xf numFmtId="166" fontId="14" fillId="64" borderId="0" xfId="0" applyNumberFormat="1" applyFont="1" applyFill="1" applyProtection="1">
      <protection locked="0"/>
    </xf>
    <xf numFmtId="0" fontId="42" fillId="0" borderId="0" xfId="0" applyFont="1" applyAlignment="1" applyProtection="1">
      <alignment horizontal="center"/>
      <protection locked="0"/>
    </xf>
    <xf numFmtId="166" fontId="14" fillId="0" borderId="0" xfId="0" applyNumberFormat="1" applyFont="1" applyAlignment="1" applyProtection="1">
      <alignment horizontal="center"/>
      <protection locked="0"/>
    </xf>
    <xf numFmtId="166" fontId="14" fillId="0" borderId="103" xfId="0" applyNumberFormat="1" applyFont="1" applyBorder="1" applyProtection="1">
      <protection locked="0"/>
    </xf>
    <xf numFmtId="0" fontId="14" fillId="64" borderId="0" xfId="0" applyFont="1" applyFill="1" applyBorder="1" applyProtection="1">
      <protection locked="0"/>
    </xf>
    <xf numFmtId="166" fontId="14" fillId="0" borderId="0" xfId="0" applyNumberFormat="1" applyFont="1" applyBorder="1" applyProtection="1">
      <protection locked="0"/>
    </xf>
    <xf numFmtId="0" fontId="17" fillId="64" borderId="0" xfId="0" applyFont="1" applyFill="1" applyBorder="1" applyAlignment="1" applyProtection="1">
      <alignment horizontal="center"/>
      <protection locked="0"/>
    </xf>
    <xf numFmtId="166" fontId="14" fillId="0" borderId="13" xfId="0" applyNumberFormat="1" applyFont="1" applyFill="1" applyBorder="1" applyProtection="1">
      <protection locked="0"/>
    </xf>
    <xf numFmtId="167" fontId="14" fillId="64" borderId="0" xfId="28" applyNumberFormat="1" applyFont="1" applyFill="1" applyBorder="1" applyAlignment="1" applyProtection="1">
      <alignment horizontal="center"/>
      <protection locked="0"/>
    </xf>
    <xf numFmtId="0" fontId="14" fillId="0" borderId="0" xfId="0" applyFont="1" applyAlignment="1" applyProtection="1">
      <alignment horizontal="center"/>
      <protection locked="0"/>
    </xf>
    <xf numFmtId="168" fontId="14" fillId="0" borderId="0" xfId="0" applyNumberFormat="1" applyFont="1" applyProtection="1">
      <protection locked="0"/>
    </xf>
    <xf numFmtId="44" fontId="14" fillId="0" borderId="0" xfId="0" applyNumberFormat="1" applyFont="1" applyFill="1" applyBorder="1" applyProtection="1">
      <protection locked="0"/>
    </xf>
    <xf numFmtId="0" fontId="55" fillId="0" borderId="0" xfId="0" applyFont="1" applyFill="1" applyProtection="1">
      <protection locked="0"/>
    </xf>
    <xf numFmtId="0" fontId="14" fillId="0" borderId="0" xfId="0" applyFont="1" applyFill="1" applyBorder="1" applyAlignment="1" applyProtection="1">
      <alignment horizontal="right"/>
      <protection locked="0"/>
    </xf>
    <xf numFmtId="0" fontId="101" fillId="0" borderId="0" xfId="97" applyFont="1" applyFill="1" applyProtection="1">
      <protection locked="0"/>
    </xf>
    <xf numFmtId="0" fontId="14" fillId="0" borderId="0" xfId="97" applyFont="1" applyFill="1" applyBorder="1" applyProtection="1">
      <protection locked="0"/>
    </xf>
    <xf numFmtId="0" fontId="20" fillId="0" borderId="0" xfId="97" applyFont="1" applyFill="1" applyProtection="1">
      <protection locked="0"/>
    </xf>
    <xf numFmtId="0" fontId="17" fillId="0" borderId="0" xfId="97" applyFont="1" applyFill="1" applyProtection="1">
      <protection locked="0"/>
    </xf>
    <xf numFmtId="0" fontId="14" fillId="0" borderId="0" xfId="97" applyFont="1" applyFill="1" applyProtection="1">
      <protection locked="0"/>
    </xf>
    <xf numFmtId="166" fontId="14" fillId="0" borderId="0" xfId="97" applyNumberFormat="1" applyFont="1" applyFill="1" applyBorder="1" applyAlignment="1" applyProtection="1">
      <alignment horizontal="center"/>
      <protection locked="0"/>
    </xf>
    <xf numFmtId="10" fontId="106" fillId="0" borderId="0" xfId="97" applyNumberFormat="1" applyFont="1" applyFill="1" applyBorder="1" applyAlignment="1" applyProtection="1">
      <alignment horizontal="center"/>
      <protection locked="0"/>
    </xf>
    <xf numFmtId="166" fontId="14" fillId="0" borderId="13" xfId="29" applyNumberFormat="1" applyFont="1" applyFill="1" applyBorder="1" applyProtection="1">
      <protection locked="0"/>
    </xf>
    <xf numFmtId="10" fontId="14" fillId="29" borderId="0" xfId="42" applyNumberFormat="1" applyFont="1" applyFill="1" applyAlignment="1" applyProtection="1">
      <alignment horizontal="center"/>
      <protection locked="0"/>
    </xf>
    <xf numFmtId="44" fontId="14" fillId="0" borderId="13" xfId="29" applyNumberFormat="1" applyFont="1" applyFill="1" applyBorder="1" applyProtection="1">
      <protection locked="0"/>
    </xf>
    <xf numFmtId="0" fontId="17" fillId="0" borderId="0" xfId="97" applyFont="1" applyFill="1" applyAlignment="1" applyProtection="1">
      <alignment horizontal="left"/>
      <protection locked="0"/>
    </xf>
    <xf numFmtId="44" fontId="14" fillId="0" borderId="0" xfId="29" applyFont="1" applyFill="1" applyProtection="1">
      <protection locked="0"/>
    </xf>
    <xf numFmtId="44" fontId="14" fillId="0" borderId="0" xfId="29" applyFont="1" applyFill="1" applyBorder="1" applyProtection="1">
      <protection locked="0"/>
    </xf>
    <xf numFmtId="166" fontId="50" fillId="0" borderId="13" xfId="29" applyNumberFormat="1" applyFont="1" applyFill="1" applyBorder="1" applyProtection="1">
      <protection locked="0"/>
    </xf>
    <xf numFmtId="44" fontId="50" fillId="0" borderId="0" xfId="29" applyFont="1" applyFill="1" applyBorder="1" applyProtection="1">
      <protection locked="0"/>
    </xf>
    <xf numFmtId="177" fontId="54" fillId="0" borderId="0" xfId="0" applyNumberFormat="1" applyFont="1" applyBorder="1" applyAlignment="1" applyProtection="1">
      <alignment horizontal="right"/>
      <protection locked="0"/>
    </xf>
    <xf numFmtId="0" fontId="14" fillId="0" borderId="0" xfId="98" applyFont="1" applyFill="1" applyProtection="1">
      <protection locked="0"/>
    </xf>
    <xf numFmtId="0" fontId="17" fillId="0" borderId="87" xfId="29" applyNumberFormat="1" applyFont="1" applyFill="1" applyBorder="1" applyAlignment="1" applyProtection="1">
      <alignment horizontal="center"/>
      <protection locked="0"/>
    </xf>
    <xf numFmtId="0" fontId="17" fillId="0" borderId="44" xfId="29" applyNumberFormat="1" applyFont="1" applyFill="1" applyBorder="1" applyAlignment="1" applyProtection="1">
      <alignment horizontal="center"/>
      <protection locked="0"/>
    </xf>
    <xf numFmtId="0" fontId="98" fillId="0" borderId="0" xfId="0" applyFont="1" applyFill="1" applyProtection="1">
      <protection locked="0"/>
    </xf>
    <xf numFmtId="0" fontId="0" fillId="0" borderId="0" xfId="0" applyFill="1" applyProtection="1">
      <protection locked="0"/>
    </xf>
    <xf numFmtId="0" fontId="20" fillId="0" borderId="0" xfId="98" applyFont="1" applyFill="1" applyProtection="1">
      <protection locked="0"/>
    </xf>
    <xf numFmtId="0" fontId="17" fillId="0" borderId="0" xfId="98" applyFont="1" applyFill="1" applyProtection="1">
      <protection locked="0"/>
    </xf>
    <xf numFmtId="166" fontId="14" fillId="0" borderId="0" xfId="29" applyNumberFormat="1" applyFont="1" applyFill="1" applyAlignment="1" applyProtection="1">
      <alignment horizontal="center"/>
      <protection locked="0"/>
    </xf>
    <xf numFmtId="0" fontId="45" fillId="0" borderId="0" xfId="0" applyFont="1" applyFill="1" applyProtection="1">
      <protection locked="0"/>
    </xf>
    <xf numFmtId="0" fontId="85" fillId="0" borderId="0" xfId="0" applyFont="1" applyFill="1" applyProtection="1">
      <protection locked="0"/>
    </xf>
    <xf numFmtId="9" fontId="14" fillId="64" borderId="0" xfId="42" applyFont="1" applyFill="1" applyBorder="1" applyAlignment="1" applyProtection="1">
      <alignment horizontal="right"/>
      <protection locked="0"/>
    </xf>
    <xf numFmtId="0" fontId="14" fillId="29" borderId="0" xfId="42" applyNumberFormat="1" applyFont="1" applyFill="1" applyAlignment="1" applyProtection="1">
      <alignment horizontal="center"/>
      <protection locked="0"/>
    </xf>
    <xf numFmtId="6" fontId="14" fillId="0" borderId="0" xfId="0" applyNumberFormat="1" applyFont="1" applyFill="1" applyProtection="1">
      <protection locked="0"/>
    </xf>
    <xf numFmtId="166" fontId="14" fillId="0" borderId="103" xfId="29" applyNumberFormat="1" applyFont="1" applyFill="1" applyBorder="1" applyProtection="1">
      <protection locked="0"/>
    </xf>
    <xf numFmtId="0" fontId="14" fillId="29" borderId="0" xfId="29" applyNumberFormat="1" applyFont="1" applyFill="1" applyAlignment="1" applyProtection="1">
      <alignment horizontal="center"/>
      <protection locked="0"/>
    </xf>
    <xf numFmtId="9" fontId="14" fillId="29" borderId="0" xfId="42" applyFont="1" applyFill="1" applyAlignment="1" applyProtection="1">
      <alignment horizontal="center"/>
      <protection locked="0"/>
    </xf>
    <xf numFmtId="9" fontId="14" fillId="0" borderId="0" xfId="28" applyNumberFormat="1" applyFont="1" applyFill="1" applyBorder="1" applyAlignment="1" applyProtection="1">
      <alignment horizontal="left" vertical="center" wrapText="1"/>
      <protection locked="0"/>
    </xf>
    <xf numFmtId="176" fontId="98" fillId="0" borderId="0" xfId="28" applyNumberFormat="1" applyFont="1" applyFill="1" applyBorder="1" applyAlignment="1" applyProtection="1">
      <alignment horizontal="center"/>
      <protection locked="0"/>
    </xf>
    <xf numFmtId="0" fontId="17" fillId="0" borderId="0" xfId="0" applyFont="1" applyFill="1" applyBorder="1" applyAlignment="1" applyProtection="1">
      <protection locked="0"/>
    </xf>
    <xf numFmtId="0" fontId="42" fillId="0" borderId="0" xfId="0" applyFont="1" applyFill="1" applyAlignment="1" applyProtection="1">
      <alignment horizontal="center"/>
      <protection locked="0"/>
    </xf>
    <xf numFmtId="0" fontId="14" fillId="0" borderId="0" xfId="0" applyFont="1" applyFill="1" applyAlignment="1" applyProtection="1">
      <alignment horizontal="right"/>
      <protection locked="0"/>
    </xf>
    <xf numFmtId="44" fontId="14" fillId="0" borderId="0" xfId="29" applyFont="1" applyBorder="1" applyProtection="1">
      <protection locked="0"/>
    </xf>
    <xf numFmtId="10" fontId="14" fillId="29" borderId="0" xfId="28" applyNumberFormat="1" applyFont="1" applyFill="1" applyBorder="1" applyAlignment="1" applyProtection="1">
      <alignment horizontal="center"/>
      <protection locked="0"/>
    </xf>
    <xf numFmtId="166" fontId="17" fillId="64" borderId="0" xfId="0" applyNumberFormat="1" applyFont="1" applyFill="1" applyBorder="1" applyProtection="1">
      <protection locked="0"/>
    </xf>
    <xf numFmtId="166" fontId="14" fillId="0" borderId="0" xfId="29" applyNumberFormat="1" applyFont="1" applyBorder="1" applyProtection="1">
      <protection locked="0"/>
    </xf>
    <xf numFmtId="0" fontId="98" fillId="0" borderId="0" xfId="0" applyFont="1" applyFill="1" applyBorder="1" applyAlignment="1" applyProtection="1">
      <alignment horizontal="right"/>
      <protection locked="0"/>
    </xf>
    <xf numFmtId="10" fontId="14" fillId="0" borderId="0" xfId="42" applyNumberFormat="1" applyFont="1" applyFill="1" applyAlignment="1" applyProtection="1">
      <alignment horizontal="center"/>
      <protection locked="0"/>
    </xf>
    <xf numFmtId="0" fontId="14" fillId="0" borderId="0" xfId="29" applyNumberFormat="1" applyFont="1" applyFill="1" applyAlignment="1" applyProtection="1">
      <alignment horizontal="center"/>
      <protection locked="0"/>
    </xf>
    <xf numFmtId="0" fontId="17" fillId="0" borderId="22" xfId="29" applyNumberFormat="1" applyFont="1" applyFill="1" applyBorder="1" applyAlignment="1" applyProtection="1">
      <alignment horizontal="center"/>
      <protection locked="0"/>
    </xf>
    <xf numFmtId="166" fontId="106" fillId="0" borderId="0" xfId="29" applyNumberFormat="1" applyFont="1" applyFill="1" applyBorder="1" applyProtection="1">
      <protection locked="0"/>
    </xf>
    <xf numFmtId="178" fontId="14" fillId="0" borderId="0" xfId="29" applyNumberFormat="1" applyFont="1" applyFill="1" applyBorder="1" applyAlignment="1" applyProtection="1">
      <alignment horizontal="center"/>
      <protection locked="0"/>
    </xf>
    <xf numFmtId="188" fontId="14" fillId="0" borderId="0" xfId="29" applyNumberFormat="1" applyFont="1" applyFill="1" applyProtection="1">
      <protection locked="0"/>
    </xf>
    <xf numFmtId="0" fontId="48" fillId="0" borderId="53" xfId="93" applyFont="1" applyBorder="1" applyAlignment="1" applyProtection="1">
      <alignment horizontal="center" vertical="center"/>
      <protection locked="0"/>
    </xf>
    <xf numFmtId="0" fontId="48" fillId="0" borderId="42" xfId="96" applyFont="1" applyBorder="1" applyAlignment="1" applyProtection="1">
      <alignment horizontal="center"/>
      <protection locked="0"/>
    </xf>
    <xf numFmtId="0" fontId="48" fillId="0" borderId="134" xfId="96" applyFont="1" applyBorder="1" applyAlignment="1" applyProtection="1">
      <alignment horizontal="center"/>
      <protection locked="0"/>
    </xf>
    <xf numFmtId="0" fontId="48" fillId="0" borderId="128" xfId="93" applyFont="1" applyBorder="1" applyProtection="1">
      <protection locked="0"/>
    </xf>
    <xf numFmtId="175" fontId="14" fillId="29" borderId="54" xfId="93" applyNumberFormat="1" applyFont="1" applyFill="1" applyBorder="1" applyProtection="1">
      <protection locked="0"/>
    </xf>
    <xf numFmtId="175" fontId="14" fillId="29" borderId="128" xfId="93" applyNumberFormat="1" applyFont="1" applyFill="1" applyBorder="1" applyAlignment="1" applyProtection="1">
      <alignment horizontal="center"/>
      <protection locked="0"/>
    </xf>
    <xf numFmtId="175" fontId="14" fillId="29" borderId="135" xfId="93" applyNumberFormat="1" applyFont="1" applyFill="1" applyBorder="1" applyAlignment="1" applyProtection="1">
      <alignment horizontal="center"/>
      <protection locked="0"/>
    </xf>
    <xf numFmtId="175" fontId="14" fillId="29" borderId="13" xfId="93" applyNumberFormat="1" applyFont="1" applyFill="1" applyBorder="1" applyProtection="1">
      <protection locked="0"/>
    </xf>
    <xf numFmtId="0" fontId="48" fillId="0" borderId="102" xfId="93" applyFont="1" applyBorder="1" applyProtection="1">
      <protection locked="0"/>
    </xf>
    <xf numFmtId="175" fontId="14" fillId="29" borderId="91" xfId="93" applyNumberFormat="1" applyFont="1" applyFill="1" applyBorder="1" applyProtection="1">
      <protection locked="0"/>
    </xf>
    <xf numFmtId="175" fontId="14" fillId="29" borderId="102" xfId="93" applyNumberFormat="1" applyFont="1" applyFill="1" applyBorder="1" applyAlignment="1" applyProtection="1">
      <alignment horizontal="center"/>
      <protection locked="0"/>
    </xf>
    <xf numFmtId="175" fontId="14" fillId="29" borderId="136" xfId="93" applyNumberFormat="1" applyFont="1" applyFill="1" applyBorder="1" applyAlignment="1" applyProtection="1">
      <alignment horizontal="center"/>
      <protection locked="0"/>
    </xf>
    <xf numFmtId="175" fontId="14" fillId="29" borderId="103" xfId="93" applyNumberFormat="1" applyFont="1" applyFill="1" applyBorder="1" applyProtection="1">
      <protection locked="0"/>
    </xf>
    <xf numFmtId="0" fontId="48" fillId="0" borderId="31" xfId="93" applyFont="1" applyBorder="1" applyProtection="1">
      <protection locked="0"/>
    </xf>
    <xf numFmtId="175" fontId="11" fillId="0" borderId="137" xfId="93" applyNumberFormat="1" applyBorder="1" applyProtection="1">
      <protection locked="0"/>
    </xf>
    <xf numFmtId="0" fontId="48" fillId="0" borderId="22" xfId="93" applyFont="1" applyBorder="1" applyProtection="1">
      <protection locked="0"/>
    </xf>
    <xf numFmtId="0" fontId="48" fillId="0" borderId="44" xfId="93" applyFont="1" applyBorder="1" applyAlignment="1" applyProtection="1">
      <alignment horizontal="center" vertical="center"/>
      <protection locked="0"/>
    </xf>
    <xf numFmtId="0" fontId="48" fillId="0" borderId="44" xfId="96" applyFont="1" applyBorder="1" applyAlignment="1" applyProtection="1">
      <alignment horizontal="center" vertical="center"/>
      <protection locked="0"/>
    </xf>
    <xf numFmtId="0" fontId="48" fillId="0" borderId="22" xfId="96" applyFont="1" applyBorder="1" applyAlignment="1" applyProtection="1">
      <alignment horizontal="center" vertical="center"/>
      <protection locked="0"/>
    </xf>
    <xf numFmtId="165" fontId="12" fillId="29" borderId="24" xfId="42" applyNumberFormat="1" applyFont="1" applyFill="1" applyBorder="1" applyAlignment="1" applyProtection="1">
      <alignment horizontal="center" vertical="center"/>
      <protection locked="0"/>
    </xf>
    <xf numFmtId="165" fontId="12" fillId="29" borderId="62" xfId="42" applyNumberFormat="1" applyFont="1" applyFill="1" applyBorder="1" applyAlignment="1" applyProtection="1">
      <alignment horizontal="center" vertical="center"/>
      <protection locked="0"/>
    </xf>
    <xf numFmtId="165" fontId="12" fillId="29" borderId="10" xfId="42" applyNumberFormat="1" applyFont="1" applyFill="1" applyBorder="1" applyAlignment="1" applyProtection="1">
      <alignment horizontal="center" vertical="center"/>
      <protection locked="0"/>
    </xf>
    <xf numFmtId="165" fontId="12" fillId="29" borderId="25" xfId="42" applyNumberFormat="1" applyFont="1" applyFill="1" applyBorder="1" applyAlignment="1" applyProtection="1">
      <alignment horizontal="center" vertical="center"/>
      <protection locked="0"/>
    </xf>
    <xf numFmtId="165" fontId="12" fillId="29" borderId="26" xfId="42" applyNumberFormat="1" applyFont="1" applyFill="1" applyBorder="1" applyAlignment="1" applyProtection="1">
      <alignment horizontal="center" vertical="center"/>
      <protection locked="0"/>
    </xf>
    <xf numFmtId="165" fontId="12" fillId="29" borderId="63" xfId="42" applyNumberFormat="1" applyFont="1" applyFill="1" applyBorder="1" applyAlignment="1" applyProtection="1">
      <alignment horizontal="center" vertical="center"/>
      <protection locked="0"/>
    </xf>
    <xf numFmtId="0" fontId="17" fillId="0" borderId="0" xfId="0" applyFont="1" applyAlignment="1" applyProtection="1">
      <alignment horizontal="left"/>
      <protection locked="0"/>
    </xf>
    <xf numFmtId="0" fontId="17" fillId="0" borderId="32" xfId="0" applyFont="1" applyBorder="1" applyProtection="1">
      <protection locked="0"/>
    </xf>
    <xf numFmtId="0" fontId="17" fillId="0" borderId="24" xfId="0" applyFont="1" applyBorder="1" applyProtection="1">
      <protection locked="0"/>
    </xf>
    <xf numFmtId="0" fontId="17" fillId="25" borderId="62" xfId="0" applyFont="1" applyFill="1" applyBorder="1" applyAlignment="1" applyProtection="1">
      <alignment horizontal="center"/>
      <protection locked="0"/>
    </xf>
    <xf numFmtId="0" fontId="17" fillId="0" borderId="76" xfId="0" applyFont="1" applyBorder="1" applyProtection="1">
      <protection locked="0"/>
    </xf>
    <xf numFmtId="0" fontId="17" fillId="0" borderId="19" xfId="0" applyFont="1" applyBorder="1" applyProtection="1">
      <protection locked="0"/>
    </xf>
    <xf numFmtId="0" fontId="17" fillId="25" borderId="19" xfId="0" applyFont="1" applyFill="1" applyBorder="1" applyAlignment="1" applyProtection="1">
      <alignment horizontal="center"/>
      <protection locked="0"/>
    </xf>
    <xf numFmtId="0" fontId="17" fillId="25" borderId="77" xfId="0" applyFont="1" applyFill="1" applyBorder="1" applyAlignment="1" applyProtection="1">
      <alignment horizontal="center"/>
      <protection locked="0"/>
    </xf>
    <xf numFmtId="0" fontId="17" fillId="25" borderId="64" xfId="0" applyFont="1" applyFill="1" applyBorder="1" applyAlignment="1" applyProtection="1">
      <alignment horizontal="center"/>
      <protection locked="0"/>
    </xf>
    <xf numFmtId="0" fontId="43" fillId="0" borderId="19" xfId="0" applyFont="1" applyBorder="1" applyProtection="1">
      <protection locked="0"/>
    </xf>
    <xf numFmtId="0" fontId="17" fillId="28" borderId="77" xfId="0" applyFont="1" applyFill="1" applyBorder="1" applyAlignment="1" applyProtection="1">
      <alignment horizontal="center"/>
      <protection locked="0"/>
    </xf>
    <xf numFmtId="0" fontId="17" fillId="28" borderId="64" xfId="0" applyFont="1" applyFill="1" applyBorder="1" applyAlignment="1" applyProtection="1">
      <alignment horizontal="center"/>
      <protection locked="0"/>
    </xf>
    <xf numFmtId="166" fontId="0" fillId="29" borderId="75" xfId="29" applyNumberFormat="1" applyFont="1" applyFill="1" applyBorder="1" applyProtection="1">
      <protection locked="0"/>
    </xf>
    <xf numFmtId="166" fontId="0" fillId="29" borderId="25" xfId="29" applyNumberFormat="1" applyFont="1" applyFill="1" applyBorder="1" applyProtection="1">
      <protection locked="0"/>
    </xf>
    <xf numFmtId="166" fontId="0" fillId="0" borderId="10" xfId="0" applyNumberFormat="1" applyFill="1" applyBorder="1" applyProtection="1">
      <protection locked="0"/>
    </xf>
    <xf numFmtId="166" fontId="0" fillId="0" borderId="10" xfId="0" applyNumberFormat="1" applyBorder="1" applyProtection="1">
      <protection locked="0"/>
    </xf>
    <xf numFmtId="0" fontId="0" fillId="29" borderId="10" xfId="0" applyFill="1" applyBorder="1" applyProtection="1">
      <protection locked="0"/>
    </xf>
    <xf numFmtId="0" fontId="0" fillId="29" borderId="25" xfId="0" applyFill="1" applyBorder="1" applyProtection="1">
      <protection locked="0"/>
    </xf>
    <xf numFmtId="166" fontId="0" fillId="0" borderId="35" xfId="29" applyNumberFormat="1" applyFont="1" applyBorder="1" applyProtection="1">
      <protection locked="0"/>
    </xf>
    <xf numFmtId="0" fontId="46" fillId="0" borderId="0" xfId="0" applyFont="1" applyProtection="1">
      <protection locked="0"/>
    </xf>
    <xf numFmtId="0" fontId="47" fillId="0" borderId="0" xfId="0" applyFont="1" applyProtection="1">
      <protection locked="0"/>
    </xf>
    <xf numFmtId="0" fontId="0" fillId="0" borderId="49" xfId="0" applyBorder="1" applyProtection="1">
      <protection locked="0"/>
    </xf>
    <xf numFmtId="0" fontId="0" fillId="0" borderId="50" xfId="0" applyBorder="1" applyProtection="1">
      <protection locked="0"/>
    </xf>
    <xf numFmtId="0" fontId="17" fillId="0" borderId="62" xfId="0" applyFont="1" applyFill="1" applyBorder="1" applyAlignment="1" applyProtection="1">
      <alignment horizontal="center"/>
      <protection locked="0"/>
    </xf>
    <xf numFmtId="0" fontId="0" fillId="0" borderId="53" xfId="0" applyBorder="1" applyProtection="1">
      <protection locked="0"/>
    </xf>
    <xf numFmtId="0" fontId="0" fillId="0" borderId="16" xfId="0" applyBorder="1" applyProtection="1">
      <protection locked="0"/>
    </xf>
    <xf numFmtId="0" fontId="17" fillId="0" borderId="10" xfId="0" applyFont="1" applyFill="1" applyBorder="1" applyAlignment="1" applyProtection="1">
      <alignment horizontal="center"/>
      <protection locked="0"/>
    </xf>
    <xf numFmtId="0" fontId="17" fillId="0" borderId="25" xfId="0" applyFont="1" applyFill="1" applyBorder="1" applyAlignment="1" applyProtection="1">
      <alignment horizontal="center"/>
      <protection locked="0"/>
    </xf>
    <xf numFmtId="0" fontId="17" fillId="0" borderId="11" xfId="0" applyFont="1" applyFill="1" applyBorder="1" applyAlignment="1" applyProtection="1">
      <alignment horizontal="center"/>
      <protection locked="0"/>
    </xf>
    <xf numFmtId="166" fontId="0" fillId="29" borderId="13" xfId="29" applyNumberFormat="1" applyFont="1" applyFill="1" applyBorder="1" applyProtection="1">
      <protection locked="0"/>
    </xf>
    <xf numFmtId="166" fontId="0" fillId="29" borderId="11" xfId="29" applyNumberFormat="1" applyFont="1" applyFill="1" applyBorder="1" applyProtection="1">
      <protection locked="0"/>
    </xf>
    <xf numFmtId="166" fontId="0" fillId="29" borderId="0" xfId="29" applyNumberFormat="1" applyFont="1" applyFill="1" applyBorder="1" applyProtection="1">
      <protection locked="0"/>
    </xf>
    <xf numFmtId="166" fontId="0" fillId="29" borderId="67" xfId="29" applyNumberFormat="1" applyFont="1" applyFill="1" applyBorder="1" applyProtection="1">
      <protection locked="0"/>
    </xf>
    <xf numFmtId="166" fontId="0" fillId="29" borderId="14" xfId="29" applyNumberFormat="1" applyFont="1" applyFill="1" applyBorder="1" applyProtection="1">
      <protection locked="0"/>
    </xf>
    <xf numFmtId="166" fontId="0" fillId="29" borderId="37" xfId="29" applyNumberFormat="1" applyFont="1" applyFill="1" applyBorder="1" applyProtection="1">
      <protection locked="0"/>
    </xf>
    <xf numFmtId="166" fontId="0" fillId="0" borderId="31" xfId="29" applyNumberFormat="1" applyFont="1" applyBorder="1" applyProtection="1">
      <protection locked="0"/>
    </xf>
    <xf numFmtId="0" fontId="0" fillId="0" borderId="0" xfId="0" applyAlignment="1" applyProtection="1">
      <alignment horizontal="center" vertical="center"/>
      <protection locked="0"/>
    </xf>
    <xf numFmtId="0" fontId="17" fillId="0" borderId="0" xfId="46" applyFont="1" applyAlignment="1" applyProtection="1">
      <alignment horizontal="left"/>
      <protection locked="0"/>
    </xf>
    <xf numFmtId="0" fontId="9" fillId="0" borderId="0" xfId="126" applyProtection="1">
      <protection locked="0"/>
    </xf>
    <xf numFmtId="0" fontId="16" fillId="0" borderId="100" xfId="46" applyFont="1" applyFill="1" applyBorder="1" applyAlignment="1" applyProtection="1">
      <alignment horizontal="right" vertical="top"/>
      <protection locked="0"/>
    </xf>
    <xf numFmtId="0" fontId="16" fillId="0" borderId="0" xfId="46" applyFont="1" applyFill="1" applyAlignment="1" applyProtection="1">
      <alignment horizontal="right" vertical="top"/>
      <protection locked="0"/>
    </xf>
    <xf numFmtId="0" fontId="8" fillId="0" borderId="0" xfId="126" applyFont="1" applyProtection="1">
      <protection locked="0"/>
    </xf>
    <xf numFmtId="10" fontId="92" fillId="0" borderId="0" xfId="128" applyNumberFormat="1" applyFont="1" applyBorder="1" applyProtection="1">
      <protection locked="0"/>
    </xf>
    <xf numFmtId="10" fontId="92" fillId="0" borderId="123" xfId="128" applyNumberFormat="1" applyFont="1" applyBorder="1" applyProtection="1">
      <protection locked="0"/>
    </xf>
    <xf numFmtId="10" fontId="92" fillId="0" borderId="29" xfId="128" applyNumberFormat="1" applyFont="1" applyBorder="1" applyProtection="1">
      <protection locked="0"/>
    </xf>
    <xf numFmtId="0" fontId="9" fillId="0" borderId="48" xfId="126" applyBorder="1" applyProtection="1">
      <protection locked="0"/>
    </xf>
    <xf numFmtId="9" fontId="0" fillId="65" borderId="0" xfId="128" applyFont="1" applyFill="1" applyProtection="1">
      <protection locked="0"/>
    </xf>
    <xf numFmtId="9" fontId="9" fillId="65" borderId="0" xfId="126" applyNumberFormat="1" applyFill="1" applyProtection="1">
      <protection locked="0"/>
    </xf>
    <xf numFmtId="9" fontId="9" fillId="0" borderId="0" xfId="126" applyNumberFormat="1" applyProtection="1">
      <protection locked="0"/>
    </xf>
    <xf numFmtId="10" fontId="92" fillId="0" borderId="124" xfId="128" applyNumberFormat="1" applyFont="1" applyBorder="1" applyProtection="1">
      <protection locked="0"/>
    </xf>
    <xf numFmtId="10" fontId="92" fillId="0" borderId="56" xfId="128" applyNumberFormat="1" applyFont="1" applyBorder="1" applyProtection="1">
      <protection locked="0"/>
    </xf>
    <xf numFmtId="43" fontId="92" fillId="29" borderId="0" xfId="127" applyNumberFormat="1" applyFont="1" applyFill="1" applyBorder="1" applyProtection="1">
      <protection locked="0"/>
    </xf>
    <xf numFmtId="43" fontId="92" fillId="29" borderId="123" xfId="127" applyNumberFormat="1" applyFont="1" applyFill="1" applyBorder="1" applyProtection="1">
      <protection locked="0"/>
    </xf>
    <xf numFmtId="43" fontId="92" fillId="0" borderId="29" xfId="127" applyNumberFormat="1" applyFont="1" applyBorder="1" applyProtection="1">
      <protection locked="0"/>
    </xf>
    <xf numFmtId="43" fontId="92" fillId="29" borderId="127" xfId="127" applyNumberFormat="1" applyFont="1" applyFill="1" applyBorder="1" applyProtection="1">
      <protection locked="0"/>
    </xf>
    <xf numFmtId="43" fontId="92" fillId="29" borderId="124" xfId="127" applyNumberFormat="1" applyFont="1" applyFill="1" applyBorder="1" applyProtection="1">
      <protection locked="0"/>
    </xf>
    <xf numFmtId="43" fontId="92" fillId="0" borderId="56" xfId="127" applyNumberFormat="1" applyFont="1" applyBorder="1" applyProtection="1">
      <protection locked="0"/>
    </xf>
    <xf numFmtId="0" fontId="77" fillId="0" borderId="46" xfId="126" applyFont="1" applyBorder="1" applyProtection="1">
      <protection locked="0"/>
    </xf>
    <xf numFmtId="43" fontId="77" fillId="0" borderId="30" xfId="127" applyNumberFormat="1" applyFont="1" applyBorder="1" applyProtection="1">
      <protection locked="0"/>
    </xf>
    <xf numFmtId="43" fontId="77" fillId="0" borderId="125" xfId="127" applyNumberFormat="1" applyFont="1" applyBorder="1" applyProtection="1">
      <protection locked="0"/>
    </xf>
    <xf numFmtId="0" fontId="77" fillId="0" borderId="0" xfId="126" applyFont="1" applyBorder="1" applyProtection="1">
      <protection locked="0"/>
    </xf>
    <xf numFmtId="43" fontId="77" fillId="0" borderId="0" xfId="127" applyNumberFormat="1" applyFont="1" applyBorder="1" applyProtection="1">
      <protection locked="0"/>
    </xf>
    <xf numFmtId="0" fontId="77" fillId="67" borderId="48" xfId="126" applyFont="1" applyFill="1" applyBorder="1" applyAlignment="1" applyProtection="1">
      <alignment horizontal="right"/>
      <protection locked="0"/>
    </xf>
    <xf numFmtId="0" fontId="77" fillId="67" borderId="0" xfId="126" applyFont="1" applyFill="1" applyBorder="1" applyAlignment="1" applyProtection="1">
      <alignment horizontal="right"/>
      <protection locked="0"/>
    </xf>
    <xf numFmtId="0" fontId="77" fillId="67" borderId="29" xfId="126" applyFont="1" applyFill="1" applyBorder="1" applyAlignment="1" applyProtection="1">
      <alignment horizontal="right"/>
      <protection locked="0"/>
    </xf>
    <xf numFmtId="0" fontId="77" fillId="0" borderId="162" xfId="126" applyFont="1" applyBorder="1" applyProtection="1">
      <protection locked="0"/>
    </xf>
    <xf numFmtId="10" fontId="77" fillId="0" borderId="163" xfId="126" applyNumberFormat="1" applyFont="1" applyBorder="1" applyProtection="1">
      <protection locked="0"/>
    </xf>
    <xf numFmtId="10" fontId="77" fillId="0" borderId="164" xfId="126" applyNumberFormat="1" applyFont="1" applyBorder="1" applyProtection="1">
      <protection locked="0"/>
    </xf>
    <xf numFmtId="10" fontId="77" fillId="0" borderId="165" xfId="126" applyNumberFormat="1" applyFont="1" applyBorder="1" applyProtection="1">
      <protection locked="0"/>
    </xf>
    <xf numFmtId="0" fontId="77" fillId="63" borderId="48" xfId="126" applyFont="1" applyFill="1" applyBorder="1" applyAlignment="1" applyProtection="1">
      <alignment horizontal="center"/>
      <protection locked="0"/>
    </xf>
    <xf numFmtId="0" fontId="77" fillId="63" borderId="0" xfId="126" applyFont="1" applyFill="1" applyBorder="1" applyAlignment="1" applyProtection="1">
      <alignment horizontal="center"/>
      <protection locked="0"/>
    </xf>
    <xf numFmtId="0" fontId="77" fillId="63" borderId="29" xfId="126" applyFont="1" applyFill="1" applyBorder="1" applyAlignment="1" applyProtection="1">
      <alignment horizontal="center"/>
      <protection locked="0"/>
    </xf>
    <xf numFmtId="0" fontId="77" fillId="28" borderId="29" xfId="126" applyFont="1" applyFill="1" applyBorder="1" applyAlignment="1" applyProtection="1">
      <alignment horizontal="center"/>
      <protection locked="0"/>
    </xf>
    <xf numFmtId="0" fontId="77" fillId="63" borderId="53" xfId="126" applyFont="1" applyFill="1" applyBorder="1" applyAlignment="1" applyProtection="1">
      <alignment horizontal="center"/>
      <protection locked="0"/>
    </xf>
    <xf numFmtId="0" fontId="77" fillId="63" borderId="12" xfId="126" applyFont="1" applyFill="1" applyBorder="1" applyAlignment="1" applyProtection="1">
      <alignment horizontal="center"/>
      <protection locked="0"/>
    </xf>
    <xf numFmtId="0" fontId="77" fillId="63" borderId="55" xfId="126" applyFont="1" applyFill="1" applyBorder="1" applyAlignment="1" applyProtection="1">
      <alignment horizontal="center"/>
      <protection locked="0"/>
    </xf>
    <xf numFmtId="0" fontId="77" fillId="63" borderId="12" xfId="126" applyFont="1" applyFill="1" applyBorder="1" applyAlignment="1" applyProtection="1">
      <alignment horizontal="center" vertical="center"/>
      <protection locked="0"/>
    </xf>
    <xf numFmtId="0" fontId="77" fillId="63" borderId="55" xfId="126" applyFont="1" applyFill="1" applyBorder="1" applyAlignment="1" applyProtection="1">
      <alignment horizontal="center" vertical="center" wrapText="1"/>
      <protection locked="0"/>
    </xf>
    <xf numFmtId="0" fontId="77" fillId="29" borderId="0" xfId="126" applyFont="1" applyFill="1" applyBorder="1" applyAlignment="1" applyProtection="1">
      <alignment vertical="top"/>
      <protection locked="0"/>
    </xf>
    <xf numFmtId="0" fontId="77" fillId="0" borderId="0" xfId="126" applyFont="1" applyFill="1" applyBorder="1" applyAlignment="1" applyProtection="1">
      <alignment vertical="top"/>
      <protection locked="0"/>
    </xf>
    <xf numFmtId="0" fontId="77" fillId="0" borderId="29" xfId="126" applyFont="1" applyFill="1" applyBorder="1" applyAlignment="1" applyProtection="1">
      <alignment horizontal="center" vertical="top" wrapText="1"/>
      <protection locked="0"/>
    </xf>
    <xf numFmtId="0" fontId="77" fillId="29" borderId="126" xfId="126" applyFont="1" applyFill="1" applyBorder="1" applyAlignment="1" applyProtection="1">
      <alignment vertical="top"/>
      <protection locked="0"/>
    </xf>
    <xf numFmtId="0" fontId="77" fillId="29" borderId="120" xfId="126" applyFont="1" applyFill="1" applyBorder="1" applyAlignment="1" applyProtection="1">
      <alignment vertical="top"/>
      <protection locked="0"/>
    </xf>
    <xf numFmtId="10" fontId="91" fillId="0" borderId="31" xfId="128" applyNumberFormat="1" applyFont="1" applyBorder="1" applyProtection="1">
      <protection locked="0"/>
    </xf>
    <xf numFmtId="0" fontId="77" fillId="0" borderId="0" xfId="126" applyFont="1" applyBorder="1" applyAlignment="1" applyProtection="1">
      <alignment vertical="top" wrapText="1"/>
      <protection locked="0"/>
    </xf>
    <xf numFmtId="10" fontId="91" fillId="0" borderId="0" xfId="128" applyNumberFormat="1" applyFont="1" applyBorder="1" applyProtection="1">
      <protection locked="0"/>
    </xf>
    <xf numFmtId="0" fontId="77" fillId="0" borderId="0" xfId="126" applyFont="1" applyFill="1" applyBorder="1" applyAlignment="1" applyProtection="1">
      <alignment vertical="top" wrapText="1"/>
      <protection locked="0"/>
    </xf>
    <xf numFmtId="0" fontId="9" fillId="0" borderId="0" xfId="126" applyBorder="1" applyProtection="1">
      <protection locked="0"/>
    </xf>
    <xf numFmtId="0" fontId="77" fillId="0" borderId="70" xfId="126" applyFont="1" applyBorder="1" applyAlignment="1" applyProtection="1">
      <alignment vertical="top" wrapText="1"/>
      <protection locked="0"/>
    </xf>
    <xf numFmtId="0" fontId="77" fillId="0" borderId="71" xfId="126" applyFont="1" applyFill="1" applyBorder="1" applyAlignment="1" applyProtection="1">
      <alignment horizontal="center" vertical="center" wrapText="1"/>
      <protection locked="0"/>
    </xf>
    <xf numFmtId="0" fontId="112" fillId="0" borderId="71" xfId="28" applyNumberFormat="1" applyFont="1" applyBorder="1" applyAlignment="1" applyProtection="1">
      <alignment horizontal="center" vertical="center"/>
      <protection locked="0"/>
    </xf>
    <xf numFmtId="0" fontId="9" fillId="0" borderId="45" xfId="126" applyBorder="1" applyProtection="1">
      <protection locked="0"/>
    </xf>
    <xf numFmtId="0" fontId="77" fillId="0" borderId="48" xfId="126" applyFont="1" applyBorder="1" applyAlignment="1" applyProtection="1">
      <alignment horizontal="left" vertical="center" wrapText="1"/>
      <protection locked="0"/>
    </xf>
    <xf numFmtId="0" fontId="77" fillId="28" borderId="10" xfId="126" applyFont="1" applyFill="1" applyBorder="1" applyAlignment="1" applyProtection="1">
      <alignment horizontal="center" vertical="center" wrapText="1"/>
      <protection locked="0"/>
    </xf>
    <xf numFmtId="10" fontId="91" fillId="0" borderId="29" xfId="128" applyNumberFormat="1" applyFont="1" applyBorder="1" applyAlignment="1" applyProtection="1">
      <alignment horizontal="center" vertical="center" wrapText="1"/>
      <protection locked="0"/>
    </xf>
    <xf numFmtId="0" fontId="87" fillId="0" borderId="46" xfId="126" applyFont="1" applyBorder="1" applyAlignment="1" applyProtection="1">
      <alignment horizontal="left" vertical="top" wrapText="1"/>
      <protection locked="0"/>
    </xf>
    <xf numFmtId="0" fontId="88" fillId="0" borderId="30" xfId="126" applyFont="1" applyBorder="1" applyAlignment="1" applyProtection="1">
      <alignment vertical="top" wrapText="1"/>
      <protection locked="0"/>
    </xf>
    <xf numFmtId="0" fontId="88" fillId="64" borderId="30" xfId="126" applyFont="1" applyFill="1" applyBorder="1" applyAlignment="1" applyProtection="1">
      <alignment vertical="top" wrapText="1"/>
      <protection locked="0"/>
    </xf>
    <xf numFmtId="0" fontId="87" fillId="0" borderId="0" xfId="126" applyFont="1" applyBorder="1" applyAlignment="1" applyProtection="1">
      <alignment horizontal="left" vertical="top" wrapText="1"/>
      <protection locked="0"/>
    </xf>
    <xf numFmtId="0" fontId="88" fillId="0" borderId="0" xfId="126" applyFont="1" applyBorder="1" applyAlignment="1" applyProtection="1">
      <alignment vertical="top" wrapText="1"/>
      <protection locked="0"/>
    </xf>
    <xf numFmtId="0" fontId="77" fillId="63" borderId="71" xfId="126" applyFont="1" applyFill="1" applyBorder="1" applyAlignment="1" applyProtection="1">
      <alignment horizontal="center" vertical="center"/>
      <protection locked="0"/>
    </xf>
    <xf numFmtId="0" fontId="77" fillId="63" borderId="45" xfId="126" applyFont="1" applyFill="1" applyBorder="1" applyAlignment="1" applyProtection="1">
      <alignment horizontal="center" vertical="center"/>
      <protection locked="0"/>
    </xf>
    <xf numFmtId="43" fontId="91" fillId="0" borderId="168" xfId="127" applyNumberFormat="1" applyFont="1" applyBorder="1" applyAlignment="1" applyProtection="1">
      <alignment horizontal="center" vertical="center"/>
      <protection locked="0"/>
    </xf>
    <xf numFmtId="43" fontId="91" fillId="0" borderId="163" xfId="127" applyNumberFormat="1" applyFont="1" applyBorder="1" applyAlignment="1" applyProtection="1">
      <alignment horizontal="center" vertical="center"/>
      <protection locked="0"/>
    </xf>
    <xf numFmtId="43" fontId="91" fillId="0" borderId="169" xfId="127" applyNumberFormat="1" applyFont="1" applyBorder="1" applyAlignment="1" applyProtection="1">
      <alignment horizontal="center" vertical="center"/>
      <protection locked="0"/>
    </xf>
    <xf numFmtId="43" fontId="91" fillId="64" borderId="84" xfId="127" applyNumberFormat="1" applyFont="1" applyFill="1" applyBorder="1" applyAlignment="1" applyProtection="1">
      <alignment horizontal="center" vertical="center"/>
      <protection locked="0"/>
    </xf>
    <xf numFmtId="43" fontId="91" fillId="67" borderId="13" xfId="127" applyNumberFormat="1" applyFont="1" applyFill="1" applyBorder="1" applyAlignment="1" applyProtection="1">
      <alignment horizontal="center" vertical="center"/>
      <protection locked="0"/>
    </xf>
    <xf numFmtId="43" fontId="91" fillId="67" borderId="12" xfId="127" applyNumberFormat="1" applyFont="1" applyFill="1" applyBorder="1" applyAlignment="1" applyProtection="1">
      <alignment horizontal="center" vertical="center"/>
      <protection locked="0"/>
    </xf>
    <xf numFmtId="43" fontId="91" fillId="67" borderId="51" xfId="127" applyNumberFormat="1" applyFont="1" applyFill="1" applyBorder="1" applyAlignment="1" applyProtection="1">
      <alignment horizontal="center" vertical="center"/>
      <protection locked="0"/>
    </xf>
    <xf numFmtId="10" fontId="91" fillId="29" borderId="0" xfId="128" applyNumberFormat="1" applyFont="1" applyFill="1" applyBorder="1" applyAlignment="1" applyProtection="1">
      <alignment horizontal="center" vertical="center"/>
      <protection locked="0"/>
    </xf>
    <xf numFmtId="43" fontId="91" fillId="0" borderId="0" xfId="127" applyNumberFormat="1" applyFont="1" applyBorder="1" applyAlignment="1" applyProtection="1">
      <alignment horizontal="center" vertical="center"/>
      <protection locked="0"/>
    </xf>
    <xf numFmtId="43" fontId="75" fillId="0" borderId="0" xfId="127" applyNumberFormat="1" applyFont="1" applyBorder="1" applyAlignment="1" applyProtection="1">
      <alignment horizontal="center" vertical="center"/>
      <protection locked="0"/>
    </xf>
    <xf numFmtId="43" fontId="91" fillId="0" borderId="18" xfId="127" applyNumberFormat="1" applyFont="1" applyBorder="1" applyAlignment="1" applyProtection="1">
      <alignment horizontal="center" vertical="center"/>
      <protection locked="0"/>
    </xf>
    <xf numFmtId="43" fontId="91" fillId="0" borderId="29" xfId="127" applyNumberFormat="1" applyFont="1" applyBorder="1" applyAlignment="1" applyProtection="1">
      <alignment horizontal="center" vertical="center"/>
      <protection locked="0"/>
    </xf>
    <xf numFmtId="43" fontId="91" fillId="0" borderId="30" xfId="127" applyNumberFormat="1" applyFont="1" applyBorder="1" applyAlignment="1" applyProtection="1">
      <alignment horizontal="center" vertical="center"/>
      <protection locked="0"/>
    </xf>
    <xf numFmtId="43" fontId="91" fillId="0" borderId="39" xfId="127" applyNumberFormat="1" applyFont="1" applyBorder="1" applyAlignment="1" applyProtection="1">
      <alignment horizontal="center" vertical="center"/>
      <protection locked="0"/>
    </xf>
    <xf numFmtId="43" fontId="91" fillId="64" borderId="35" xfId="127" applyNumberFormat="1" applyFont="1" applyFill="1" applyBorder="1" applyAlignment="1" applyProtection="1">
      <alignment horizontal="center" vertical="center"/>
      <protection locked="0"/>
    </xf>
    <xf numFmtId="0" fontId="77" fillId="0" borderId="0" xfId="126" applyFont="1" applyProtection="1">
      <protection locked="0"/>
    </xf>
    <xf numFmtId="0" fontId="0" fillId="0" borderId="10" xfId="0" applyBorder="1" applyProtection="1">
      <protection locked="0"/>
    </xf>
    <xf numFmtId="0" fontId="0" fillId="0" borderId="0" xfId="0" applyAlignment="1" applyProtection="1">
      <alignment horizontal="center" vertical="center" wrapText="1"/>
      <protection locked="0"/>
    </xf>
    <xf numFmtId="0" fontId="17" fillId="0" borderId="10" xfId="0" applyFont="1" applyFill="1" applyBorder="1" applyProtection="1">
      <protection locked="0"/>
    </xf>
    <xf numFmtId="0" fontId="61" fillId="0" borderId="93" xfId="46" applyFont="1" applyFill="1" applyBorder="1" applyAlignment="1" applyProtection="1">
      <alignment vertical="center" wrapText="1"/>
      <protection locked="0"/>
    </xf>
    <xf numFmtId="0" fontId="17" fillId="0" borderId="21" xfId="0" applyFont="1" applyFill="1" applyBorder="1" applyAlignment="1" applyProtection="1">
      <alignment horizontal="center" vertical="center" wrapText="1"/>
      <protection locked="0"/>
    </xf>
    <xf numFmtId="0" fontId="17" fillId="0" borderId="66" xfId="0" applyFont="1" applyFill="1" applyBorder="1" applyAlignment="1" applyProtection="1">
      <alignment horizontal="center" vertical="center" wrapText="1"/>
      <protection locked="0"/>
    </xf>
    <xf numFmtId="0" fontId="0" fillId="0" borderId="0" xfId="0" applyAlignment="1" applyProtection="1">
      <alignment vertical="center" wrapText="1"/>
      <protection locked="0"/>
    </xf>
    <xf numFmtId="0" fontId="84" fillId="0" borderId="20" xfId="46" applyFont="1" applyFill="1" applyBorder="1" applyAlignment="1" applyProtection="1">
      <alignment vertical="center" wrapText="1"/>
      <protection locked="0"/>
    </xf>
    <xf numFmtId="0" fontId="17" fillId="28" borderId="21" xfId="0" applyFont="1" applyFill="1" applyBorder="1" applyAlignment="1" applyProtection="1">
      <alignment horizontal="center" vertical="top" wrapText="1"/>
      <protection locked="0"/>
    </xf>
    <xf numFmtId="0" fontId="17" fillId="28" borderId="66" xfId="0" applyFont="1" applyFill="1" applyBorder="1" applyAlignment="1" applyProtection="1">
      <alignment horizontal="center" vertical="top" wrapText="1"/>
      <protection locked="0"/>
    </xf>
    <xf numFmtId="0" fontId="61" fillId="0" borderId="32" xfId="46" applyFont="1" applyBorder="1" applyAlignment="1" applyProtection="1">
      <alignment vertical="center" wrapText="1"/>
      <protection locked="0"/>
    </xf>
    <xf numFmtId="166" fontId="61" fillId="29" borderId="24" xfId="29" applyNumberFormat="1" applyFont="1" applyFill="1" applyBorder="1" applyAlignment="1" applyProtection="1">
      <alignment vertical="center" wrapText="1"/>
      <protection locked="0"/>
    </xf>
    <xf numFmtId="166" fontId="61" fillId="29" borderId="62" xfId="29" applyNumberFormat="1" applyFont="1" applyFill="1" applyBorder="1" applyAlignment="1" applyProtection="1">
      <alignment vertical="center" wrapText="1"/>
      <protection locked="0"/>
    </xf>
    <xf numFmtId="3" fontId="61" fillId="0" borderId="0" xfId="46" applyNumberFormat="1" applyFont="1" applyFill="1" applyBorder="1" applyAlignment="1" applyProtection="1">
      <alignment vertical="center" wrapText="1"/>
      <protection locked="0"/>
    </xf>
    <xf numFmtId="0" fontId="61" fillId="0" borderId="27" xfId="46" applyFont="1" applyBorder="1" applyAlignment="1" applyProtection="1">
      <alignment vertical="center" wrapText="1"/>
      <protection locked="0"/>
    </xf>
    <xf numFmtId="166" fontId="61" fillId="29" borderId="10" xfId="29" applyNumberFormat="1" applyFont="1" applyFill="1" applyBorder="1" applyAlignment="1" applyProtection="1">
      <alignment vertical="center" wrapText="1"/>
      <protection locked="0"/>
    </xf>
    <xf numFmtId="166" fontId="61" fillId="29" borderId="25" xfId="29" applyNumberFormat="1" applyFont="1" applyFill="1" applyBorder="1" applyAlignment="1" applyProtection="1">
      <alignment vertical="center" wrapText="1"/>
      <protection locked="0"/>
    </xf>
    <xf numFmtId="0" fontId="62" fillId="0" borderId="27" xfId="46" applyFont="1" applyBorder="1" applyAlignment="1" applyProtection="1">
      <alignment vertical="center" wrapText="1"/>
      <protection locked="0"/>
    </xf>
    <xf numFmtId="166" fontId="62" fillId="0" borderId="10" xfId="29" applyNumberFormat="1" applyFont="1" applyBorder="1" applyAlignment="1" applyProtection="1">
      <alignment vertical="center" wrapText="1"/>
      <protection locked="0"/>
    </xf>
    <xf numFmtId="166" fontId="62" fillId="0" borderId="25" xfId="29" applyNumberFormat="1" applyFont="1" applyBorder="1" applyAlignment="1" applyProtection="1">
      <alignment vertical="center" wrapText="1"/>
      <protection locked="0"/>
    </xf>
    <xf numFmtId="3" fontId="62" fillId="0" borderId="0" xfId="28" applyNumberFormat="1" applyFont="1" applyFill="1" applyBorder="1" applyAlignment="1" applyProtection="1">
      <alignment vertical="center" wrapText="1"/>
      <protection locked="0"/>
    </xf>
    <xf numFmtId="165" fontId="61" fillId="62" borderId="10" xfId="42" applyNumberFormat="1" applyFont="1" applyFill="1" applyBorder="1" applyAlignment="1" applyProtection="1">
      <alignment vertical="center" wrapText="1"/>
      <protection locked="0"/>
    </xf>
    <xf numFmtId="165" fontId="61" fillId="0" borderId="10" xfId="42" applyNumberFormat="1" applyFont="1" applyBorder="1" applyAlignment="1" applyProtection="1">
      <alignment vertical="center" wrapText="1"/>
      <protection locked="0"/>
    </xf>
    <xf numFmtId="165" fontId="61" fillId="0" borderId="25" xfId="42" applyNumberFormat="1" applyFont="1" applyBorder="1" applyAlignment="1" applyProtection="1">
      <alignment vertical="center" wrapText="1"/>
      <protection locked="0"/>
    </xf>
    <xf numFmtId="3" fontId="61" fillId="0" borderId="0" xfId="42" applyNumberFormat="1" applyFont="1" applyFill="1" applyBorder="1" applyAlignment="1" applyProtection="1">
      <alignment vertical="center" wrapText="1"/>
      <protection locked="0"/>
    </xf>
    <xf numFmtId="165" fontId="61" fillId="0" borderId="75" xfId="42" applyNumberFormat="1" applyFont="1" applyBorder="1" applyAlignment="1" applyProtection="1">
      <alignment vertical="center" wrapText="1"/>
      <protection locked="0"/>
    </xf>
    <xf numFmtId="165" fontId="61" fillId="0" borderId="13" xfId="42" applyNumberFormat="1" applyFont="1" applyBorder="1" applyAlignment="1" applyProtection="1">
      <alignment vertical="center" wrapText="1"/>
      <protection locked="0"/>
    </xf>
    <xf numFmtId="165" fontId="61" fillId="0" borderId="33" xfId="42" applyNumberFormat="1" applyFont="1" applyBorder="1" applyAlignment="1" applyProtection="1">
      <alignment vertical="center" wrapText="1"/>
      <protection locked="0"/>
    </xf>
    <xf numFmtId="0" fontId="61" fillId="0" borderId="28" xfId="46" applyFont="1" applyBorder="1" applyAlignment="1" applyProtection="1">
      <alignment vertical="center" wrapText="1"/>
      <protection locked="0"/>
    </xf>
    <xf numFmtId="3" fontId="61" fillId="62" borderId="26" xfId="28" applyNumberFormat="1" applyFont="1" applyFill="1" applyBorder="1" applyAlignment="1" applyProtection="1">
      <alignment vertical="center" wrapText="1"/>
      <protection locked="0"/>
    </xf>
    <xf numFmtId="165" fontId="61" fillId="62" borderId="26" xfId="42" applyNumberFormat="1" applyFont="1" applyFill="1" applyBorder="1" applyAlignment="1" applyProtection="1">
      <alignment vertical="center" wrapText="1"/>
      <protection locked="0"/>
    </xf>
    <xf numFmtId="165" fontId="61" fillId="0" borderId="26" xfId="42" applyNumberFormat="1" applyFont="1" applyBorder="1" applyAlignment="1" applyProtection="1">
      <alignment vertical="center" wrapText="1"/>
      <protection locked="0"/>
    </xf>
    <xf numFmtId="165" fontId="61" fillId="0" borderId="63" xfId="42" applyNumberFormat="1" applyFont="1" applyBorder="1" applyAlignment="1" applyProtection="1">
      <alignment vertical="center" wrapText="1"/>
      <protection locked="0"/>
    </xf>
    <xf numFmtId="167" fontId="14" fillId="0" borderId="0" xfId="28" applyNumberFormat="1" applyFont="1" applyAlignment="1" applyProtection="1">
      <alignment vertical="center" wrapText="1"/>
      <protection locked="0"/>
    </xf>
    <xf numFmtId="167" fontId="16" fillId="0" borderId="0" xfId="28" applyNumberFormat="1" applyFont="1" applyAlignment="1" applyProtection="1">
      <alignment vertical="center" wrapText="1"/>
      <protection locked="0"/>
    </xf>
    <xf numFmtId="0" fontId="0" fillId="0" borderId="0" xfId="0" applyFill="1" applyBorder="1" applyAlignment="1" applyProtection="1">
      <alignment vertical="center" wrapText="1"/>
      <protection locked="0"/>
    </xf>
    <xf numFmtId="0" fontId="61" fillId="0" borderId="32" xfId="46" applyFont="1" applyFill="1" applyBorder="1" applyAlignment="1" applyProtection="1">
      <alignment vertical="center" wrapText="1"/>
      <protection locked="0"/>
    </xf>
    <xf numFmtId="0" fontId="62" fillId="0" borderId="24" xfId="46" applyFont="1" applyFill="1" applyBorder="1" applyAlignment="1" applyProtection="1">
      <alignment horizontal="center" vertical="center" wrapText="1"/>
      <protection locked="0"/>
    </xf>
    <xf numFmtId="0" fontId="62" fillId="0" borderId="62" xfId="46" applyFont="1" applyFill="1" applyBorder="1" applyAlignment="1" applyProtection="1">
      <alignment horizontal="center" vertical="center" wrapText="1"/>
      <protection locked="0"/>
    </xf>
    <xf numFmtId="166" fontId="61" fillId="0" borderId="10" xfId="29" applyNumberFormat="1" applyFont="1" applyBorder="1" applyAlignment="1" applyProtection="1">
      <alignment vertical="center" wrapText="1"/>
      <protection locked="0"/>
    </xf>
    <xf numFmtId="166" fontId="61" fillId="0" borderId="25" xfId="29" applyNumberFormat="1" applyFont="1" applyBorder="1" applyAlignment="1" applyProtection="1">
      <alignment vertical="center" wrapText="1"/>
      <protection locked="0"/>
    </xf>
    <xf numFmtId="0" fontId="80" fillId="0" borderId="20" xfId="51" applyFont="1" applyBorder="1" applyAlignment="1" applyProtection="1">
      <alignment horizontal="center" vertical="center" wrapText="1"/>
      <protection locked="0"/>
    </xf>
    <xf numFmtId="0" fontId="81" fillId="0" borderId="21" xfId="51" applyFont="1" applyBorder="1" applyAlignment="1" applyProtection="1">
      <alignment horizontal="center" vertical="center" wrapText="1"/>
      <protection locked="0"/>
    </xf>
    <xf numFmtId="0" fontId="81" fillId="0" borderId="66" xfId="51" applyFont="1" applyBorder="1" applyAlignment="1" applyProtection="1">
      <alignment horizontal="center" vertical="center" wrapText="1"/>
      <protection locked="0"/>
    </xf>
    <xf numFmtId="0" fontId="81" fillId="0" borderId="76" xfId="51" applyFont="1" applyBorder="1" applyAlignment="1" applyProtection="1">
      <alignment vertical="center" wrapText="1"/>
      <protection locked="0"/>
    </xf>
    <xf numFmtId="166" fontId="61" fillId="0" borderId="19" xfId="29" applyNumberFormat="1" applyFont="1" applyBorder="1" applyAlignment="1" applyProtection="1">
      <alignment vertical="center" wrapText="1"/>
      <protection locked="0"/>
    </xf>
    <xf numFmtId="166" fontId="80" fillId="0" borderId="19" xfId="29" applyNumberFormat="1" applyFont="1" applyBorder="1" applyAlignment="1" applyProtection="1">
      <alignment vertical="center" wrapText="1"/>
      <protection locked="0"/>
    </xf>
    <xf numFmtId="166" fontId="80" fillId="0" borderId="64" xfId="29" applyNumberFormat="1" applyFont="1" applyBorder="1" applyAlignment="1" applyProtection="1">
      <alignment vertical="center" wrapText="1"/>
      <protection locked="0"/>
    </xf>
    <xf numFmtId="0" fontId="81" fillId="0" borderId="27" xfId="51" applyFont="1" applyBorder="1" applyAlignment="1" applyProtection="1">
      <alignment vertical="center" wrapText="1"/>
      <protection locked="0"/>
    </xf>
    <xf numFmtId="166" fontId="80" fillId="0" borderId="10" xfId="29" applyNumberFormat="1" applyFont="1" applyBorder="1" applyAlignment="1" applyProtection="1">
      <alignment vertical="center" wrapText="1"/>
      <protection locked="0"/>
    </xf>
    <xf numFmtId="166" fontId="80" fillId="0" borderId="25" xfId="29" applyNumberFormat="1" applyFont="1" applyBorder="1" applyAlignment="1" applyProtection="1">
      <alignment vertical="center" wrapText="1"/>
      <protection locked="0"/>
    </xf>
    <xf numFmtId="10" fontId="80" fillId="0" borderId="106" xfId="51" applyNumberFormat="1" applyFont="1" applyFill="1" applyBorder="1" applyAlignment="1" applyProtection="1">
      <alignment vertical="center" wrapText="1"/>
      <protection locked="0"/>
    </xf>
    <xf numFmtId="10" fontId="80" fillId="0" borderId="83" xfId="51" applyNumberFormat="1" applyFont="1" applyFill="1" applyBorder="1" applyAlignment="1" applyProtection="1">
      <alignment vertical="center" wrapText="1"/>
      <protection locked="0"/>
    </xf>
    <xf numFmtId="0" fontId="80" fillId="0" borderId="18" xfId="51" applyFont="1" applyFill="1" applyBorder="1" applyAlignment="1" applyProtection="1">
      <alignment vertical="center" wrapText="1"/>
      <protection locked="0"/>
    </xf>
    <xf numFmtId="0" fontId="80" fillId="0" borderId="106" xfId="51" applyFont="1" applyFill="1" applyBorder="1" applyAlignment="1" applyProtection="1">
      <alignment vertical="center" wrapText="1"/>
      <protection locked="0"/>
    </xf>
    <xf numFmtId="0" fontId="80" fillId="0" borderId="83" xfId="51" applyFont="1" applyFill="1" applyBorder="1" applyAlignment="1" applyProtection="1">
      <alignment vertical="center" wrapText="1"/>
      <protection locked="0"/>
    </xf>
    <xf numFmtId="0" fontId="80" fillId="0" borderId="59" xfId="51" applyFont="1" applyFill="1" applyBorder="1" applyAlignment="1" applyProtection="1">
      <alignment vertical="center" wrapText="1"/>
      <protection locked="0"/>
    </xf>
    <xf numFmtId="10" fontId="80" fillId="0" borderId="110" xfId="51" applyNumberFormat="1" applyFont="1" applyFill="1" applyBorder="1" applyAlignment="1" applyProtection="1">
      <alignment vertical="center" wrapText="1"/>
      <protection locked="0"/>
    </xf>
    <xf numFmtId="10" fontId="80" fillId="0" borderId="0" xfId="51" applyNumberFormat="1" applyFont="1" applyFill="1" applyBorder="1" applyAlignment="1" applyProtection="1">
      <alignment vertical="center" wrapText="1"/>
      <protection locked="0"/>
    </xf>
    <xf numFmtId="9" fontId="80" fillId="0" borderId="10" xfId="42" applyFont="1" applyBorder="1" applyAlignment="1" applyProtection="1">
      <alignment vertical="center" wrapText="1"/>
      <protection locked="0"/>
    </xf>
    <xf numFmtId="0" fontId="80" fillId="0" borderId="15" xfId="51" applyFont="1" applyFill="1" applyBorder="1" applyAlignment="1" applyProtection="1">
      <alignment vertical="center" wrapText="1"/>
      <protection locked="0"/>
    </xf>
    <xf numFmtId="0" fontId="80" fillId="0" borderId="110" xfId="51" applyFont="1" applyFill="1" applyBorder="1" applyAlignment="1" applyProtection="1">
      <alignment vertical="center" wrapText="1"/>
      <protection locked="0"/>
    </xf>
    <xf numFmtId="0" fontId="80" fillId="0" borderId="0" xfId="51" applyFont="1" applyFill="1" applyBorder="1" applyAlignment="1" applyProtection="1">
      <alignment vertical="center" wrapText="1"/>
      <protection locked="0"/>
    </xf>
    <xf numFmtId="0" fontId="80" fillId="0" borderId="29" xfId="51" applyFont="1" applyFill="1" applyBorder="1" applyAlignment="1" applyProtection="1">
      <alignment vertical="center" wrapText="1"/>
      <protection locked="0"/>
    </xf>
    <xf numFmtId="10" fontId="80" fillId="0" borderId="77" xfId="51" applyNumberFormat="1" applyFont="1" applyFill="1" applyBorder="1" applyAlignment="1" applyProtection="1">
      <alignment vertical="center" wrapText="1"/>
      <protection locked="0"/>
    </xf>
    <xf numFmtId="10" fontId="80" fillId="0" borderId="12" xfId="51" applyNumberFormat="1" applyFont="1" applyFill="1" applyBorder="1" applyAlignment="1" applyProtection="1">
      <alignment vertical="center" wrapText="1"/>
      <protection locked="0"/>
    </xf>
    <xf numFmtId="0" fontId="80" fillId="0" borderId="13" xfId="51" applyFont="1" applyFill="1" applyBorder="1" applyAlignment="1" applyProtection="1">
      <alignment vertical="center" wrapText="1"/>
      <protection locked="0"/>
    </xf>
    <xf numFmtId="0" fontId="80" fillId="0" borderId="16" xfId="51" applyFont="1" applyFill="1" applyBorder="1" applyAlignment="1" applyProtection="1">
      <alignment vertical="center" wrapText="1"/>
      <protection locked="0"/>
    </xf>
    <xf numFmtId="10" fontId="80" fillId="0" borderId="10" xfId="51" applyNumberFormat="1" applyFont="1" applyBorder="1" applyAlignment="1" applyProtection="1">
      <alignment vertical="center" wrapText="1"/>
      <protection locked="0"/>
    </xf>
    <xf numFmtId="0" fontId="80" fillId="0" borderId="77" xfId="51" applyFont="1" applyFill="1" applyBorder="1" applyAlignment="1" applyProtection="1">
      <alignment vertical="center" wrapText="1"/>
      <protection locked="0"/>
    </xf>
    <xf numFmtId="0" fontId="80" fillId="0" borderId="12" xfId="51" applyFont="1" applyFill="1" applyBorder="1" applyAlignment="1" applyProtection="1">
      <alignment vertical="center" wrapText="1"/>
      <protection locked="0"/>
    </xf>
    <xf numFmtId="0" fontId="80" fillId="0" borderId="55" xfId="51" applyFont="1" applyFill="1" applyBorder="1" applyAlignment="1" applyProtection="1">
      <alignment vertical="center" wrapText="1"/>
      <protection locked="0"/>
    </xf>
    <xf numFmtId="10" fontId="80" fillId="0" borderId="13" xfId="51" applyNumberFormat="1" applyFont="1" applyBorder="1" applyAlignment="1" applyProtection="1">
      <alignment vertical="center" wrapText="1"/>
      <protection locked="0"/>
    </xf>
    <xf numFmtId="9" fontId="80" fillId="0" borderId="25" xfId="42" applyFont="1" applyFill="1" applyBorder="1" applyAlignment="1" applyProtection="1">
      <alignment vertical="center" wrapText="1"/>
      <protection locked="0"/>
    </xf>
    <xf numFmtId="165" fontId="80" fillId="0" borderId="25" xfId="42" applyNumberFormat="1" applyFont="1" applyFill="1" applyBorder="1" applyAlignment="1" applyProtection="1">
      <alignment vertical="center" wrapText="1"/>
      <protection locked="0"/>
    </xf>
    <xf numFmtId="0" fontId="81" fillId="0" borderId="28" xfId="51" applyFont="1" applyBorder="1" applyAlignment="1" applyProtection="1">
      <alignment vertical="center" wrapText="1"/>
      <protection locked="0"/>
    </xf>
    <xf numFmtId="10" fontId="80" fillId="0" borderId="78" xfId="51" applyNumberFormat="1" applyFont="1" applyFill="1" applyBorder="1" applyAlignment="1" applyProtection="1">
      <alignment vertical="center" wrapText="1"/>
      <protection locked="0"/>
    </xf>
    <xf numFmtId="10" fontId="80" fillId="0" borderId="30" xfId="51" applyNumberFormat="1" applyFont="1" applyFill="1" applyBorder="1" applyAlignment="1" applyProtection="1">
      <alignment vertical="center" wrapText="1"/>
      <protection locked="0"/>
    </xf>
    <xf numFmtId="0" fontId="80" fillId="0" borderId="30" xfId="51" applyFont="1" applyFill="1" applyBorder="1" applyAlignment="1" applyProtection="1">
      <alignment vertical="center" wrapText="1"/>
      <protection locked="0"/>
    </xf>
    <xf numFmtId="0" fontId="80" fillId="0" borderId="39" xfId="51" applyFont="1" applyFill="1" applyBorder="1" applyAlignment="1" applyProtection="1">
      <alignment vertical="center" wrapText="1"/>
      <protection locked="0"/>
    </xf>
    <xf numFmtId="10" fontId="80" fillId="0" borderId="26" xfId="51" applyNumberFormat="1" applyFont="1" applyBorder="1" applyAlignment="1" applyProtection="1">
      <alignment vertical="center" wrapText="1"/>
      <protection locked="0"/>
    </xf>
    <xf numFmtId="0" fontId="80" fillId="0" borderId="78" xfId="51" applyFont="1" applyFill="1" applyBorder="1" applyAlignment="1" applyProtection="1">
      <alignment vertical="center" wrapText="1"/>
      <protection locked="0"/>
    </xf>
    <xf numFmtId="0" fontId="80" fillId="0" borderId="31" xfId="51" applyFont="1" applyFill="1" applyBorder="1" applyAlignment="1" applyProtection="1">
      <alignment vertical="center" wrapText="1"/>
      <protection locked="0"/>
    </xf>
    <xf numFmtId="0" fontId="17" fillId="0" borderId="0" xfId="0" applyFont="1" applyAlignment="1" applyProtection="1">
      <alignment vertical="center" wrapText="1"/>
      <protection locked="0"/>
    </xf>
    <xf numFmtId="0" fontId="14" fillId="0" borderId="0" xfId="0" applyFont="1" applyAlignment="1" applyProtection="1">
      <alignment vertical="center" wrapText="1"/>
      <protection locked="0"/>
    </xf>
    <xf numFmtId="0" fontId="17" fillId="0" borderId="32" xfId="0" applyFont="1" applyBorder="1" applyAlignment="1" applyProtection="1">
      <alignment vertical="center"/>
      <protection locked="0"/>
    </xf>
    <xf numFmtId="0" fontId="17" fillId="0" borderId="73" xfId="0" applyFont="1" applyFill="1" applyBorder="1" applyAlignment="1" applyProtection="1">
      <alignment horizontal="center" vertical="center" wrapText="1"/>
      <protection locked="0"/>
    </xf>
    <xf numFmtId="0" fontId="84" fillId="0" borderId="0" xfId="46" applyFont="1" applyFill="1" applyBorder="1" applyAlignment="1" applyProtection="1">
      <alignment vertical="center" wrapText="1"/>
      <protection locked="0"/>
    </xf>
    <xf numFmtId="0" fontId="17" fillId="0" borderId="54" xfId="0" applyFont="1" applyBorder="1" applyProtection="1">
      <protection locked="0"/>
    </xf>
    <xf numFmtId="166" fontId="0" fillId="29" borderId="44" xfId="29" applyNumberFormat="1" applyFont="1" applyFill="1" applyBorder="1" applyProtection="1">
      <protection locked="0"/>
    </xf>
    <xf numFmtId="166" fontId="0" fillId="0" borderId="33" xfId="29" applyNumberFormat="1" applyFont="1" applyBorder="1" applyProtection="1">
      <protection locked="0"/>
    </xf>
    <xf numFmtId="0" fontId="0" fillId="29" borderId="27" xfId="0" applyFill="1" applyBorder="1" applyProtection="1">
      <protection locked="0"/>
    </xf>
    <xf numFmtId="0" fontId="14" fillId="29" borderId="27" xfId="0" applyFont="1" applyFill="1" applyBorder="1" applyProtection="1">
      <protection locked="0"/>
    </xf>
    <xf numFmtId="166" fontId="0" fillId="29" borderId="17" xfId="29" applyNumberFormat="1" applyFont="1" applyFill="1" applyBorder="1" applyProtection="1">
      <protection locked="0"/>
    </xf>
    <xf numFmtId="0" fontId="17" fillId="0" borderId="38" xfId="0" applyFont="1" applyBorder="1" applyProtection="1">
      <protection locked="0"/>
    </xf>
    <xf numFmtId="166" fontId="0" fillId="0" borderId="57" xfId="29" applyNumberFormat="1" applyFont="1" applyBorder="1" applyProtection="1">
      <protection locked="0"/>
    </xf>
    <xf numFmtId="3" fontId="0" fillId="29" borderId="11" xfId="0" applyNumberFormat="1" applyFill="1" applyBorder="1" applyProtection="1">
      <protection locked="0"/>
    </xf>
    <xf numFmtId="3" fontId="0" fillId="64" borderId="10" xfId="29" applyNumberFormat="1" applyFont="1" applyFill="1" applyBorder="1" applyProtection="1">
      <protection locked="0"/>
    </xf>
    <xf numFmtId="3" fontId="0" fillId="29" borderId="10" xfId="0" applyNumberFormat="1" applyFill="1" applyBorder="1" applyProtection="1">
      <protection locked="0"/>
    </xf>
    <xf numFmtId="3" fontId="0" fillId="29" borderId="17" xfId="0" applyNumberFormat="1" applyFill="1" applyBorder="1" applyProtection="1">
      <protection locked="0"/>
    </xf>
    <xf numFmtId="3" fontId="0" fillId="64" borderId="17" xfId="29" applyNumberFormat="1" applyFont="1" applyFill="1" applyBorder="1" applyProtection="1">
      <protection locked="0"/>
    </xf>
    <xf numFmtId="0" fontId="0" fillId="0" borderId="20" xfId="0" applyBorder="1" applyProtection="1">
      <protection locked="0"/>
    </xf>
    <xf numFmtId="0" fontId="17" fillId="64" borderId="21" xfId="0" applyFont="1" applyFill="1" applyBorder="1" applyAlignment="1" applyProtection="1">
      <alignment horizontal="center" vertical="center" wrapText="1"/>
      <protection locked="0"/>
    </xf>
    <xf numFmtId="167" fontId="14" fillId="29" borderId="10" xfId="28" applyNumberFormat="1" applyFill="1" applyBorder="1" applyProtection="1">
      <protection locked="0"/>
    </xf>
    <xf numFmtId="167" fontId="14" fillId="0" borderId="10" xfId="28" applyNumberFormat="1" applyBorder="1" applyProtection="1">
      <protection locked="0"/>
    </xf>
    <xf numFmtId="166" fontId="14" fillId="0" borderId="10" xfId="29" applyNumberFormat="1" applyBorder="1" applyProtection="1">
      <protection locked="0"/>
    </xf>
    <xf numFmtId="0" fontId="17" fillId="0" borderId="0" xfId="0" applyFont="1" applyFill="1" applyBorder="1" applyAlignment="1" applyProtection="1">
      <alignment vertical="top"/>
      <protection locked="0"/>
    </xf>
    <xf numFmtId="0" fontId="22" fillId="0" borderId="0" xfId="0" applyFont="1" applyFill="1" applyBorder="1" applyProtection="1">
      <protection locked="0"/>
    </xf>
    <xf numFmtId="0" fontId="17" fillId="0" borderId="70" xfId="0" applyFont="1" applyBorder="1" applyAlignment="1" applyProtection="1">
      <protection locked="0"/>
    </xf>
    <xf numFmtId="0" fontId="0" fillId="0" borderId="69" xfId="0" applyBorder="1" applyAlignment="1" applyProtection="1">
      <protection locked="0"/>
    </xf>
    <xf numFmtId="0" fontId="17" fillId="64" borderId="10" xfId="0" applyFont="1" applyFill="1" applyBorder="1" applyAlignment="1" applyProtection="1">
      <alignment horizontal="center" vertical="center" wrapText="1"/>
      <protection locked="0"/>
    </xf>
    <xf numFmtId="167" fontId="17" fillId="29" borderId="19" xfId="28" applyNumberFormat="1" applyFont="1" applyFill="1" applyBorder="1" applyProtection="1">
      <protection locked="0"/>
    </xf>
    <xf numFmtId="167" fontId="17" fillId="29" borderId="64" xfId="28" applyNumberFormat="1" applyFont="1" applyFill="1" applyBorder="1" applyProtection="1">
      <protection locked="0"/>
    </xf>
    <xf numFmtId="166" fontId="17" fillId="29" borderId="10" xfId="29" applyNumberFormat="1" applyFont="1" applyFill="1" applyBorder="1" applyProtection="1">
      <protection locked="0"/>
    </xf>
    <xf numFmtId="166" fontId="17" fillId="29" borderId="25" xfId="29" applyNumberFormat="1" applyFont="1" applyFill="1" applyBorder="1" applyProtection="1">
      <protection locked="0"/>
    </xf>
    <xf numFmtId="44" fontId="17" fillId="0" borderId="10" xfId="29" applyFont="1" applyBorder="1" applyProtection="1">
      <protection locked="0"/>
    </xf>
    <xf numFmtId="44" fontId="17" fillId="0" borderId="25" xfId="29" applyFont="1" applyBorder="1" applyProtection="1">
      <protection locked="0"/>
    </xf>
    <xf numFmtId="0" fontId="17" fillId="29" borderId="10" xfId="0" applyFont="1" applyFill="1" applyBorder="1" applyProtection="1">
      <protection locked="0"/>
    </xf>
    <xf numFmtId="0" fontId="17" fillId="29" borderId="25" xfId="0" applyFont="1" applyFill="1" applyBorder="1" applyProtection="1">
      <protection locked="0"/>
    </xf>
    <xf numFmtId="43" fontId="17" fillId="0" borderId="10" xfId="28" applyFont="1" applyBorder="1" applyProtection="1">
      <protection locked="0"/>
    </xf>
    <xf numFmtId="43" fontId="17" fillId="0" borderId="25" xfId="28" applyFont="1" applyBorder="1" applyProtection="1">
      <protection locked="0"/>
    </xf>
    <xf numFmtId="0" fontId="14" fillId="0" borderId="0" xfId="0" quotePrefix="1" applyFont="1" applyAlignment="1" applyProtection="1">
      <alignment horizontal="center"/>
      <protection locked="0"/>
    </xf>
    <xf numFmtId="0" fontId="23" fillId="0" borderId="0" xfId="0" applyFont="1" applyProtection="1">
      <protection locked="0"/>
    </xf>
    <xf numFmtId="0" fontId="17" fillId="0" borderId="24" xfId="0" applyFont="1" applyBorder="1" applyAlignment="1" applyProtection="1">
      <alignment horizontal="center" vertical="center" wrapText="1"/>
      <protection locked="0"/>
    </xf>
    <xf numFmtId="0" fontId="17" fillId="0" borderId="62" xfId="0" applyFont="1" applyBorder="1" applyAlignment="1" applyProtection="1">
      <alignment horizontal="center" vertical="center" wrapText="1"/>
      <protection locked="0"/>
    </xf>
    <xf numFmtId="0" fontId="0" fillId="0" borderId="25" xfId="0" quotePrefix="1" applyBorder="1" applyAlignment="1" applyProtection="1">
      <alignment horizontal="center"/>
      <protection locked="0"/>
    </xf>
    <xf numFmtId="0" fontId="17" fillId="0" borderId="27" xfId="0" applyFont="1" applyBorder="1" applyAlignment="1" applyProtection="1">
      <alignment horizontal="center" vertical="top"/>
      <protection locked="0"/>
    </xf>
    <xf numFmtId="0" fontId="0" fillId="0" borderId="10" xfId="0" applyBorder="1" applyAlignment="1" applyProtection="1">
      <alignment vertical="top" wrapText="1"/>
      <protection locked="0"/>
    </xf>
    <xf numFmtId="0" fontId="0" fillId="29" borderId="10" xfId="0" applyFill="1" applyBorder="1" applyAlignment="1" applyProtection="1">
      <alignment vertical="top"/>
      <protection locked="0"/>
    </xf>
    <xf numFmtId="166" fontId="0" fillId="29" borderId="10" xfId="29" applyNumberFormat="1" applyFont="1" applyFill="1" applyBorder="1" applyAlignment="1" applyProtection="1">
      <alignment vertical="top"/>
      <protection locked="0"/>
    </xf>
    <xf numFmtId="0" fontId="0" fillId="28" borderId="10" xfId="0" applyFill="1" applyBorder="1" applyAlignment="1" applyProtection="1">
      <alignment vertical="top"/>
      <protection locked="0"/>
    </xf>
    <xf numFmtId="10" fontId="0" fillId="0" borderId="10" xfId="42" applyNumberFormat="1" applyFont="1" applyBorder="1" applyAlignment="1" applyProtection="1">
      <alignment vertical="top"/>
      <protection locked="0"/>
    </xf>
    <xf numFmtId="10" fontId="0" fillId="0" borderId="25" xfId="42" applyNumberFormat="1" applyFont="1" applyBorder="1" applyAlignment="1" applyProtection="1">
      <alignment vertical="top"/>
      <protection locked="0"/>
    </xf>
    <xf numFmtId="0" fontId="17" fillId="0" borderId="28" xfId="0" applyFont="1" applyBorder="1" applyAlignment="1" applyProtection="1">
      <alignment horizontal="center" vertical="top"/>
      <protection locked="0"/>
    </xf>
    <xf numFmtId="0" fontId="0" fillId="0" borderId="26" xfId="0" applyBorder="1" applyAlignment="1" applyProtection="1">
      <alignment vertical="top" wrapText="1"/>
      <protection locked="0"/>
    </xf>
    <xf numFmtId="166" fontId="0" fillId="29" borderId="26" xfId="29" applyNumberFormat="1" applyFont="1" applyFill="1" applyBorder="1" applyAlignment="1" applyProtection="1">
      <alignment vertical="top"/>
      <protection locked="0"/>
    </xf>
    <xf numFmtId="10" fontId="0" fillId="0" borderId="26" xfId="42" applyNumberFormat="1" applyFont="1" applyBorder="1" applyAlignment="1" applyProtection="1">
      <alignment vertical="top"/>
      <protection locked="0"/>
    </xf>
    <xf numFmtId="10" fontId="0" fillId="0" borderId="63" xfId="42" applyNumberFormat="1" applyFont="1" applyBorder="1" applyAlignment="1" applyProtection="1">
      <alignment vertical="top"/>
      <protection locked="0"/>
    </xf>
    <xf numFmtId="0" fontId="17" fillId="0" borderId="76" xfId="0" applyFont="1" applyBorder="1" applyAlignment="1" applyProtection="1">
      <alignment horizontal="center" vertical="top"/>
      <protection locked="0"/>
    </xf>
    <xf numFmtId="0" fontId="0" fillId="0" borderId="19" xfId="0" applyBorder="1" applyAlignment="1" applyProtection="1">
      <alignment vertical="top" wrapText="1"/>
      <protection locked="0"/>
    </xf>
    <xf numFmtId="0" fontId="0" fillId="62" borderId="19" xfId="0" applyFill="1" applyBorder="1" applyAlignment="1" applyProtection="1">
      <alignment vertical="top"/>
      <protection locked="0"/>
    </xf>
    <xf numFmtId="166" fontId="0" fillId="0" borderId="19" xfId="29" applyNumberFormat="1" applyFont="1" applyBorder="1" applyAlignment="1" applyProtection="1">
      <alignment vertical="top"/>
      <protection locked="0"/>
    </xf>
    <xf numFmtId="10" fontId="0" fillId="0" borderId="19" xfId="42" applyNumberFormat="1" applyFont="1" applyBorder="1" applyAlignment="1" applyProtection="1">
      <alignment vertical="top"/>
      <protection locked="0"/>
    </xf>
    <xf numFmtId="10" fontId="0" fillId="0" borderId="64" xfId="42" applyNumberFormat="1" applyFont="1" applyBorder="1" applyAlignment="1" applyProtection="1">
      <alignment vertical="top"/>
      <protection locked="0"/>
    </xf>
    <xf numFmtId="0" fontId="17" fillId="0" borderId="72" xfId="0" applyFont="1" applyBorder="1" applyAlignment="1" applyProtection="1">
      <alignment horizontal="center" vertical="top"/>
      <protection locked="0"/>
    </xf>
    <xf numFmtId="0" fontId="0" fillId="0" borderId="36" xfId="0" applyBorder="1" applyAlignment="1" applyProtection="1">
      <alignment vertical="top" wrapText="1"/>
      <protection locked="0"/>
    </xf>
    <xf numFmtId="0" fontId="0" fillId="62" borderId="36" xfId="0" applyFill="1" applyBorder="1" applyAlignment="1" applyProtection="1">
      <alignment vertical="top"/>
      <protection locked="0"/>
    </xf>
    <xf numFmtId="166" fontId="0" fillId="0" borderId="36" xfId="29" applyNumberFormat="1" applyFont="1" applyBorder="1" applyAlignment="1" applyProtection="1">
      <alignment vertical="top"/>
      <protection locked="0"/>
    </xf>
    <xf numFmtId="10" fontId="0" fillId="0" borderId="36" xfId="42" applyNumberFormat="1" applyFont="1" applyBorder="1" applyAlignment="1" applyProtection="1">
      <alignment vertical="top"/>
      <protection locked="0"/>
    </xf>
    <xf numFmtId="10" fontId="0" fillId="0" borderId="37" xfId="42" applyNumberFormat="1" applyFont="1" applyBorder="1" applyAlignment="1" applyProtection="1">
      <alignment vertical="top"/>
      <protection locked="0"/>
    </xf>
    <xf numFmtId="0" fontId="17" fillId="0" borderId="38" xfId="0" applyFont="1" applyBorder="1" applyAlignment="1" applyProtection="1">
      <alignment horizontal="center" vertical="top"/>
      <protection locked="0"/>
    </xf>
    <xf numFmtId="0" fontId="0" fillId="0" borderId="34" xfId="0" applyBorder="1" applyAlignment="1" applyProtection="1">
      <alignment vertical="top" wrapText="1"/>
      <protection locked="0"/>
    </xf>
    <xf numFmtId="0" fontId="0" fillId="62" borderId="34" xfId="0" applyFill="1" applyBorder="1" applyAlignment="1" applyProtection="1">
      <alignment vertical="top"/>
      <protection locked="0"/>
    </xf>
    <xf numFmtId="166" fontId="0" fillId="0" borderId="34" xfId="29" applyNumberFormat="1" applyFont="1" applyBorder="1" applyAlignment="1" applyProtection="1">
      <alignment vertical="top"/>
      <protection locked="0"/>
    </xf>
    <xf numFmtId="10" fontId="0" fillId="0" borderId="34" xfId="42" applyNumberFormat="1" applyFont="1" applyBorder="1" applyAlignment="1" applyProtection="1">
      <alignment vertical="top"/>
      <protection locked="0"/>
    </xf>
    <xf numFmtId="10" fontId="0" fillId="0" borderId="35" xfId="42" applyNumberFormat="1" applyFont="1" applyBorder="1" applyAlignment="1" applyProtection="1">
      <alignment vertical="top"/>
      <protection locked="0"/>
    </xf>
    <xf numFmtId="0" fontId="17" fillId="64" borderId="93" xfId="0" applyFont="1" applyFill="1" applyBorder="1" applyAlignment="1" applyProtection="1">
      <alignment horizontal="center" vertical="center" wrapText="1"/>
      <protection locked="0"/>
    </xf>
    <xf numFmtId="0" fontId="17" fillId="0" borderId="32" xfId="0" applyFont="1" applyBorder="1" applyAlignment="1" applyProtection="1">
      <alignment horizontal="center" vertical="top"/>
      <protection locked="0"/>
    </xf>
    <xf numFmtId="0" fontId="14" fillId="0" borderId="79" xfId="0" applyFont="1" applyBorder="1" applyAlignment="1" applyProtection="1">
      <alignment vertical="top" wrapText="1"/>
      <protection locked="0"/>
    </xf>
    <xf numFmtId="0" fontId="0" fillId="29" borderId="32" xfId="0" applyFill="1" applyBorder="1" applyAlignment="1" applyProtection="1">
      <alignment horizontal="right" vertical="center"/>
      <protection locked="0"/>
    </xf>
    <xf numFmtId="0" fontId="14" fillId="0" borderId="10" xfId="0" applyFont="1" applyBorder="1" applyAlignment="1" applyProtection="1">
      <alignment vertical="top" wrapText="1"/>
      <protection locked="0"/>
    </xf>
    <xf numFmtId="0" fontId="14" fillId="0" borderId="75" xfId="0" applyFont="1" applyBorder="1" applyAlignment="1" applyProtection="1">
      <alignment vertical="top" wrapText="1"/>
      <protection locked="0"/>
    </xf>
    <xf numFmtId="0" fontId="0" fillId="29" borderId="27" xfId="0" applyFill="1" applyBorder="1" applyAlignment="1" applyProtection="1">
      <alignment horizontal="right" vertical="center"/>
      <protection locked="0"/>
    </xf>
    <xf numFmtId="0" fontId="0" fillId="0" borderId="80" xfId="0" applyBorder="1" applyAlignment="1" applyProtection="1">
      <alignment vertical="top" wrapText="1"/>
      <protection locked="0"/>
    </xf>
    <xf numFmtId="0" fontId="45" fillId="29" borderId="0" xfId="0" applyFont="1" applyFill="1" applyProtection="1">
      <protection locked="0"/>
    </xf>
    <xf numFmtId="0" fontId="45" fillId="25" borderId="0" xfId="0" applyFont="1" applyFill="1" applyProtection="1">
      <protection locked="0"/>
    </xf>
    <xf numFmtId="0" fontId="17" fillId="25" borderId="10" xfId="0" applyFont="1" applyFill="1" applyBorder="1" applyAlignment="1" applyProtection="1">
      <alignment horizontal="center"/>
      <protection locked="0"/>
    </xf>
    <xf numFmtId="0" fontId="17" fillId="25" borderId="0" xfId="0" applyFont="1" applyFill="1" applyBorder="1" applyAlignment="1" applyProtection="1">
      <alignment horizontal="center"/>
      <protection locked="0"/>
    </xf>
    <xf numFmtId="0" fontId="0" fillId="25" borderId="0" xfId="0" applyFill="1" applyBorder="1" applyProtection="1">
      <protection locked="0"/>
    </xf>
    <xf numFmtId="0" fontId="0" fillId="29" borderId="28" xfId="0" applyFill="1" applyBorder="1" applyProtection="1">
      <protection locked="0"/>
    </xf>
    <xf numFmtId="0" fontId="0" fillId="29" borderId="26" xfId="0" applyFill="1" applyBorder="1" applyProtection="1">
      <protection locked="0"/>
    </xf>
    <xf numFmtId="0" fontId="17" fillId="25" borderId="25" xfId="0" applyFont="1" applyFill="1" applyBorder="1" applyAlignment="1" applyProtection="1">
      <alignment horizontal="center"/>
      <protection locked="0"/>
    </xf>
    <xf numFmtId="0" fontId="0" fillId="29" borderId="63" xfId="0" applyFill="1" applyBorder="1" applyProtection="1">
      <protection locked="0"/>
    </xf>
    <xf numFmtId="0" fontId="17" fillId="0" borderId="0" xfId="0" applyFont="1" applyAlignment="1" applyProtection="1">
      <alignment horizontal="center" vertical="top" wrapText="1"/>
      <protection locked="0"/>
    </xf>
    <xf numFmtId="0" fontId="17" fillId="0" borderId="0" xfId="0" applyFont="1" applyAlignment="1" applyProtection="1">
      <alignment vertical="top" wrapText="1"/>
      <protection locked="0"/>
    </xf>
    <xf numFmtId="0" fontId="17" fillId="0" borderId="0" xfId="0" applyFont="1" applyAlignment="1" applyProtection="1">
      <alignment horizontal="left" vertical="center" indent="4"/>
      <protection locked="0"/>
    </xf>
    <xf numFmtId="0" fontId="98" fillId="0" borderId="0" xfId="0" applyFont="1" applyAlignment="1" applyProtection="1">
      <alignment horizontal="left" vertical="center" indent="2"/>
      <protection locked="0"/>
    </xf>
    <xf numFmtId="0" fontId="17" fillId="0" borderId="0" xfId="46" applyFont="1" applyBorder="1" applyAlignment="1" applyProtection="1">
      <alignment vertical="center"/>
      <protection locked="0"/>
    </xf>
    <xf numFmtId="0" fontId="17" fillId="0" borderId="0" xfId="46" applyFont="1" applyBorder="1" applyAlignment="1" applyProtection="1">
      <alignment horizontal="center" vertical="center"/>
      <protection locked="0"/>
    </xf>
    <xf numFmtId="0" fontId="14" fillId="0" borderId="0" xfId="46" applyBorder="1" applyAlignment="1" applyProtection="1">
      <alignment horizontal="center"/>
      <protection locked="0"/>
    </xf>
    <xf numFmtId="0" fontId="14" fillId="0" borderId="0" xfId="46" quotePrefix="1" applyBorder="1" applyAlignment="1" applyProtection="1">
      <alignment horizontal="center"/>
      <protection locked="0"/>
    </xf>
    <xf numFmtId="0" fontId="14" fillId="0" borderId="0" xfId="46" quotePrefix="1" applyBorder="1" applyAlignment="1" applyProtection="1">
      <alignment horizontal="right"/>
      <protection locked="0"/>
    </xf>
    <xf numFmtId="0" fontId="17" fillId="0" borderId="12" xfId="46" applyFont="1" applyBorder="1" applyProtection="1">
      <protection locked="0"/>
    </xf>
    <xf numFmtId="0" fontId="14" fillId="0" borderId="0" xfId="46" quotePrefix="1" applyBorder="1" applyProtection="1">
      <protection locked="0"/>
    </xf>
    <xf numFmtId="10" fontId="14" fillId="29" borderId="0" xfId="42" applyNumberFormat="1" applyFont="1" applyFill="1" applyBorder="1" applyProtection="1">
      <protection locked="0"/>
    </xf>
    <xf numFmtId="10" fontId="14" fillId="0" borderId="0" xfId="42" applyNumberFormat="1" applyFont="1" applyFill="1" applyBorder="1" applyProtection="1">
      <protection locked="0"/>
    </xf>
    <xf numFmtId="173" fontId="14" fillId="0" borderId="0" xfId="29" applyNumberFormat="1" applyFont="1" applyBorder="1" applyProtection="1">
      <protection locked="0"/>
    </xf>
    <xf numFmtId="10" fontId="14" fillId="29" borderId="12" xfId="42" applyNumberFormat="1" applyFont="1" applyFill="1" applyBorder="1" applyProtection="1">
      <protection locked="0"/>
    </xf>
    <xf numFmtId="173" fontId="14" fillId="0" borderId="12" xfId="29" applyNumberFormat="1" applyFont="1" applyBorder="1" applyProtection="1">
      <protection locked="0"/>
    </xf>
    <xf numFmtId="165" fontId="14" fillId="0" borderId="14" xfId="42" applyNumberFormat="1" applyFont="1" applyBorder="1" applyProtection="1">
      <protection locked="0"/>
    </xf>
    <xf numFmtId="165" fontId="14" fillId="0" borderId="14" xfId="42" applyNumberFormat="1" applyFont="1" applyFill="1" applyBorder="1" applyProtection="1">
      <protection locked="0"/>
    </xf>
    <xf numFmtId="173" fontId="14" fillId="0" borderId="14" xfId="29" applyNumberFormat="1" applyFont="1" applyBorder="1" applyProtection="1">
      <protection locked="0"/>
    </xf>
    <xf numFmtId="10" fontId="14" fillId="0" borderId="14" xfId="42" applyNumberFormat="1" applyFont="1" applyBorder="1" applyProtection="1">
      <protection locked="0"/>
    </xf>
    <xf numFmtId="0" fontId="14" fillId="64" borderId="0" xfId="46" applyFill="1" applyBorder="1" applyProtection="1">
      <protection locked="0"/>
    </xf>
    <xf numFmtId="165" fontId="14" fillId="0" borderId="0" xfId="42" applyNumberFormat="1" applyFont="1" applyBorder="1" applyProtection="1">
      <protection locked="0"/>
    </xf>
    <xf numFmtId="165" fontId="14" fillId="0" borderId="0" xfId="42" applyNumberFormat="1" applyFont="1" applyFill="1" applyBorder="1" applyProtection="1">
      <protection locked="0"/>
    </xf>
    <xf numFmtId="173" fontId="14" fillId="0" borderId="0" xfId="46" applyNumberFormat="1" applyBorder="1" applyProtection="1">
      <protection locked="0"/>
    </xf>
    <xf numFmtId="10" fontId="14" fillId="0" borderId="0" xfId="42" applyNumberFormat="1" applyFont="1" applyBorder="1" applyProtection="1">
      <protection locked="0"/>
    </xf>
    <xf numFmtId="0" fontId="17" fillId="0" borderId="0" xfId="46" applyFont="1" applyBorder="1" applyAlignment="1" applyProtection="1">
      <protection locked="0"/>
    </xf>
    <xf numFmtId="0" fontId="14" fillId="0" borderId="0" xfId="46" applyBorder="1" applyAlignment="1" applyProtection="1">
      <protection locked="0"/>
    </xf>
    <xf numFmtId="0" fontId="14" fillId="0" borderId="0" xfId="46" quotePrefix="1" applyBorder="1" applyAlignment="1" applyProtection="1">
      <protection locked="0"/>
    </xf>
    <xf numFmtId="10" fontId="14" fillId="29" borderId="0" xfId="42" applyNumberFormat="1" applyFont="1" applyFill="1" applyBorder="1" applyAlignment="1" applyProtection="1">
      <protection locked="0"/>
    </xf>
    <xf numFmtId="10" fontId="14" fillId="0" borderId="0" xfId="42" applyNumberFormat="1" applyFont="1" applyFill="1" applyBorder="1" applyAlignment="1" applyProtection="1">
      <protection locked="0"/>
    </xf>
    <xf numFmtId="173" fontId="14" fillId="0" borderId="0" xfId="29" applyNumberFormat="1" applyFont="1" applyBorder="1" applyAlignment="1" applyProtection="1">
      <protection locked="0"/>
    </xf>
    <xf numFmtId="10" fontId="14" fillId="29" borderId="12" xfId="42" applyNumberFormat="1" applyFont="1" applyFill="1" applyBorder="1" applyAlignment="1" applyProtection="1">
      <protection locked="0"/>
    </xf>
    <xf numFmtId="173" fontId="14" fillId="0" borderId="12" xfId="29" applyNumberFormat="1" applyFont="1" applyBorder="1" applyAlignment="1" applyProtection="1">
      <protection locked="0"/>
    </xf>
    <xf numFmtId="165" fontId="14" fillId="0" borderId="120" xfId="46" applyNumberFormat="1" applyBorder="1" applyProtection="1">
      <protection locked="0"/>
    </xf>
    <xf numFmtId="9" fontId="14" fillId="0" borderId="120" xfId="46" applyNumberFormat="1" applyBorder="1" applyProtection="1">
      <protection locked="0"/>
    </xf>
    <xf numFmtId="173" fontId="14" fillId="29" borderId="120" xfId="29" applyNumberFormat="1" applyFont="1" applyFill="1" applyBorder="1" applyProtection="1">
      <protection locked="0"/>
    </xf>
    <xf numFmtId="10" fontId="14" fillId="0" borderId="120" xfId="42" applyNumberFormat="1" applyFont="1" applyBorder="1" applyProtection="1">
      <protection locked="0"/>
    </xf>
    <xf numFmtId="173" fontId="14" fillId="0" borderId="120" xfId="29" applyNumberFormat="1" applyFont="1" applyBorder="1" applyProtection="1">
      <protection locked="0"/>
    </xf>
    <xf numFmtId="0" fontId="17" fillId="0" borderId="0" xfId="46" quotePrefix="1" applyFont="1" applyAlignment="1" applyProtection="1">
      <alignment horizontal="center" vertical="center"/>
      <protection locked="0"/>
    </xf>
    <xf numFmtId="0" fontId="17" fillId="0" borderId="0" xfId="0" applyFont="1" applyAlignment="1" applyProtection="1">
      <protection locked="0"/>
    </xf>
    <xf numFmtId="0" fontId="17" fillId="0" borderId="0" xfId="0" applyFont="1" applyAlignment="1" applyProtection="1">
      <alignment horizontal="left" indent="4"/>
      <protection locked="0"/>
    </xf>
    <xf numFmtId="0" fontId="19" fillId="0" borderId="0" xfId="0" applyFont="1" applyAlignment="1" applyProtection="1">
      <alignment horizontal="center" vertical="center"/>
      <protection locked="0"/>
    </xf>
    <xf numFmtId="0" fontId="0" fillId="28" borderId="10" xfId="0" applyFill="1" applyBorder="1" applyProtection="1">
      <protection locked="0"/>
    </xf>
    <xf numFmtId="0" fontId="14" fillId="0" borderId="32" xfId="0" applyFont="1" applyBorder="1" applyAlignment="1" applyProtection="1">
      <alignment horizontal="center" vertical="center"/>
      <protection locked="0"/>
    </xf>
    <xf numFmtId="0" fontId="0" fillId="0" borderId="24" xfId="0" applyBorder="1" applyAlignment="1" applyProtection="1">
      <alignment horizontal="center" vertical="center"/>
      <protection locked="0"/>
    </xf>
    <xf numFmtId="0" fontId="0" fillId="0" borderId="24" xfId="0" applyBorder="1" applyAlignment="1" applyProtection="1">
      <alignment horizontal="center" vertical="center" wrapText="1"/>
      <protection locked="0"/>
    </xf>
    <xf numFmtId="0" fontId="14" fillId="0" borderId="24" xfId="0" applyFont="1" applyBorder="1" applyAlignment="1" applyProtection="1">
      <alignment horizontal="center" vertical="center" wrapText="1"/>
      <protection locked="0"/>
    </xf>
    <xf numFmtId="0" fontId="14" fillId="0" borderId="62" xfId="0" applyFont="1" applyBorder="1" applyAlignment="1" applyProtection="1">
      <alignment horizontal="center" vertical="center" wrapText="1"/>
      <protection locked="0"/>
    </xf>
    <xf numFmtId="0" fontId="0" fillId="0" borderId="27" xfId="0" applyBorder="1" applyProtection="1">
      <protection locked="0"/>
    </xf>
    <xf numFmtId="171" fontId="0" fillId="29" borderId="10" xfId="0" applyNumberFormat="1" applyFill="1" applyBorder="1" applyProtection="1">
      <protection locked="0"/>
    </xf>
    <xf numFmtId="44" fontId="0" fillId="0" borderId="10" xfId="29" applyFont="1" applyFill="1" applyBorder="1" applyProtection="1">
      <protection locked="0"/>
    </xf>
    <xf numFmtId="0" fontId="0" fillId="0" borderId="25" xfId="0" applyBorder="1" applyProtection="1">
      <protection locked="0"/>
    </xf>
    <xf numFmtId="0" fontId="0" fillId="0" borderId="72" xfId="0" applyBorder="1" applyProtection="1">
      <protection locked="0"/>
    </xf>
    <xf numFmtId="0" fontId="0" fillId="0" borderId="36" xfId="0" applyBorder="1" applyProtection="1">
      <protection locked="0"/>
    </xf>
    <xf numFmtId="0" fontId="0" fillId="0" borderId="17" xfId="0" applyBorder="1" applyProtection="1">
      <protection locked="0"/>
    </xf>
    <xf numFmtId="0" fontId="0" fillId="0" borderId="38" xfId="0" applyBorder="1" applyProtection="1">
      <protection locked="0"/>
    </xf>
    <xf numFmtId="0" fontId="0" fillId="0" borderId="34" xfId="0" applyBorder="1" applyProtection="1">
      <protection locked="0"/>
    </xf>
    <xf numFmtId="0" fontId="0" fillId="0" borderId="57" xfId="0" applyBorder="1" applyProtection="1">
      <protection locked="0"/>
    </xf>
    <xf numFmtId="44" fontId="0" fillId="0" borderId="34" xfId="0" applyNumberFormat="1" applyBorder="1" applyProtection="1">
      <protection locked="0"/>
    </xf>
    <xf numFmtId="0" fontId="0" fillId="0" borderId="63" xfId="0" applyBorder="1" applyProtection="1">
      <protection locked="0"/>
    </xf>
    <xf numFmtId="0" fontId="0" fillId="0" borderId="0" xfId="0" applyAlignment="1" applyProtection="1">
      <alignment horizontal="center" vertical="top"/>
      <protection locked="0"/>
    </xf>
    <xf numFmtId="166" fontId="0" fillId="0" borderId="26" xfId="29" applyNumberFormat="1" applyFont="1" applyBorder="1" applyProtection="1">
      <protection locked="0"/>
    </xf>
    <xf numFmtId="0" fontId="14" fillId="0" borderId="0" xfId="0" applyFont="1" applyAlignment="1" applyProtection="1">
      <protection locked="0"/>
    </xf>
    <xf numFmtId="0" fontId="17" fillId="0" borderId="0" xfId="0" applyFont="1" applyFill="1" applyAlignment="1" applyProtection="1">
      <alignment horizontal="left" vertical="center"/>
      <protection locked="0"/>
    </xf>
    <xf numFmtId="0" fontId="0" fillId="0" borderId="0" xfId="0" applyFill="1" applyAlignment="1" applyProtection="1">
      <alignment horizontal="left" vertical="center"/>
      <protection locked="0"/>
    </xf>
    <xf numFmtId="169" fontId="0" fillId="0" borderId="0" xfId="0" applyNumberFormat="1" applyFill="1" applyAlignment="1" applyProtection="1">
      <alignment horizontal="left" vertical="center"/>
      <protection locked="0"/>
    </xf>
    <xf numFmtId="0" fontId="21" fillId="0" borderId="0" xfId="0" applyFont="1" applyFill="1" applyAlignment="1" applyProtection="1">
      <alignment horizontal="center" vertical="center"/>
      <protection locked="0"/>
    </xf>
    <xf numFmtId="0" fontId="82" fillId="0" borderId="0" xfId="0" applyFont="1" applyFill="1" applyAlignment="1" applyProtection="1">
      <alignment vertical="center"/>
      <protection locked="0"/>
    </xf>
    <xf numFmtId="0" fontId="19" fillId="0" borderId="0" xfId="0" applyFont="1" applyAlignment="1" applyProtection="1">
      <alignment horizontal="left"/>
      <protection locked="0"/>
    </xf>
    <xf numFmtId="0" fontId="17" fillId="0" borderId="0" xfId="0" applyFont="1" applyFill="1" applyProtection="1">
      <protection locked="0"/>
    </xf>
    <xf numFmtId="0" fontId="17" fillId="0" borderId="10" xfId="0" quotePrefix="1" applyFont="1" applyFill="1" applyBorder="1" applyAlignment="1" applyProtection="1">
      <alignment horizontal="center"/>
      <protection locked="0"/>
    </xf>
    <xf numFmtId="0" fontId="17" fillId="0" borderId="10" xfId="0" quotePrefix="1" applyFont="1" applyBorder="1" applyAlignment="1" applyProtection="1">
      <alignment horizontal="center"/>
      <protection locked="0"/>
    </xf>
    <xf numFmtId="0" fontId="14" fillId="0" borderId="110" xfId="0" applyFont="1" applyBorder="1" applyProtection="1">
      <protection locked="0"/>
    </xf>
    <xf numFmtId="0" fontId="17" fillId="0" borderId="10" xfId="0" applyFont="1" applyFill="1" applyBorder="1" applyAlignment="1" applyProtection="1">
      <alignment vertical="center"/>
      <protection locked="0"/>
    </xf>
    <xf numFmtId="0" fontId="17" fillId="0" borderId="10" xfId="0" applyFont="1" applyFill="1" applyBorder="1" applyAlignment="1" applyProtection="1">
      <alignment horizontal="left" vertical="top" wrapText="1"/>
      <protection locked="0"/>
    </xf>
    <xf numFmtId="0" fontId="14" fillId="0" borderId="10" xfId="0" quotePrefix="1" applyFont="1" applyBorder="1" applyAlignment="1" applyProtection="1">
      <alignment horizontal="center" vertical="center"/>
      <protection locked="0"/>
    </xf>
    <xf numFmtId="0" fontId="14" fillId="0" borderId="10" xfId="0" applyFont="1" applyBorder="1" applyAlignment="1" applyProtection="1">
      <alignment horizontal="left" vertical="top" wrapText="1" indent="1"/>
      <protection locked="0"/>
    </xf>
    <xf numFmtId="44" fontId="14" fillId="29" borderId="10" xfId="29" applyFont="1" applyFill="1" applyBorder="1" applyAlignment="1" applyProtection="1">
      <alignment vertical="center"/>
      <protection locked="0"/>
    </xf>
    <xf numFmtId="44" fontId="14" fillId="0" borderId="10" xfId="29" applyFont="1" applyBorder="1" applyAlignment="1" applyProtection="1">
      <alignment vertical="center"/>
      <protection locked="0"/>
    </xf>
    <xf numFmtId="0" fontId="17" fillId="0" borderId="0" xfId="0" applyFont="1" applyFill="1" applyAlignment="1" applyProtection="1">
      <alignment horizontal="center"/>
      <protection locked="0"/>
    </xf>
    <xf numFmtId="0" fontId="17" fillId="29" borderId="10" xfId="0" applyFont="1" applyFill="1" applyBorder="1" applyAlignment="1" applyProtection="1">
      <alignment horizontal="left" vertical="top" wrapText="1" indent="1"/>
      <protection locked="0"/>
    </xf>
    <xf numFmtId="0" fontId="14" fillId="0" borderId="10" xfId="0" applyFont="1" applyFill="1" applyBorder="1" applyAlignment="1" applyProtection="1">
      <alignment horizontal="left" vertical="top" wrapText="1" indent="1"/>
      <protection locked="0"/>
    </xf>
    <xf numFmtId="0" fontId="14" fillId="0" borderId="0" xfId="0" applyFont="1" applyFill="1" applyAlignment="1" applyProtection="1">
      <protection locked="0"/>
    </xf>
    <xf numFmtId="0" fontId="14" fillId="0" borderId="13" xfId="0" applyFont="1" applyBorder="1" applyAlignment="1" applyProtection="1">
      <alignment horizontal="left" vertical="top" wrapText="1" indent="1"/>
      <protection locked="0"/>
    </xf>
    <xf numFmtId="0" fontId="14" fillId="0" borderId="13" xfId="0" applyFont="1" applyBorder="1" applyAlignment="1" applyProtection="1">
      <alignment vertical="center"/>
      <protection locked="0"/>
    </xf>
    <xf numFmtId="0" fontId="17" fillId="0" borderId="10" xfId="0" applyFont="1" applyBorder="1" applyAlignment="1" applyProtection="1">
      <alignment vertical="center"/>
      <protection locked="0"/>
    </xf>
    <xf numFmtId="0" fontId="17" fillId="0" borderId="110" xfId="0" applyFont="1" applyBorder="1" applyAlignment="1" applyProtection="1">
      <alignment vertical="center"/>
      <protection locked="0"/>
    </xf>
    <xf numFmtId="0" fontId="14" fillId="0" borderId="10" xfId="0" applyFont="1" applyBorder="1" applyAlignment="1" applyProtection="1">
      <alignment vertical="center" wrapText="1"/>
      <protection locked="0"/>
    </xf>
    <xf numFmtId="0" fontId="14" fillId="0" borderId="10" xfId="0" applyFont="1" applyBorder="1" applyAlignment="1" applyProtection="1">
      <alignment horizontal="center" vertical="center"/>
      <protection locked="0"/>
    </xf>
    <xf numFmtId="43" fontId="14" fillId="29" borderId="10" xfId="28" applyFont="1" applyFill="1" applyBorder="1" applyProtection="1">
      <protection locked="0"/>
    </xf>
    <xf numFmtId="167" fontId="14" fillId="29" borderId="10" xfId="28" applyNumberFormat="1" applyFont="1" applyFill="1" applyBorder="1" applyProtection="1">
      <protection locked="0"/>
    </xf>
    <xf numFmtId="10" fontId="14" fillId="0" borderId="10" xfId="42" applyNumberFormat="1" applyFont="1" applyBorder="1" applyProtection="1">
      <protection locked="0"/>
    </xf>
    <xf numFmtId="0" fontId="14" fillId="0" borderId="10" xfId="0" applyFont="1" applyFill="1" applyBorder="1" applyAlignment="1" applyProtection="1">
      <alignment vertical="center" wrapText="1"/>
      <protection locked="0"/>
    </xf>
    <xf numFmtId="0" fontId="17" fillId="0" borderId="10" xfId="0" applyFont="1" applyBorder="1" applyAlignment="1" applyProtection="1">
      <alignment horizontal="left" vertical="center"/>
      <protection locked="0"/>
    </xf>
    <xf numFmtId="0" fontId="14" fillId="0" borderId="10" xfId="0" applyFont="1" applyBorder="1" applyProtection="1">
      <protection locked="0"/>
    </xf>
    <xf numFmtId="0" fontId="14" fillId="0" borderId="10" xfId="0" quotePrefix="1" applyFont="1" applyBorder="1" applyAlignment="1" applyProtection="1">
      <alignment horizontal="center"/>
      <protection locked="0"/>
    </xf>
    <xf numFmtId="0" fontId="14" fillId="0" borderId="10" xfId="0" quotePrefix="1" applyFont="1" applyFill="1" applyBorder="1" applyAlignment="1" applyProtection="1">
      <alignment horizontal="center"/>
      <protection locked="0"/>
    </xf>
    <xf numFmtId="0" fontId="17" fillId="0" borderId="0" xfId="0" applyFont="1" applyBorder="1" applyAlignment="1" applyProtection="1">
      <alignment vertical="center"/>
      <protection locked="0"/>
    </xf>
    <xf numFmtId="168" fontId="14" fillId="0" borderId="10" xfId="29" applyNumberFormat="1" applyFont="1" applyBorder="1" applyProtection="1">
      <protection locked="0"/>
    </xf>
    <xf numFmtId="44" fontId="14" fillId="0" borderId="10" xfId="0" applyNumberFormat="1" applyFont="1" applyBorder="1" applyProtection="1">
      <protection locked="0"/>
    </xf>
    <xf numFmtId="168" fontId="14" fillId="0" borderId="10" xfId="0" applyNumberFormat="1" applyFont="1" applyBorder="1" applyProtection="1">
      <protection locked="0"/>
    </xf>
    <xf numFmtId="4" fontId="14" fillId="0" borderId="10" xfId="42" applyNumberFormat="1" applyFont="1" applyBorder="1" applyProtection="1">
      <protection locked="0"/>
    </xf>
    <xf numFmtId="4" fontId="14" fillId="0" borderId="10" xfId="0" applyNumberFormat="1" applyFont="1" applyBorder="1" applyProtection="1">
      <protection locked="0"/>
    </xf>
    <xf numFmtId="0" fontId="17" fillId="0" borderId="10" xfId="0" applyFont="1" applyBorder="1" applyAlignment="1" applyProtection="1">
      <alignment vertical="center" wrapText="1"/>
      <protection locked="0"/>
    </xf>
    <xf numFmtId="44" fontId="17" fillId="0" borderId="10" xfId="0" applyNumberFormat="1" applyFont="1" applyBorder="1" applyProtection="1">
      <protection locked="0"/>
    </xf>
    <xf numFmtId="168" fontId="17" fillId="0" borderId="10" xfId="29" applyNumberFormat="1" applyFont="1" applyBorder="1" applyProtection="1">
      <protection locked="0"/>
    </xf>
    <xf numFmtId="168" fontId="17" fillId="0" borderId="10" xfId="0" applyNumberFormat="1" applyFont="1" applyBorder="1" applyProtection="1">
      <protection locked="0"/>
    </xf>
    <xf numFmtId="4" fontId="17" fillId="0" borderId="10" xfId="0" applyNumberFormat="1" applyFont="1" applyFill="1" applyBorder="1" applyAlignment="1" applyProtection="1">
      <alignment vertical="center"/>
      <protection locked="0"/>
    </xf>
    <xf numFmtId="0" fontId="14" fillId="0" borderId="30" xfId="0" applyFont="1" applyBorder="1" applyProtection="1">
      <protection locked="0"/>
    </xf>
    <xf numFmtId="0" fontId="17" fillId="0" borderId="43" xfId="0" quotePrefix="1" applyFont="1" applyBorder="1" applyAlignment="1" applyProtection="1">
      <alignment horizontal="center"/>
      <protection locked="0"/>
    </xf>
    <xf numFmtId="0" fontId="17" fillId="0" borderId="45" xfId="0" quotePrefix="1" applyFont="1" applyBorder="1" applyAlignment="1" applyProtection="1">
      <alignment horizontal="center"/>
      <protection locked="0"/>
    </xf>
    <xf numFmtId="0" fontId="14" fillId="0" borderId="40" xfId="0" applyFont="1" applyBorder="1" applyProtection="1">
      <protection locked="0"/>
    </xf>
    <xf numFmtId="0" fontId="17" fillId="0" borderId="40" xfId="0" applyFont="1" applyBorder="1" applyAlignment="1" applyProtection="1">
      <alignment horizontal="center"/>
      <protection locked="0"/>
    </xf>
    <xf numFmtId="0" fontId="17" fillId="0" borderId="29" xfId="0" applyFont="1" applyBorder="1" applyAlignment="1" applyProtection="1">
      <alignment horizontal="center"/>
      <protection locked="0"/>
    </xf>
    <xf numFmtId="0" fontId="14" fillId="0" borderId="29" xfId="0" applyFont="1" applyBorder="1" applyProtection="1">
      <protection locked="0"/>
    </xf>
    <xf numFmtId="0" fontId="14" fillId="0" borderId="41" xfId="0" applyFont="1" applyBorder="1" applyProtection="1">
      <protection locked="0"/>
    </xf>
    <xf numFmtId="0" fontId="14" fillId="0" borderId="41" xfId="0" quotePrefix="1" applyFont="1" applyBorder="1" applyAlignment="1" applyProtection="1">
      <alignment horizontal="center"/>
      <protection locked="0"/>
    </xf>
    <xf numFmtId="0" fontId="14" fillId="0" borderId="29" xfId="0" quotePrefix="1" applyFont="1" applyBorder="1" applyAlignment="1" applyProtection="1">
      <alignment horizontal="center"/>
      <protection locked="0"/>
    </xf>
    <xf numFmtId="0" fontId="14" fillId="0" borderId="41" xfId="0" applyFont="1" applyBorder="1" applyAlignment="1" applyProtection="1">
      <alignment horizontal="center"/>
      <protection locked="0"/>
    </xf>
    <xf numFmtId="0" fontId="14" fillId="0" borderId="43" xfId="0" applyFont="1" applyBorder="1" applyProtection="1">
      <protection locked="0"/>
    </xf>
    <xf numFmtId="10" fontId="14" fillId="29" borderId="42" xfId="42" applyNumberFormat="1" applyFont="1" applyFill="1" applyBorder="1" applyProtection="1">
      <protection locked="0"/>
    </xf>
    <xf numFmtId="10" fontId="14" fillId="29" borderId="41" xfId="42" applyNumberFormat="1" applyFont="1" applyFill="1" applyBorder="1" applyProtection="1">
      <protection locked="0"/>
    </xf>
    <xf numFmtId="10" fontId="14" fillId="29" borderId="31" xfId="42" applyNumberFormat="1" applyFont="1" applyFill="1" applyBorder="1" applyProtection="1">
      <protection locked="0"/>
    </xf>
    <xf numFmtId="0" fontId="14" fillId="0" borderId="44" xfId="0" applyFont="1" applyBorder="1" applyProtection="1">
      <protection locked="0"/>
    </xf>
    <xf numFmtId="10" fontId="14" fillId="0" borderId="44" xfId="42" applyNumberFormat="1" applyFont="1" applyBorder="1" applyProtection="1">
      <protection locked="0"/>
    </xf>
    <xf numFmtId="0" fontId="14" fillId="0" borderId="22" xfId="0" applyFont="1" applyBorder="1" applyProtection="1">
      <protection locked="0"/>
    </xf>
    <xf numFmtId="9" fontId="14" fillId="29" borderId="22" xfId="42" applyFont="1" applyFill="1" applyBorder="1" applyProtection="1">
      <protection locked="0"/>
    </xf>
    <xf numFmtId="0" fontId="17" fillId="0" borderId="41" xfId="0" applyFont="1" applyBorder="1" applyProtection="1">
      <protection locked="0"/>
    </xf>
    <xf numFmtId="10" fontId="14" fillId="0" borderId="41" xfId="42" applyNumberFormat="1" applyFont="1" applyBorder="1" applyProtection="1">
      <protection locked="0"/>
    </xf>
    <xf numFmtId="0" fontId="14" fillId="0" borderId="31" xfId="0" applyFont="1" applyBorder="1" applyProtection="1">
      <protection locked="0"/>
    </xf>
    <xf numFmtId="0" fontId="17" fillId="29" borderId="10" xfId="0" applyFont="1" applyFill="1" applyBorder="1" applyAlignment="1" applyProtection="1">
      <alignment horizontal="center" vertical="center"/>
      <protection locked="0"/>
    </xf>
    <xf numFmtId="0" fontId="0" fillId="0" borderId="27" xfId="0" applyFill="1" applyBorder="1" applyProtection="1">
      <protection locked="0"/>
    </xf>
    <xf numFmtId="0" fontId="17" fillId="0" borderId="27" xfId="0" applyFont="1" applyBorder="1" applyAlignment="1" applyProtection="1">
      <alignment vertical="top"/>
      <protection locked="0"/>
    </xf>
    <xf numFmtId="167" fontId="0" fillId="29" borderId="10" xfId="28" applyNumberFormat="1" applyFont="1" applyFill="1" applyBorder="1" applyAlignment="1" applyProtection="1">
      <alignment horizontal="right" vertical="center"/>
      <protection locked="0"/>
    </xf>
    <xf numFmtId="167" fontId="0" fillId="0" borderId="25" xfId="28" applyNumberFormat="1" applyFont="1" applyBorder="1" applyAlignment="1" applyProtection="1">
      <alignment horizontal="right" vertical="center"/>
      <protection locked="0"/>
    </xf>
    <xf numFmtId="167" fontId="0" fillId="0" borderId="10" xfId="28" applyNumberFormat="1" applyFont="1" applyFill="1" applyBorder="1" applyAlignment="1" applyProtection="1">
      <alignment horizontal="right" vertical="center"/>
      <protection locked="0"/>
    </xf>
    <xf numFmtId="167" fontId="0" fillId="0" borderId="25" xfId="28" applyNumberFormat="1" applyFont="1" applyFill="1" applyBorder="1" applyAlignment="1" applyProtection="1">
      <alignment horizontal="right" vertical="center"/>
      <protection locked="0"/>
    </xf>
    <xf numFmtId="167" fontId="14" fillId="29" borderId="10" xfId="28" applyNumberFormat="1" applyFont="1" applyFill="1" applyBorder="1" applyAlignment="1" applyProtection="1">
      <alignment horizontal="right" vertical="center"/>
      <protection locked="0"/>
    </xf>
    <xf numFmtId="179" fontId="0" fillId="0" borderId="10" xfId="0" applyNumberFormat="1" applyFill="1" applyBorder="1" applyAlignment="1" applyProtection="1">
      <alignment horizontal="right" vertical="center"/>
      <protection locked="0"/>
    </xf>
    <xf numFmtId="0" fontId="0" fillId="0" borderId="27" xfId="0" applyFill="1" applyBorder="1" applyAlignment="1" applyProtection="1">
      <alignment vertical="top"/>
      <protection locked="0"/>
    </xf>
    <xf numFmtId="179" fontId="0" fillId="29" borderId="10" xfId="0" applyNumberFormat="1" applyFill="1" applyBorder="1" applyAlignment="1" applyProtection="1">
      <alignment horizontal="right" vertical="center"/>
      <protection locked="0"/>
    </xf>
    <xf numFmtId="179" fontId="0" fillId="0" borderId="25" xfId="0" applyNumberFormat="1" applyBorder="1" applyAlignment="1" applyProtection="1">
      <alignment horizontal="right" vertical="center"/>
      <protection locked="0"/>
    </xf>
    <xf numFmtId="0" fontId="0" fillId="0" borderId="28" xfId="0" applyBorder="1" applyAlignment="1" applyProtection="1">
      <alignment vertical="top"/>
      <protection locked="0"/>
    </xf>
    <xf numFmtId="179" fontId="0" fillId="0" borderId="26" xfId="0" applyNumberFormat="1" applyBorder="1" applyAlignment="1" applyProtection="1">
      <alignment horizontal="right" vertical="center"/>
      <protection locked="0"/>
    </xf>
    <xf numFmtId="179" fontId="0" fillId="0" borderId="63" xfId="0" applyNumberFormat="1" applyBorder="1" applyAlignment="1" applyProtection="1">
      <alignment horizontal="right" vertical="center"/>
      <protection locked="0"/>
    </xf>
    <xf numFmtId="0" fontId="37" fillId="0" borderId="0" xfId="0" applyFont="1" applyAlignment="1" applyProtection="1">
      <alignment horizontal="center"/>
      <protection locked="0"/>
    </xf>
    <xf numFmtId="0" fontId="37" fillId="0" borderId="0" xfId="0" applyFont="1" applyProtection="1">
      <protection locked="0"/>
    </xf>
    <xf numFmtId="0" fontId="17" fillId="0" borderId="32" xfId="0" applyFont="1" applyFill="1" applyBorder="1" applyAlignment="1" applyProtection="1">
      <alignment horizontal="center" vertical="center"/>
      <protection locked="0"/>
    </xf>
    <xf numFmtId="0" fontId="17" fillId="0" borderId="24" xfId="0" applyFont="1" applyFill="1" applyBorder="1" applyAlignment="1" applyProtection="1">
      <alignment horizontal="center" vertical="center"/>
      <protection locked="0"/>
    </xf>
    <xf numFmtId="0" fontId="17" fillId="0" borderId="62" xfId="0" applyFont="1" applyFill="1" applyBorder="1" applyAlignment="1" applyProtection="1">
      <alignment horizontal="center" vertical="center" wrapText="1"/>
      <protection locked="0"/>
    </xf>
    <xf numFmtId="0" fontId="17" fillId="0" borderId="27" xfId="0" applyFont="1" applyFill="1" applyBorder="1" applyAlignment="1" applyProtection="1">
      <alignment horizontal="center"/>
      <protection locked="0"/>
    </xf>
    <xf numFmtId="0" fontId="17" fillId="0" borderId="25" xfId="0" quotePrefix="1" applyFont="1" applyFill="1" applyBorder="1" applyAlignment="1" applyProtection="1">
      <alignment horizontal="center"/>
      <protection locked="0"/>
    </xf>
    <xf numFmtId="0" fontId="0" fillId="0" borderId="27" xfId="0" applyBorder="1" applyAlignment="1" applyProtection="1">
      <alignment horizontal="center"/>
      <protection locked="0"/>
    </xf>
    <xf numFmtId="0" fontId="0" fillId="0" borderId="10" xfId="0" applyBorder="1" applyAlignment="1" applyProtection="1">
      <alignment horizontal="center"/>
      <protection locked="0"/>
    </xf>
    <xf numFmtId="166" fontId="0" fillId="0" borderId="25" xfId="29" applyNumberFormat="1" applyFont="1" applyBorder="1" applyProtection="1">
      <protection locked="0"/>
    </xf>
    <xf numFmtId="0" fontId="0" fillId="0" borderId="90" xfId="0" applyBorder="1" applyAlignment="1" applyProtection="1">
      <alignment horizontal="center"/>
      <protection locked="0"/>
    </xf>
    <xf numFmtId="0" fontId="0" fillId="0" borderId="17" xfId="0" applyBorder="1" applyAlignment="1" applyProtection="1">
      <alignment horizontal="center"/>
      <protection locked="0"/>
    </xf>
    <xf numFmtId="0" fontId="0" fillId="0" borderId="28" xfId="0" applyBorder="1" applyAlignment="1" applyProtection="1">
      <alignment horizontal="center"/>
      <protection locked="0"/>
    </xf>
    <xf numFmtId="0" fontId="0" fillId="0" borderId="26" xfId="0" quotePrefix="1" applyBorder="1" applyAlignment="1" applyProtection="1">
      <alignment horizontal="center"/>
      <protection locked="0"/>
    </xf>
    <xf numFmtId="166" fontId="0" fillId="29" borderId="26" xfId="29" applyNumberFormat="1" applyFont="1" applyFill="1" applyBorder="1" applyProtection="1">
      <protection locked="0"/>
    </xf>
    <xf numFmtId="166" fontId="0" fillId="0" borderId="63" xfId="29" applyNumberFormat="1" applyFont="1" applyBorder="1" applyProtection="1">
      <protection locked="0"/>
    </xf>
    <xf numFmtId="0" fontId="0" fillId="0" borderId="0" xfId="0" quotePrefix="1" applyProtection="1">
      <protection locked="0"/>
    </xf>
    <xf numFmtId="0" fontId="42" fillId="0" borderId="0" xfId="0" applyFont="1" applyProtection="1">
      <protection locked="0"/>
    </xf>
    <xf numFmtId="0" fontId="14" fillId="0" borderId="69" xfId="46" applyBorder="1" applyProtection="1">
      <protection locked="0"/>
    </xf>
    <xf numFmtId="0" fontId="17" fillId="0" borderId="74" xfId="46" applyFont="1" applyFill="1" applyBorder="1" applyAlignment="1" applyProtection="1">
      <alignment horizontal="center"/>
      <protection locked="0"/>
    </xf>
    <xf numFmtId="0" fontId="14" fillId="0" borderId="15" xfId="46" applyBorder="1" applyProtection="1">
      <protection locked="0"/>
    </xf>
    <xf numFmtId="0" fontId="17" fillId="0" borderId="67" xfId="46" applyFont="1" applyFill="1" applyBorder="1" applyAlignment="1" applyProtection="1">
      <alignment horizontal="center"/>
      <protection locked="0"/>
    </xf>
    <xf numFmtId="0" fontId="14" fillId="0" borderId="34" xfId="46" applyBorder="1" applyProtection="1">
      <protection locked="0"/>
    </xf>
    <xf numFmtId="0" fontId="17" fillId="64" borderId="67" xfId="46" applyFont="1" applyFill="1" applyBorder="1" applyAlignment="1" applyProtection="1">
      <alignment horizontal="center"/>
      <protection locked="0"/>
    </xf>
    <xf numFmtId="0" fontId="17" fillId="64" borderId="64" xfId="46" applyFont="1" applyFill="1" applyBorder="1" applyAlignment="1" applyProtection="1">
      <alignment horizontal="center"/>
      <protection locked="0"/>
    </xf>
    <xf numFmtId="166" fontId="14" fillId="0" borderId="25" xfId="29" applyNumberFormat="1" applyFill="1" applyBorder="1" applyProtection="1">
      <protection locked="0"/>
    </xf>
    <xf numFmtId="166" fontId="14" fillId="29" borderId="160" xfId="29" applyNumberFormat="1" applyFill="1" applyBorder="1" applyProtection="1">
      <protection locked="0"/>
    </xf>
    <xf numFmtId="166" fontId="14" fillId="0" borderId="35" xfId="29" applyNumberFormat="1" applyBorder="1" applyProtection="1">
      <protection locked="0"/>
    </xf>
    <xf numFmtId="0" fontId="17" fillId="0" borderId="41" xfId="46" applyFont="1" applyFill="1" applyBorder="1" applyAlignment="1" applyProtection="1">
      <alignment horizontal="center"/>
      <protection locked="0"/>
    </xf>
    <xf numFmtId="0" fontId="17" fillId="0" borderId="35" xfId="46" applyFont="1" applyFill="1" applyBorder="1" applyAlignment="1" applyProtection="1">
      <alignment horizontal="center"/>
      <protection locked="0"/>
    </xf>
    <xf numFmtId="0" fontId="17" fillId="0" borderId="46" xfId="46" applyFont="1" applyFill="1" applyBorder="1" applyAlignment="1" applyProtection="1">
      <alignment horizontal="center"/>
      <protection locked="0"/>
    </xf>
    <xf numFmtId="0" fontId="14" fillId="0" borderId="30" xfId="46" applyFill="1" applyBorder="1" applyAlignment="1" applyProtection="1">
      <protection locked="0"/>
    </xf>
    <xf numFmtId="0" fontId="14" fillId="0" borderId="31" xfId="46" applyFill="1" applyBorder="1" applyAlignment="1" applyProtection="1">
      <protection locked="0"/>
    </xf>
    <xf numFmtId="166" fontId="14" fillId="29" borderId="64" xfId="29" applyNumberFormat="1" applyFill="1" applyBorder="1" applyProtection="1">
      <protection locked="0"/>
    </xf>
    <xf numFmtId="166" fontId="14" fillId="0" borderId="64" xfId="29" applyNumberFormat="1" applyFill="1" applyBorder="1" applyProtection="1">
      <protection locked="0"/>
    </xf>
    <xf numFmtId="166" fontId="14" fillId="0" borderId="128" xfId="29" applyNumberFormat="1" applyFill="1" applyBorder="1" applyProtection="1">
      <protection locked="0"/>
    </xf>
    <xf numFmtId="166" fontId="14" fillId="0" borderId="37" xfId="29" applyNumberFormat="1" applyFill="1" applyBorder="1" applyProtection="1">
      <protection locked="0"/>
    </xf>
    <xf numFmtId="0" fontId="17" fillId="0" borderId="0" xfId="0" applyFont="1" applyAlignment="1" applyProtection="1">
      <alignment horizontal="center" vertical="center"/>
      <protection locked="0"/>
    </xf>
    <xf numFmtId="0" fontId="14" fillId="0" borderId="0" xfId="46" applyFont="1" applyAlignment="1" applyProtection="1">
      <alignment vertical="center" wrapText="1"/>
      <protection locked="0"/>
    </xf>
    <xf numFmtId="0" fontId="0" fillId="0" borderId="10" xfId="0" applyBorder="1" applyAlignment="1" applyProtection="1">
      <alignment horizontal="center" vertical="center"/>
      <protection locked="0"/>
    </xf>
    <xf numFmtId="42" fontId="14" fillId="29" borderId="151" xfId="0" applyNumberFormat="1" applyFont="1" applyFill="1" applyBorder="1" applyAlignment="1" applyProtection="1">
      <alignment horizontal="center" vertical="center" wrapText="1"/>
      <protection locked="0"/>
    </xf>
    <xf numFmtId="42" fontId="14" fillId="29" borderId="152" xfId="0" applyNumberFormat="1" applyFont="1" applyFill="1" applyBorder="1" applyAlignment="1" applyProtection="1">
      <alignment horizontal="center" vertical="center" wrapText="1"/>
      <protection locked="0"/>
    </xf>
    <xf numFmtId="42" fontId="14" fillId="29" borderId="153" xfId="0" applyNumberFormat="1" applyFont="1" applyFill="1" applyBorder="1" applyAlignment="1" applyProtection="1">
      <alignment horizontal="center" vertical="center" wrapText="1"/>
      <protection locked="0"/>
    </xf>
    <xf numFmtId="0" fontId="17" fillId="64" borderId="0" xfId="46" applyFont="1" applyFill="1" applyAlignment="1" applyProtection="1">
      <alignment horizontal="left"/>
      <protection locked="0"/>
    </xf>
    <xf numFmtId="0" fontId="21" fillId="0" borderId="0" xfId="0" applyFont="1" applyAlignment="1" applyProtection="1">
      <alignment horizontal="center"/>
      <protection locked="0"/>
    </xf>
    <xf numFmtId="0" fontId="14" fillId="0" borderId="0" xfId="0" applyFont="1" applyAlignment="1" applyProtection="1">
      <alignment horizontal="left" vertical="top" wrapText="1"/>
      <protection locked="0"/>
    </xf>
    <xf numFmtId="0" fontId="14" fillId="0" borderId="44" xfId="0" applyFont="1" applyFill="1" applyBorder="1" applyAlignment="1" applyProtection="1">
      <alignment horizontal="center" vertical="center" wrapText="1"/>
      <protection locked="0"/>
    </xf>
    <xf numFmtId="0" fontId="14" fillId="0" borderId="0" xfId="46" applyFont="1" applyAlignment="1" applyProtection="1">
      <alignment horizontal="left" vertical="center" wrapText="1"/>
      <protection locked="0"/>
    </xf>
    <xf numFmtId="0" fontId="21" fillId="0" borderId="0" xfId="46" applyFont="1" applyAlignment="1" applyProtection="1">
      <alignment horizontal="center"/>
      <protection locked="0"/>
    </xf>
    <xf numFmtId="0" fontId="14" fillId="0" borderId="0" xfId="46" applyAlignment="1" applyProtection="1">
      <alignment horizontal="left" wrapText="1"/>
      <protection locked="0"/>
    </xf>
    <xf numFmtId="0" fontId="20" fillId="0" borderId="0" xfId="46" applyFont="1" applyAlignment="1" applyProtection="1">
      <alignment horizontal="left"/>
      <protection locked="0"/>
    </xf>
    <xf numFmtId="0" fontId="14" fillId="0" borderId="0" xfId="46" applyFont="1" applyAlignment="1" applyProtection="1">
      <alignment horizontal="left" wrapText="1"/>
      <protection locked="0"/>
    </xf>
    <xf numFmtId="0" fontId="20" fillId="0" borderId="0" xfId="46" applyFont="1" applyFill="1" applyAlignment="1" applyProtection="1">
      <alignment horizontal="left"/>
      <protection locked="0"/>
    </xf>
    <xf numFmtId="0" fontId="14" fillId="0" borderId="0" xfId="46" applyFont="1" applyAlignment="1" applyProtection="1">
      <alignment horizontal="left" vertical="top" wrapText="1"/>
      <protection locked="0"/>
    </xf>
    <xf numFmtId="0" fontId="21" fillId="0" borderId="0" xfId="46" applyFont="1" applyAlignment="1" applyProtection="1">
      <alignment horizontal="center" vertical="top"/>
      <protection locked="0"/>
    </xf>
    <xf numFmtId="0" fontId="90" fillId="63" borderId="10" xfId="46" applyFont="1" applyFill="1" applyBorder="1" applyAlignment="1" applyProtection="1">
      <alignment horizontal="center" vertical="center" wrapText="1"/>
      <protection locked="0"/>
    </xf>
    <xf numFmtId="0" fontId="17" fillId="63" borderId="10" xfId="46" applyFont="1" applyFill="1" applyBorder="1" applyAlignment="1" applyProtection="1">
      <alignment horizontal="center" vertical="center"/>
      <protection locked="0"/>
    </xf>
    <xf numFmtId="0" fontId="21" fillId="0" borderId="0" xfId="46" applyFont="1" applyBorder="1" applyAlignment="1" applyProtection="1">
      <alignment horizontal="center" vertical="center" wrapText="1"/>
      <protection locked="0"/>
    </xf>
    <xf numFmtId="0" fontId="17" fillId="63" borderId="17" xfId="46" applyFont="1" applyFill="1" applyBorder="1" applyAlignment="1" applyProtection="1">
      <alignment horizontal="center" vertical="center"/>
      <protection locked="0"/>
    </xf>
    <xf numFmtId="0" fontId="14" fillId="0" borderId="24" xfId="46" applyBorder="1" applyAlignment="1" applyProtection="1">
      <alignment horizontal="center" vertical="center"/>
      <protection locked="0"/>
    </xf>
    <xf numFmtId="0" fontId="14" fillId="0" borderId="10" xfId="46" applyBorder="1" applyAlignment="1" applyProtection="1">
      <alignment horizontal="center" vertical="center"/>
      <protection locked="0"/>
    </xf>
    <xf numFmtId="0" fontId="14" fillId="0" borderId="10" xfId="46" applyFont="1" applyBorder="1" applyAlignment="1" applyProtection="1">
      <alignment horizontal="left" vertical="center"/>
      <protection locked="0"/>
    </xf>
    <xf numFmtId="0" fontId="14" fillId="0" borderId="10" xfId="46" applyFont="1" applyBorder="1" applyAlignment="1" applyProtection="1">
      <alignment horizontal="left"/>
      <protection locked="0"/>
    </xf>
    <xf numFmtId="0" fontId="14" fillId="0" borderId="10" xfId="46" applyBorder="1" applyAlignment="1" applyProtection="1">
      <alignment horizontal="left" vertical="center"/>
      <protection locked="0"/>
    </xf>
    <xf numFmtId="0" fontId="14" fillId="0" borderId="17" xfId="46" applyBorder="1" applyAlignment="1" applyProtection="1">
      <alignment horizontal="center" vertical="center"/>
      <protection locked="0"/>
    </xf>
    <xf numFmtId="0" fontId="14" fillId="0" borderId="19" xfId="46" applyBorder="1" applyAlignment="1" applyProtection="1">
      <alignment horizontal="center" vertical="center"/>
      <protection locked="0"/>
    </xf>
    <xf numFmtId="0" fontId="14" fillId="0" borderId="27" xfId="46" applyBorder="1" applyAlignment="1" applyProtection="1">
      <alignment horizontal="center" vertical="center"/>
      <protection locked="0"/>
    </xf>
    <xf numFmtId="0" fontId="83" fillId="0" borderId="0" xfId="46" applyFont="1" applyBorder="1" applyAlignment="1" applyProtection="1">
      <alignment horizontal="center" vertical="center"/>
      <protection locked="0"/>
    </xf>
    <xf numFmtId="0" fontId="14" fillId="0" borderId="0" xfId="46" applyFont="1" applyAlignment="1" applyProtection="1">
      <alignment vertical="top" wrapText="1"/>
      <protection locked="0"/>
    </xf>
    <xf numFmtId="0" fontId="17" fillId="0" borderId="0" xfId="46" applyFont="1" applyAlignment="1" applyProtection="1">
      <alignment horizontal="center" vertical="center" wrapText="1"/>
      <protection locked="0"/>
    </xf>
    <xf numFmtId="0" fontId="14" fillId="0" borderId="0" xfId="46" applyFont="1" applyAlignment="1" applyProtection="1">
      <alignment wrapText="1"/>
      <protection locked="0"/>
    </xf>
    <xf numFmtId="0" fontId="54" fillId="0" borderId="0" xfId="47" applyFont="1" applyAlignment="1" applyProtection="1">
      <alignment horizontal="left" vertical="center" wrapText="1"/>
      <protection locked="0"/>
    </xf>
    <xf numFmtId="0" fontId="14" fillId="0" borderId="0" xfId="46" applyAlignment="1" applyProtection="1">
      <alignment horizontal="center"/>
      <protection locked="0"/>
    </xf>
    <xf numFmtId="0" fontId="14" fillId="0" borderId="0" xfId="46" applyAlignment="1" applyProtection="1">
      <protection locked="0"/>
    </xf>
    <xf numFmtId="0" fontId="17" fillId="0" borderId="0" xfId="46" applyFont="1" applyAlignment="1" applyProtection="1">
      <alignment horizontal="center" vertical="center"/>
      <protection locked="0"/>
    </xf>
    <xf numFmtId="0" fontId="14" fillId="0" borderId="0" xfId="0" applyFont="1" applyAlignment="1" applyProtection="1">
      <alignment horizontal="left" vertical="top"/>
      <protection locked="0"/>
    </xf>
    <xf numFmtId="0" fontId="54" fillId="0" borderId="0" xfId="0" applyFont="1" applyBorder="1" applyAlignment="1" applyProtection="1">
      <alignment horizontal="left"/>
      <protection locked="0"/>
    </xf>
    <xf numFmtId="0" fontId="14" fillId="0" borderId="0" xfId="0" applyFont="1" applyFill="1" applyBorder="1" applyAlignment="1" applyProtection="1">
      <protection locked="0"/>
    </xf>
    <xf numFmtId="0" fontId="0" fillId="0" borderId="0" xfId="0" applyFill="1" applyBorder="1" applyAlignment="1" applyProtection="1">
      <protection locked="0"/>
    </xf>
    <xf numFmtId="0" fontId="48" fillId="0" borderId="42" xfId="93" applyFont="1" applyBorder="1" applyAlignment="1" applyProtection="1">
      <alignment horizontal="center" vertical="center"/>
      <protection locked="0"/>
    </xf>
    <xf numFmtId="0" fontId="0" fillId="0" borderId="0" xfId="0" applyAlignment="1" applyProtection="1">
      <alignment horizontal="left"/>
      <protection locked="0"/>
    </xf>
    <xf numFmtId="0" fontId="62" fillId="0" borderId="0" xfId="46" applyFont="1" applyFill="1" applyBorder="1" applyAlignment="1" applyProtection="1">
      <alignment horizontal="center" vertical="center" wrapText="1"/>
      <protection locked="0"/>
    </xf>
    <xf numFmtId="0" fontId="14" fillId="0" borderId="0" xfId="0" applyFont="1" applyAlignment="1" applyProtection="1">
      <alignment wrapText="1"/>
      <protection locked="0"/>
    </xf>
    <xf numFmtId="0" fontId="0" fillId="0" borderId="10" xfId="0" quotePrefix="1" applyBorder="1" applyAlignment="1" applyProtection="1">
      <alignment horizontal="center"/>
      <protection locked="0"/>
    </xf>
    <xf numFmtId="0" fontId="17" fillId="25" borderId="24" xfId="0" applyFont="1" applyFill="1" applyBorder="1" applyAlignment="1" applyProtection="1">
      <alignment horizontal="center"/>
      <protection locked="0"/>
    </xf>
    <xf numFmtId="0" fontId="17" fillId="0" borderId="0" xfId="0" applyFont="1" applyAlignment="1" applyProtection="1">
      <alignment horizontal="left" vertical="top" wrapText="1"/>
      <protection locked="0"/>
    </xf>
    <xf numFmtId="0" fontId="83" fillId="0" borderId="0" xfId="46" applyFont="1" applyAlignment="1" applyProtection="1">
      <alignment horizontal="center" vertical="center"/>
      <protection locked="0"/>
    </xf>
    <xf numFmtId="0" fontId="17" fillId="0" borderId="12" xfId="46" applyFont="1" applyBorder="1" applyAlignment="1" applyProtection="1">
      <alignment horizontal="center" vertical="center"/>
      <protection locked="0"/>
    </xf>
    <xf numFmtId="0" fontId="17" fillId="0" borderId="24" xfId="0" applyFont="1" applyFill="1" applyBorder="1" applyAlignment="1" applyProtection="1">
      <alignment horizontal="center"/>
      <protection locked="0"/>
    </xf>
    <xf numFmtId="0" fontId="17" fillId="0" borderId="10" xfId="0" applyFont="1" applyFill="1" applyBorder="1" applyAlignment="1" applyProtection="1">
      <alignment horizontal="center" vertical="center" wrapText="1"/>
      <protection locked="0"/>
    </xf>
    <xf numFmtId="0" fontId="14" fillId="0" borderId="0" xfId="0" applyFont="1" applyAlignment="1" applyProtection="1">
      <alignment vertical="top" wrapText="1"/>
      <protection locked="0"/>
    </xf>
    <xf numFmtId="0" fontId="14" fillId="0" borderId="0" xfId="46" applyAlignment="1" applyProtection="1">
      <alignment wrapText="1"/>
      <protection locked="0"/>
    </xf>
    <xf numFmtId="0" fontId="14" fillId="0" borderId="0" xfId="46" applyFont="1" applyAlignment="1" applyProtection="1">
      <alignment horizontal="center" vertical="top"/>
      <protection locked="0"/>
    </xf>
    <xf numFmtId="0" fontId="14" fillId="29" borderId="89" xfId="46" applyFill="1" applyBorder="1" applyAlignment="1" applyProtection="1">
      <alignment horizontal="left" wrapText="1"/>
      <protection locked="0"/>
    </xf>
    <xf numFmtId="0" fontId="16" fillId="0" borderId="0" xfId="46" applyFont="1" applyAlignment="1" applyProtection="1">
      <alignment horizontal="right" vertical="top"/>
      <protection locked="0"/>
    </xf>
    <xf numFmtId="0" fontId="16" fillId="29" borderId="0" xfId="46" applyFont="1" applyFill="1" applyAlignment="1" applyProtection="1">
      <alignment horizontal="right" vertical="top"/>
      <protection locked="0"/>
    </xf>
    <xf numFmtId="0" fontId="17" fillId="0" borderId="24" xfId="0" applyFont="1" applyFill="1" applyBorder="1" applyAlignment="1" applyProtection="1">
      <alignment horizontal="center"/>
      <protection locked="0"/>
    </xf>
    <xf numFmtId="0" fontId="0" fillId="28" borderId="94" xfId="0" applyNumberFormat="1" applyFill="1" applyBorder="1" applyAlignment="1" applyProtection="1">
      <alignment vertical="center"/>
      <protection locked="0"/>
    </xf>
    <xf numFmtId="0" fontId="17" fillId="64" borderId="92" xfId="46" applyFont="1" applyFill="1" applyBorder="1" applyAlignment="1" applyProtection="1">
      <alignment horizontal="center" wrapText="1"/>
      <protection locked="0"/>
    </xf>
    <xf numFmtId="0" fontId="21" fillId="0" borderId="0" xfId="46" applyFont="1" applyAlignment="1" applyProtection="1">
      <alignment horizontal="center"/>
      <protection locked="0"/>
    </xf>
    <xf numFmtId="0" fontId="61" fillId="0" borderId="0" xfId="93" applyFont="1" applyAlignment="1" applyProtection="1">
      <alignment horizontal="left"/>
      <protection locked="0"/>
    </xf>
    <xf numFmtId="166" fontId="0" fillId="0" borderId="17" xfId="29" applyNumberFormat="1" applyFont="1" applyBorder="1" applyProtection="1">
      <protection locked="0"/>
    </xf>
    <xf numFmtId="166" fontId="0" fillId="0" borderId="68" xfId="29" applyNumberFormat="1" applyFont="1" applyBorder="1" applyProtection="1">
      <protection locked="0"/>
    </xf>
    <xf numFmtId="44" fontId="0" fillId="0" borderId="29" xfId="29" applyFont="1" applyBorder="1"/>
    <xf numFmtId="0" fontId="21" fillId="0" borderId="0" xfId="46" applyFont="1" applyAlignment="1" applyProtection="1">
      <alignment horizontal="center"/>
      <protection locked="0"/>
    </xf>
    <xf numFmtId="0" fontId="14" fillId="0" borderId="0" xfId="46" applyAlignment="1" applyProtection="1">
      <alignment horizontal="left" wrapText="1"/>
      <protection locked="0"/>
    </xf>
    <xf numFmtId="0" fontId="96" fillId="0" borderId="0" xfId="46" applyFont="1" applyAlignment="1" applyProtection="1">
      <alignment horizontal="left" vertical="center" wrapText="1"/>
      <protection locked="0"/>
    </xf>
    <xf numFmtId="0" fontId="20" fillId="0" borderId="0" xfId="46" applyFont="1" applyAlignment="1" applyProtection="1">
      <alignment horizontal="left"/>
      <protection locked="0"/>
    </xf>
    <xf numFmtId="0" fontId="14" fillId="0" borderId="0" xfId="46" applyFont="1" applyFill="1" applyAlignment="1" applyProtection="1">
      <alignment horizontal="left" vertical="top" wrapText="1"/>
      <protection locked="0"/>
    </xf>
    <xf numFmtId="0" fontId="20" fillId="0" borderId="0" xfId="46" applyFont="1" applyFill="1" applyAlignment="1" applyProtection="1">
      <alignment horizontal="left"/>
      <protection locked="0"/>
    </xf>
    <xf numFmtId="0" fontId="21" fillId="0" borderId="0" xfId="46" applyFont="1" applyAlignment="1" applyProtection="1">
      <alignment horizontal="center" vertical="center" wrapText="1"/>
      <protection locked="0"/>
    </xf>
    <xf numFmtId="0" fontId="17" fillId="0" borderId="0" xfId="46" applyFont="1" applyAlignment="1" applyProtection="1">
      <alignment horizontal="center" vertical="center" wrapText="1"/>
      <protection locked="0"/>
    </xf>
    <xf numFmtId="0" fontId="19" fillId="0" borderId="0" xfId="46" applyFont="1" applyAlignment="1" applyProtection="1">
      <alignment horizontal="center"/>
      <protection locked="0"/>
    </xf>
    <xf numFmtId="0" fontId="14" fillId="0" borderId="0" xfId="46" applyBorder="1" applyAlignment="1" applyProtection="1">
      <alignment horizontal="left" vertical="center" wrapText="1"/>
      <protection locked="0"/>
    </xf>
    <xf numFmtId="0" fontId="21" fillId="0" borderId="0" xfId="46" applyFont="1" applyAlignment="1" applyProtection="1">
      <alignment horizontal="center"/>
      <protection locked="0"/>
    </xf>
    <xf numFmtId="0" fontId="17" fillId="0" borderId="0" xfId="46" applyFont="1" applyAlignment="1" applyProtection="1">
      <alignment horizontal="center" vertical="center" wrapText="1"/>
      <protection locked="0"/>
    </xf>
    <xf numFmtId="0" fontId="54" fillId="0" borderId="33" xfId="47" applyFont="1" applyBorder="1" applyAlignment="1" applyProtection="1">
      <alignment horizontal="center"/>
      <protection locked="0"/>
    </xf>
    <xf numFmtId="0" fontId="19" fillId="0" borderId="0" xfId="46" applyFont="1" applyBorder="1" applyAlignment="1" applyProtection="1">
      <alignment horizontal="center"/>
      <protection locked="0"/>
    </xf>
    <xf numFmtId="0" fontId="17" fillId="0" borderId="10" xfId="46" applyFont="1" applyBorder="1" applyAlignment="1" applyProtection="1">
      <alignment horizontal="center" vertical="center" wrapText="1"/>
      <protection locked="0"/>
    </xf>
    <xf numFmtId="0" fontId="98" fillId="0" borderId="0" xfId="46" applyFont="1" applyProtection="1">
      <protection locked="0"/>
    </xf>
    <xf numFmtId="170" fontId="14" fillId="0" borderId="10" xfId="29" applyNumberFormat="1" applyFont="1" applyFill="1" applyBorder="1" applyAlignment="1" applyProtection="1">
      <alignment horizontal="center" vertical="center"/>
      <protection locked="0"/>
    </xf>
    <xf numFmtId="170" fontId="14" fillId="0" borderId="0" xfId="29" applyNumberFormat="1" applyFont="1" applyFill="1" applyBorder="1" applyAlignment="1" applyProtection="1">
      <alignment horizontal="center" vertical="center"/>
      <protection locked="0"/>
    </xf>
    <xf numFmtId="0" fontId="17" fillId="0" borderId="0" xfId="46" applyFont="1" applyBorder="1" applyAlignment="1" applyProtection="1">
      <alignment vertical="center" wrapText="1"/>
      <protection locked="0"/>
    </xf>
    <xf numFmtId="170" fontId="14" fillId="0" borderId="0" xfId="29" applyNumberFormat="1" applyFont="1" applyFill="1" applyBorder="1" applyAlignment="1" applyProtection="1">
      <alignment vertical="center"/>
      <protection locked="0"/>
    </xf>
    <xf numFmtId="0" fontId="17" fillId="0" borderId="75" xfId="46" applyFont="1" applyBorder="1" applyAlignment="1" applyProtection="1">
      <alignment horizontal="center" vertical="center" wrapText="1"/>
      <protection locked="0"/>
    </xf>
    <xf numFmtId="176" fontId="17" fillId="0" borderId="10" xfId="46" applyNumberFormat="1" applyFont="1" applyBorder="1" applyAlignment="1" applyProtection="1">
      <alignment horizontal="center" vertical="center" wrapText="1"/>
      <protection locked="0"/>
    </xf>
    <xf numFmtId="176" fontId="14" fillId="0" borderId="10" xfId="46" applyNumberFormat="1" applyBorder="1" applyAlignment="1" applyProtection="1">
      <alignment horizontal="center" vertical="center" wrapText="1"/>
      <protection locked="0"/>
    </xf>
    <xf numFmtId="170" fontId="14" fillId="0" borderId="10" xfId="29" applyNumberFormat="1" applyFont="1" applyFill="1" applyBorder="1" applyAlignment="1" applyProtection="1">
      <alignment horizontal="center" vertical="center" wrapText="1"/>
      <protection locked="0"/>
    </xf>
    <xf numFmtId="0" fontId="14" fillId="0" borderId="0" xfId="46" applyBorder="1" applyAlignment="1" applyProtection="1">
      <alignment horizontal="center" vertical="center"/>
      <protection locked="0"/>
    </xf>
    <xf numFmtId="170" fontId="14" fillId="0" borderId="0" xfId="29" applyNumberFormat="1" applyFont="1" applyFill="1" applyBorder="1" applyAlignment="1" applyProtection="1">
      <alignment horizontal="center" vertical="center" wrapText="1"/>
      <protection locked="0"/>
    </xf>
    <xf numFmtId="0" fontId="14" fillId="0" borderId="92" xfId="46" applyBorder="1" applyAlignment="1" applyProtection="1">
      <alignment horizontal="center"/>
      <protection locked="0"/>
    </xf>
    <xf numFmtId="0" fontId="14" fillId="0" borderId="55" xfId="46" applyBorder="1" applyAlignment="1" applyProtection="1">
      <alignment horizontal="center"/>
      <protection locked="0"/>
    </xf>
    <xf numFmtId="0" fontId="17" fillId="66" borderId="42" xfId="46" applyFont="1" applyFill="1" applyBorder="1" applyAlignment="1" applyProtection="1">
      <alignment horizontal="center" wrapText="1"/>
      <protection locked="0"/>
    </xf>
    <xf numFmtId="0" fontId="14" fillId="0" borderId="0" xfId="46" applyFont="1" applyFill="1" applyAlignment="1" applyProtection="1">
      <alignment horizontal="left"/>
      <protection locked="0"/>
    </xf>
    <xf numFmtId="176" fontId="17" fillId="25" borderId="101" xfId="46" applyNumberFormat="1" applyFont="1" applyFill="1" applyBorder="1" applyAlignment="1" applyProtection="1">
      <alignment horizontal="center" vertical="center" wrapText="1"/>
      <protection locked="0"/>
    </xf>
    <xf numFmtId="176" fontId="17" fillId="25" borderId="77" xfId="46" quotePrefix="1" applyNumberFormat="1" applyFont="1" applyFill="1" applyBorder="1" applyAlignment="1" applyProtection="1">
      <alignment horizontal="center"/>
      <protection locked="0"/>
    </xf>
    <xf numFmtId="176" fontId="17" fillId="25" borderId="45" xfId="46" applyNumberFormat="1" applyFont="1" applyFill="1" applyBorder="1" applyAlignment="1" applyProtection="1">
      <alignment horizontal="center" vertical="center" wrapText="1"/>
      <protection locked="0"/>
    </xf>
    <xf numFmtId="176" fontId="17" fillId="25" borderId="55" xfId="46" quotePrefix="1" applyNumberFormat="1" applyFont="1" applyFill="1" applyBorder="1" applyAlignment="1" applyProtection="1">
      <alignment horizontal="center"/>
      <protection locked="0"/>
    </xf>
    <xf numFmtId="0" fontId="17" fillId="0" borderId="0" xfId="46" applyFont="1" applyAlignment="1" applyProtection="1">
      <alignment horizontal="right" vertical="center"/>
      <protection locked="0"/>
    </xf>
    <xf numFmtId="0" fontId="48" fillId="29" borderId="0" xfId="46" applyFont="1" applyFill="1" applyAlignment="1" applyProtection="1">
      <alignment vertical="center"/>
      <protection locked="0"/>
    </xf>
    <xf numFmtId="0" fontId="14" fillId="0" borderId="0" xfId="46" applyFont="1" applyAlignment="1" applyProtection="1">
      <alignment horizontal="center" vertical="center" wrapText="1"/>
      <protection locked="0"/>
    </xf>
    <xf numFmtId="0" fontId="21" fillId="0" borderId="0" xfId="46" applyFont="1" applyAlignment="1" applyProtection="1">
      <alignment horizontal="center"/>
      <protection locked="0"/>
    </xf>
    <xf numFmtId="0" fontId="14" fillId="0" borderId="0" xfId="46" applyFont="1" applyAlignment="1" applyProtection="1">
      <alignment horizontal="left" vertical="top" wrapText="1"/>
      <protection locked="0"/>
    </xf>
    <xf numFmtId="0" fontId="14" fillId="0" borderId="27" xfId="46" applyBorder="1" applyAlignment="1" applyProtection="1">
      <alignment horizontal="center" vertical="center"/>
      <protection locked="0"/>
    </xf>
    <xf numFmtId="0" fontId="14" fillId="0" borderId="10" xfId="46" applyBorder="1" applyAlignment="1" applyProtection="1">
      <alignment horizontal="left" vertical="center"/>
      <protection locked="0"/>
    </xf>
    <xf numFmtId="0" fontId="14" fillId="0" borderId="10" xfId="46" applyBorder="1" applyAlignment="1" applyProtection="1">
      <alignment horizontal="center" vertical="center"/>
      <protection locked="0"/>
    </xf>
    <xf numFmtId="0" fontId="14" fillId="0" borderId="0" xfId="46" applyFont="1" applyAlignment="1" applyProtection="1">
      <alignment vertical="top" wrapText="1"/>
      <protection locked="0"/>
    </xf>
    <xf numFmtId="0" fontId="19" fillId="0" borderId="0" xfId="46" applyFont="1" applyAlignment="1" applyProtection="1">
      <alignment horizontal="center"/>
      <protection locked="0"/>
    </xf>
    <xf numFmtId="0" fontId="16" fillId="0" borderId="0" xfId="46" applyFont="1" applyAlignment="1" applyProtection="1">
      <alignment horizontal="right" vertical="top"/>
      <protection locked="0"/>
    </xf>
    <xf numFmtId="0" fontId="16" fillId="29" borderId="0" xfId="46" applyFont="1" applyFill="1" applyAlignment="1" applyProtection="1">
      <alignment horizontal="right" vertical="top"/>
      <protection locked="0"/>
    </xf>
    <xf numFmtId="0" fontId="14" fillId="0" borderId="33" xfId="46" applyBorder="1" applyAlignment="1" applyProtection="1">
      <alignment vertical="center"/>
      <protection locked="0"/>
    </xf>
    <xf numFmtId="0" fontId="14" fillId="0" borderId="75" xfId="46" applyBorder="1" applyAlignment="1" applyProtection="1">
      <alignment horizontal="right" vertical="center"/>
      <protection locked="0"/>
    </xf>
    <xf numFmtId="0" fontId="17" fillId="25" borderId="0" xfId="46" applyFont="1" applyFill="1" applyBorder="1" applyAlignment="1" applyProtection="1">
      <alignment horizontal="center" vertical="center" wrapText="1"/>
      <protection locked="0"/>
    </xf>
    <xf numFmtId="0" fontId="17" fillId="25" borderId="0" xfId="46" quotePrefix="1" applyFont="1" applyFill="1" applyBorder="1" applyAlignment="1" applyProtection="1">
      <alignment horizontal="center"/>
      <protection locked="0"/>
    </xf>
    <xf numFmtId="0" fontId="17" fillId="25" borderId="0" xfId="46" applyFont="1" applyFill="1" applyBorder="1" applyAlignment="1" applyProtection="1">
      <alignment horizontal="center" wrapText="1"/>
      <protection locked="0"/>
    </xf>
    <xf numFmtId="166" fontId="17" fillId="0" borderId="0" xfId="46" applyNumberFormat="1" applyFont="1" applyFill="1" applyBorder="1" applyProtection="1">
      <protection locked="0"/>
    </xf>
    <xf numFmtId="0" fontId="17" fillId="64" borderId="92" xfId="46" applyFont="1" applyFill="1" applyBorder="1" applyAlignment="1" applyProtection="1">
      <alignment horizontal="center" wrapText="1"/>
      <protection locked="0"/>
    </xf>
    <xf numFmtId="0" fontId="14" fillId="0" borderId="0" xfId="46" applyFont="1" applyFill="1" applyAlignment="1" applyProtection="1">
      <alignment wrapText="1"/>
      <protection locked="0"/>
    </xf>
    <xf numFmtId="0" fontId="96" fillId="0" borderId="0" xfId="46" applyFont="1" applyAlignment="1" applyProtection="1">
      <alignment horizontal="left" vertical="center" wrapText="1"/>
      <protection locked="0"/>
    </xf>
    <xf numFmtId="0" fontId="17" fillId="64" borderId="40" xfId="46" applyFont="1" applyFill="1" applyBorder="1" applyAlignment="1" applyProtection="1">
      <alignment vertical="center"/>
      <protection locked="0"/>
    </xf>
    <xf numFmtId="0" fontId="21" fillId="0" borderId="0" xfId="0" applyFont="1" applyAlignment="1" applyProtection="1">
      <alignment horizontal="center"/>
      <protection locked="0"/>
    </xf>
    <xf numFmtId="0" fontId="111" fillId="0" borderId="0" xfId="126" applyFont="1" applyBorder="1" applyAlignment="1" applyProtection="1">
      <alignment horizontal="center" vertical="top" wrapText="1"/>
      <protection locked="0"/>
    </xf>
    <xf numFmtId="0" fontId="77" fillId="63" borderId="71" xfId="126" applyFont="1" applyFill="1" applyBorder="1" applyAlignment="1" applyProtection="1">
      <alignment horizontal="center"/>
      <protection locked="0"/>
    </xf>
    <xf numFmtId="0" fontId="77" fillId="63" borderId="29" xfId="126" applyFont="1" applyFill="1" applyBorder="1" applyAlignment="1" applyProtection="1">
      <alignment horizontal="center" wrapText="1"/>
      <protection locked="0"/>
    </xf>
    <xf numFmtId="0" fontId="16" fillId="0" borderId="0" xfId="46" applyFont="1" applyAlignment="1" applyProtection="1">
      <alignment horizontal="right" vertical="top"/>
      <protection locked="0"/>
    </xf>
    <xf numFmtId="0" fontId="16" fillId="29" borderId="0" xfId="46" applyFont="1" applyFill="1" applyAlignment="1" applyProtection="1">
      <alignment horizontal="right" vertical="top"/>
      <protection locked="0"/>
    </xf>
    <xf numFmtId="0" fontId="17" fillId="0" borderId="33" xfId="0" applyFont="1" applyBorder="1" applyAlignment="1" applyProtection="1">
      <alignment horizontal="left"/>
      <protection locked="0"/>
    </xf>
    <xf numFmtId="0" fontId="16" fillId="0" borderId="0" xfId="46" applyFont="1" applyAlignment="1" applyProtection="1">
      <alignment horizontal="right" vertical="top"/>
      <protection locked="0"/>
    </xf>
    <xf numFmtId="0" fontId="5" fillId="0" borderId="0" xfId="126" applyFont="1" applyAlignment="1" applyProtection="1">
      <alignment horizontal="left" vertical="top" wrapText="1"/>
      <protection locked="0"/>
    </xf>
    <xf numFmtId="0" fontId="9" fillId="0" borderId="0" xfId="126" applyAlignment="1" applyProtection="1">
      <alignment wrapText="1"/>
      <protection locked="0"/>
    </xf>
    <xf numFmtId="0" fontId="5" fillId="0" borderId="48" xfId="126" applyFont="1" applyBorder="1" applyProtection="1">
      <protection locked="0"/>
    </xf>
    <xf numFmtId="0" fontId="5" fillId="69" borderId="0" xfId="126" applyFont="1" applyFill="1" applyBorder="1" applyProtection="1">
      <protection locked="0"/>
    </xf>
    <xf numFmtId="10" fontId="92" fillId="69" borderId="0" xfId="128" applyNumberFormat="1" applyFont="1" applyFill="1" applyBorder="1" applyProtection="1">
      <protection locked="0"/>
    </xf>
    <xf numFmtId="0" fontId="5" fillId="0" borderId="52" xfId="126" applyFont="1" applyBorder="1" applyProtection="1">
      <protection locked="0"/>
    </xf>
    <xf numFmtId="0" fontId="5" fillId="69" borderId="120" xfId="126" applyFont="1" applyFill="1" applyBorder="1" applyProtection="1">
      <protection locked="0"/>
    </xf>
    <xf numFmtId="43" fontId="92" fillId="69" borderId="0" xfId="127" applyNumberFormat="1" applyFont="1" applyFill="1" applyBorder="1" applyProtection="1">
      <protection locked="0"/>
    </xf>
    <xf numFmtId="43" fontId="92" fillId="29" borderId="0" xfId="128" applyNumberFormat="1" applyFont="1" applyFill="1" applyBorder="1" applyProtection="1">
      <protection locked="0"/>
    </xf>
    <xf numFmtId="43" fontId="92" fillId="69" borderId="120" xfId="127" applyNumberFormat="1" applyFont="1" applyFill="1" applyBorder="1" applyProtection="1">
      <protection locked="0"/>
    </xf>
    <xf numFmtId="0" fontId="122" fillId="0" borderId="0" xfId="126" applyFont="1" applyFill="1" applyAlignment="1" applyProtection="1">
      <alignment vertical="top" wrapText="1"/>
      <protection locked="0"/>
    </xf>
    <xf numFmtId="0" fontId="5" fillId="0" borderId="0" xfId="126" applyFont="1" applyBorder="1" applyAlignment="1" applyProtection="1">
      <alignment vertical="top" wrapText="1"/>
      <protection locked="0"/>
    </xf>
    <xf numFmtId="0" fontId="5" fillId="0" borderId="0" xfId="126" applyFont="1" applyAlignment="1" applyProtection="1">
      <alignment vertical="top" wrapText="1"/>
      <protection locked="0"/>
    </xf>
    <xf numFmtId="0" fontId="5" fillId="63" borderId="48" xfId="126" applyFont="1" applyFill="1" applyBorder="1" applyAlignment="1" applyProtection="1">
      <alignment vertical="top"/>
      <protection locked="0"/>
    </xf>
    <xf numFmtId="0" fontId="5" fillId="63" borderId="0" xfId="126" applyFont="1" applyFill="1" applyBorder="1" applyAlignment="1" applyProtection="1">
      <alignment vertical="top"/>
      <protection locked="0"/>
    </xf>
    <xf numFmtId="0" fontId="5" fillId="0" borderId="48" xfId="126" applyFont="1" applyFill="1" applyBorder="1" applyAlignment="1" applyProtection="1">
      <alignment vertical="top"/>
      <protection locked="0"/>
    </xf>
    <xf numFmtId="0" fontId="5" fillId="0" borderId="0" xfId="126" applyFont="1" applyFill="1" applyBorder="1" applyAlignment="1" applyProtection="1">
      <alignment vertical="top"/>
      <protection locked="0"/>
    </xf>
    <xf numFmtId="0" fontId="0" fillId="0" borderId="52" xfId="126" applyFont="1" applyFill="1" applyBorder="1" applyAlignment="1" applyProtection="1">
      <alignment vertical="top"/>
      <protection locked="0"/>
    </xf>
    <xf numFmtId="0" fontId="5" fillId="0" borderId="120" xfId="126" applyFont="1" applyFill="1" applyBorder="1" applyAlignment="1" applyProtection="1">
      <alignment vertical="top"/>
      <protection locked="0"/>
    </xf>
    <xf numFmtId="0" fontId="77" fillId="0" borderId="120" xfId="126" applyFont="1" applyFill="1" applyBorder="1" applyAlignment="1" applyProtection="1">
      <alignment vertical="top"/>
      <protection locked="0"/>
    </xf>
    <xf numFmtId="0" fontId="77" fillId="0" borderId="56" xfId="126" applyFont="1" applyFill="1" applyBorder="1" applyAlignment="1" applyProtection="1">
      <alignment horizontal="center" vertical="top" wrapText="1"/>
      <protection locked="0"/>
    </xf>
    <xf numFmtId="0" fontId="5" fillId="0" borderId="30" xfId="126" applyFont="1" applyFill="1" applyBorder="1" applyProtection="1">
      <protection locked="0"/>
    </xf>
    <xf numFmtId="0" fontId="5" fillId="0" borderId="30" xfId="126" applyFont="1" applyBorder="1" applyProtection="1">
      <protection locked="0"/>
    </xf>
    <xf numFmtId="0" fontId="5" fillId="0" borderId="0" xfId="126" applyFont="1" applyFill="1" applyBorder="1" applyProtection="1">
      <protection locked="0"/>
    </xf>
    <xf numFmtId="0" fontId="5" fillId="0" borderId="0" xfId="126" applyFont="1" applyBorder="1" applyProtection="1">
      <protection locked="0"/>
    </xf>
    <xf numFmtId="0" fontId="5" fillId="0" borderId="0" xfId="126" applyFont="1" applyBorder="1" applyAlignment="1" applyProtection="1">
      <alignment horizontal="left" vertical="top" wrapText="1"/>
      <protection locked="0"/>
    </xf>
    <xf numFmtId="0" fontId="77" fillId="0" borderId="10" xfId="126" applyFont="1" applyFill="1" applyBorder="1" applyAlignment="1" applyProtection="1">
      <alignment horizontal="center" vertical="center" wrapText="1"/>
      <protection locked="0"/>
    </xf>
    <xf numFmtId="0" fontId="5" fillId="0" borderId="0" xfId="126" applyFont="1" applyProtection="1">
      <protection locked="0"/>
    </xf>
    <xf numFmtId="0" fontId="5" fillId="0" borderId="93" xfId="126" applyFont="1" applyBorder="1" applyProtection="1">
      <protection locked="0"/>
    </xf>
    <xf numFmtId="0" fontId="77" fillId="63" borderId="88" xfId="126" applyFont="1" applyFill="1" applyBorder="1" applyAlignment="1" applyProtection="1">
      <alignment horizontal="center"/>
      <protection locked="0"/>
    </xf>
    <xf numFmtId="0" fontId="5" fillId="67" borderId="54" xfId="126" applyFont="1" applyFill="1" applyBorder="1" applyAlignment="1" applyProtection="1">
      <alignment wrapText="1"/>
      <protection locked="0"/>
    </xf>
    <xf numFmtId="43" fontId="5" fillId="67" borderId="13" xfId="126" applyNumberFormat="1" applyFont="1" applyFill="1" applyBorder="1" applyAlignment="1" applyProtection="1">
      <alignment horizontal="center" vertical="center"/>
      <protection locked="0"/>
    </xf>
    <xf numFmtId="43" fontId="5" fillId="67" borderId="51" xfId="126" applyNumberFormat="1" applyFont="1" applyFill="1" applyBorder="1" applyAlignment="1" applyProtection="1">
      <alignment horizontal="center" vertical="center"/>
      <protection locked="0"/>
    </xf>
    <xf numFmtId="0" fontId="0" fillId="0" borderId="72" xfId="126" applyFont="1" applyBorder="1" applyAlignment="1" applyProtection="1">
      <alignment wrapText="1"/>
      <protection locked="0"/>
    </xf>
    <xf numFmtId="43" fontId="5" fillId="0" borderId="83" xfId="126" applyNumberFormat="1" applyFont="1" applyBorder="1" applyAlignment="1" applyProtection="1">
      <alignment horizontal="center" vertical="center"/>
      <protection locked="0"/>
    </xf>
    <xf numFmtId="43" fontId="5" fillId="0" borderId="14" xfId="126" applyNumberFormat="1" applyFont="1" applyBorder="1" applyAlignment="1" applyProtection="1">
      <alignment horizontal="center" vertical="center"/>
      <protection locked="0"/>
    </xf>
    <xf numFmtId="43" fontId="5" fillId="0" borderId="18" xfId="126" applyNumberFormat="1" applyFont="1" applyBorder="1" applyAlignment="1" applyProtection="1">
      <alignment horizontal="center" vertical="center"/>
      <protection locked="0"/>
    </xf>
    <xf numFmtId="43" fontId="5" fillId="0" borderId="59" xfId="126" applyNumberFormat="1" applyFont="1" applyBorder="1" applyAlignment="1" applyProtection="1">
      <alignment horizontal="center" vertical="center"/>
      <protection locked="0"/>
    </xf>
    <xf numFmtId="0" fontId="5" fillId="67" borderId="52" xfId="126" applyFont="1" applyFill="1" applyBorder="1" applyAlignment="1" applyProtection="1">
      <alignment wrapText="1"/>
      <protection locked="0"/>
    </xf>
    <xf numFmtId="43" fontId="5" fillId="67" borderId="166" xfId="126" applyNumberFormat="1" applyFont="1" applyFill="1" applyBorder="1" applyAlignment="1" applyProtection="1">
      <alignment horizontal="center" vertical="center"/>
      <protection locked="0"/>
    </xf>
    <xf numFmtId="43" fontId="5" fillId="67" borderId="0" xfId="126" applyNumberFormat="1" applyFont="1" applyFill="1" applyBorder="1" applyAlignment="1" applyProtection="1">
      <alignment horizontal="center" vertical="center"/>
      <protection locked="0"/>
    </xf>
    <xf numFmtId="43" fontId="5" fillId="67" borderId="167" xfId="126" applyNumberFormat="1" applyFont="1" applyFill="1" applyBorder="1" applyAlignment="1" applyProtection="1">
      <alignment horizontal="center" vertical="center"/>
      <protection locked="0"/>
    </xf>
    <xf numFmtId="0" fontId="0" fillId="64" borderId="76" xfId="126" applyFont="1" applyFill="1" applyBorder="1" applyAlignment="1" applyProtection="1">
      <alignment wrapText="1"/>
      <protection locked="0"/>
    </xf>
    <xf numFmtId="0" fontId="0" fillId="64" borderId="38" xfId="126" applyFont="1" applyFill="1" applyBorder="1" applyAlignment="1" applyProtection="1">
      <alignment wrapText="1"/>
      <protection locked="0"/>
    </xf>
    <xf numFmtId="0" fontId="5" fillId="0" borderId="0" xfId="126" applyFont="1" applyBorder="1" applyAlignment="1" applyProtection="1">
      <alignment wrapText="1"/>
      <protection locked="0"/>
    </xf>
    <xf numFmtId="0" fontId="5" fillId="0" borderId="109" xfId="126" applyFont="1" applyBorder="1" applyAlignment="1" applyProtection="1">
      <alignment vertical="center" wrapText="1"/>
      <protection locked="0"/>
    </xf>
    <xf numFmtId="0" fontId="14" fillId="28" borderId="0" xfId="0" applyFont="1" applyFill="1" applyAlignment="1">
      <alignment vertical="top"/>
    </xf>
    <xf numFmtId="0" fontId="17" fillId="0" borderId="0" xfId="0" applyFont="1" applyAlignment="1">
      <alignment horizontal="center" vertical="top"/>
    </xf>
    <xf numFmtId="44" fontId="0" fillId="0" borderId="31" xfId="29" applyFont="1" applyBorder="1"/>
    <xf numFmtId="44" fontId="0" fillId="0" borderId="56" xfId="29" applyFont="1" applyBorder="1"/>
    <xf numFmtId="0" fontId="17" fillId="0" borderId="41" xfId="0" applyFont="1" applyBorder="1" applyAlignment="1">
      <alignment wrapText="1"/>
    </xf>
    <xf numFmtId="0" fontId="17" fillId="0" borderId="44" xfId="0" applyFont="1" applyBorder="1" applyAlignment="1">
      <alignment vertical="top"/>
    </xf>
    <xf numFmtId="0" fontId="17" fillId="0" borderId="22" xfId="0" applyFont="1" applyBorder="1" applyAlignment="1">
      <alignment horizontal="center" vertical="top"/>
    </xf>
    <xf numFmtId="44" fontId="0" fillId="29" borderId="29" xfId="29" applyFont="1" applyFill="1" applyBorder="1"/>
    <xf numFmtId="44" fontId="0" fillId="29" borderId="56" xfId="29" applyFont="1" applyFill="1" applyBorder="1"/>
    <xf numFmtId="44" fontId="0" fillId="0" borderId="108" xfId="29" applyFont="1" applyBorder="1"/>
    <xf numFmtId="0" fontId="14" fillId="0" borderId="41" xfId="0" quotePrefix="1" applyFont="1" applyBorder="1"/>
    <xf numFmtId="0" fontId="17" fillId="0" borderId="44" xfId="0" applyFont="1" applyBorder="1"/>
    <xf numFmtId="0" fontId="17" fillId="0" borderId="44" xfId="0" applyFont="1" applyBorder="1" applyAlignment="1">
      <alignment horizontal="center" vertical="top" wrapText="1"/>
    </xf>
    <xf numFmtId="44" fontId="0" fillId="29" borderId="40" xfId="29" applyFont="1" applyFill="1" applyBorder="1"/>
    <xf numFmtId="44" fontId="0" fillId="29" borderId="47" xfId="29" applyFont="1" applyFill="1" applyBorder="1"/>
    <xf numFmtId="44" fontId="0" fillId="0" borderId="41" xfId="29" applyFont="1" applyBorder="1"/>
    <xf numFmtId="0" fontId="17" fillId="0" borderId="44" xfId="0" applyFont="1" applyBorder="1" applyAlignment="1">
      <alignment horizontal="center" vertical="top"/>
    </xf>
    <xf numFmtId="44" fontId="0" fillId="0" borderId="105" xfId="29" applyFont="1" applyBorder="1"/>
    <xf numFmtId="44" fontId="0" fillId="29" borderId="92" xfId="29" applyFont="1" applyFill="1" applyBorder="1"/>
    <xf numFmtId="44" fontId="0" fillId="29" borderId="55" xfId="29" applyFont="1" applyFill="1" applyBorder="1"/>
    <xf numFmtId="44" fontId="0" fillId="0" borderId="55" xfId="29" applyFont="1" applyBorder="1"/>
    <xf numFmtId="0" fontId="0" fillId="0" borderId="42" xfId="0" applyBorder="1"/>
    <xf numFmtId="0" fontId="0" fillId="0" borderId="159" xfId="0" applyBorder="1"/>
    <xf numFmtId="0" fontId="17" fillId="0" borderId="42" xfId="0" applyFont="1" applyBorder="1"/>
    <xf numFmtId="0" fontId="14" fillId="0" borderId="128" xfId="0" quotePrefix="1" applyFont="1" applyBorder="1"/>
    <xf numFmtId="0" fontId="14" fillId="0" borderId="102" xfId="0" quotePrefix="1" applyFont="1" applyBorder="1"/>
    <xf numFmtId="44" fontId="0" fillId="0" borderId="41" xfId="29" applyFont="1" applyBorder="1" applyAlignment="1">
      <alignment vertical="center"/>
    </xf>
    <xf numFmtId="44" fontId="0" fillId="0" borderId="105" xfId="29" applyFont="1" applyBorder="1" applyAlignment="1">
      <alignment vertical="center"/>
    </xf>
    <xf numFmtId="44" fontId="0" fillId="0" borderId="108" xfId="29" applyFont="1" applyBorder="1" applyAlignment="1">
      <alignment vertical="center"/>
    </xf>
    <xf numFmtId="44" fontId="0" fillId="0" borderId="31" xfId="29" applyFont="1" applyBorder="1" applyAlignment="1">
      <alignment vertical="center"/>
    </xf>
    <xf numFmtId="0" fontId="17" fillId="0" borderId="54" xfId="0" quotePrefix="1" applyFont="1" applyBorder="1" applyAlignment="1" applyProtection="1">
      <alignment horizontal="left"/>
      <protection locked="0"/>
    </xf>
    <xf numFmtId="166" fontId="17" fillId="0" borderId="10" xfId="29" applyNumberFormat="1" applyFont="1" applyFill="1" applyBorder="1" applyProtection="1">
      <protection locked="0"/>
    </xf>
    <xf numFmtId="166" fontId="17" fillId="0" borderId="25" xfId="29" applyNumberFormat="1" applyFont="1" applyFill="1" applyBorder="1" applyProtection="1">
      <protection locked="0"/>
    </xf>
    <xf numFmtId="166" fontId="17" fillId="0" borderId="19" xfId="29" applyNumberFormat="1" applyFont="1" applyFill="1" applyBorder="1" applyProtection="1">
      <protection locked="0"/>
    </xf>
    <xf numFmtId="0" fontId="4" fillId="0" borderId="0" xfId="90" applyFont="1" applyProtection="1">
      <protection locked="0"/>
    </xf>
    <xf numFmtId="0" fontId="0" fillId="0" borderId="0" xfId="0" applyAlignment="1">
      <alignment vertical="top"/>
    </xf>
    <xf numFmtId="0" fontId="14" fillId="0" borderId="0" xfId="46" applyFont="1" applyAlignment="1" applyProtection="1">
      <alignment vertical="top" wrapText="1"/>
      <protection locked="0"/>
    </xf>
    <xf numFmtId="0" fontId="17" fillId="0" borderId="40" xfId="46" applyFont="1" applyFill="1" applyBorder="1" applyAlignment="1" applyProtection="1">
      <alignment horizontal="center" wrapText="1"/>
      <protection locked="0"/>
    </xf>
    <xf numFmtId="0" fontId="17" fillId="0" borderId="41" xfId="46" applyFont="1" applyFill="1" applyBorder="1" applyAlignment="1" applyProtection="1">
      <alignment horizontal="center" wrapText="1"/>
      <protection locked="0"/>
    </xf>
    <xf numFmtId="0" fontId="14" fillId="0" borderId="0" xfId="46" applyAlignment="1" applyProtection="1">
      <alignment horizontal="center"/>
      <protection locked="0"/>
    </xf>
    <xf numFmtId="0" fontId="16" fillId="0" borderId="0" xfId="46" applyFont="1" applyAlignment="1" applyProtection="1">
      <alignment horizontal="right" vertical="top"/>
      <protection locked="0"/>
    </xf>
    <xf numFmtId="0" fontId="16" fillId="0" borderId="0" xfId="46" applyFont="1" applyAlignment="1" applyProtection="1">
      <alignment horizontal="right" vertical="top"/>
      <protection locked="0"/>
    </xf>
    <xf numFmtId="0" fontId="123" fillId="0" borderId="0" xfId="0" applyFont="1" applyAlignment="1">
      <alignment horizontal="left" vertical="top" wrapText="1"/>
    </xf>
    <xf numFmtId="0" fontId="49" fillId="0" borderId="0" xfId="0" quotePrefix="1" applyFont="1" applyAlignment="1">
      <alignment horizontal="left" vertical="top"/>
    </xf>
    <xf numFmtId="0" fontId="17" fillId="0" borderId="71" xfId="0" applyFont="1" applyBorder="1"/>
    <xf numFmtId="0" fontId="14" fillId="0" borderId="0" xfId="0" applyFont="1" applyBorder="1" applyAlignment="1">
      <alignment horizontal="center" vertical="center"/>
    </xf>
    <xf numFmtId="0" fontId="14" fillId="0" borderId="0" xfId="0" applyFont="1" applyBorder="1" applyAlignment="1">
      <alignment horizontal="center" vertical="center" wrapText="1"/>
    </xf>
    <xf numFmtId="0" fontId="0" fillId="66" borderId="29" xfId="0" applyFill="1" applyBorder="1"/>
    <xf numFmtId="0" fontId="14" fillId="0" borderId="29" xfId="0" applyFont="1" applyBorder="1" applyAlignment="1">
      <alignment horizontal="center" vertical="center"/>
    </xf>
    <xf numFmtId="0" fontId="14" fillId="0" borderId="30" xfId="0" applyFont="1" applyBorder="1" applyAlignment="1">
      <alignment horizontal="center" vertical="center"/>
    </xf>
    <xf numFmtId="0" fontId="14" fillId="0" borderId="30" xfId="0" applyFont="1" applyBorder="1" applyAlignment="1">
      <alignment horizontal="center" vertical="center" wrapText="1"/>
    </xf>
    <xf numFmtId="0" fontId="14" fillId="0" borderId="31" xfId="0" applyFont="1" applyBorder="1" applyAlignment="1">
      <alignment horizontal="center" vertical="center"/>
    </xf>
    <xf numFmtId="0" fontId="14" fillId="0" borderId="43" xfId="0" applyFont="1" applyBorder="1"/>
    <xf numFmtId="0" fontId="0" fillId="0" borderId="40" xfId="0" applyBorder="1"/>
    <xf numFmtId="0" fontId="17" fillId="0" borderId="40" xfId="0" applyFont="1" applyBorder="1"/>
    <xf numFmtId="0" fontId="17" fillId="0" borderId="41" xfId="0" applyFont="1" applyBorder="1"/>
    <xf numFmtId="0" fontId="17" fillId="0" borderId="43" xfId="0" applyFont="1" applyBorder="1"/>
    <xf numFmtId="0" fontId="0" fillId="0" borderId="40" xfId="0" applyBorder="1" applyAlignment="1">
      <alignment horizontal="center" vertical="center"/>
    </xf>
    <xf numFmtId="0" fontId="0" fillId="0" borderId="41" xfId="0" applyBorder="1" applyAlignment="1">
      <alignment horizontal="center" vertical="center"/>
    </xf>
    <xf numFmtId="0" fontId="0" fillId="0" borderId="41" xfId="0" applyBorder="1"/>
    <xf numFmtId="0" fontId="17" fillId="0" borderId="45" xfId="0" applyFont="1" applyBorder="1"/>
    <xf numFmtId="0" fontId="0" fillId="66" borderId="31" xfId="0" applyFill="1" applyBorder="1"/>
    <xf numFmtId="0" fontId="17" fillId="0" borderId="30" xfId="0" applyFont="1" applyBorder="1"/>
    <xf numFmtId="0" fontId="17" fillId="0" borderId="31" xfId="0" applyFont="1" applyBorder="1" applyAlignment="1">
      <alignment horizontal="center" vertical="center" wrapText="1"/>
    </xf>
    <xf numFmtId="0" fontId="17" fillId="0" borderId="30" xfId="0" applyFont="1" applyBorder="1" applyAlignment="1">
      <alignment horizontal="center" vertical="center" wrapText="1"/>
    </xf>
    <xf numFmtId="0" fontId="17" fillId="0" borderId="41" xfId="0" applyFont="1" applyBorder="1" applyAlignment="1">
      <alignment horizontal="center" vertical="center" wrapText="1"/>
    </xf>
    <xf numFmtId="0" fontId="17" fillId="0" borderId="31" xfId="0" applyFont="1" applyBorder="1"/>
    <xf numFmtId="0" fontId="0" fillId="66" borderId="45" xfId="0" applyFill="1" applyBorder="1"/>
    <xf numFmtId="0" fontId="17" fillId="0" borderId="31" xfId="0" applyFont="1" applyBorder="1" applyAlignment="1">
      <alignment horizontal="center" vertical="center" wrapText="1"/>
    </xf>
    <xf numFmtId="0" fontId="14" fillId="0" borderId="93" xfId="0" applyFont="1" applyBorder="1" applyAlignment="1">
      <alignment horizontal="center" vertical="center"/>
    </xf>
    <xf numFmtId="0" fontId="14" fillId="0" borderId="109" xfId="0" applyFont="1" applyBorder="1" applyAlignment="1">
      <alignment horizontal="center" vertical="center"/>
    </xf>
    <xf numFmtId="0" fontId="14" fillId="0" borderId="38" xfId="0" applyFont="1" applyBorder="1" applyAlignment="1">
      <alignment horizontal="center" vertical="center"/>
    </xf>
    <xf numFmtId="0" fontId="17" fillId="0" borderId="28" xfId="0" applyFont="1" applyBorder="1" applyAlignment="1">
      <alignment horizontal="center" vertical="center" wrapText="1"/>
    </xf>
    <xf numFmtId="0" fontId="0" fillId="66" borderId="109" xfId="0" applyFill="1" applyBorder="1"/>
    <xf numFmtId="0" fontId="0" fillId="66" borderId="38" xfId="0" applyFill="1" applyBorder="1"/>
    <xf numFmtId="0" fontId="17" fillId="0" borderId="70" xfId="0" applyFont="1" applyBorder="1"/>
    <xf numFmtId="0" fontId="14" fillId="65" borderId="0" xfId="0" applyFont="1" applyFill="1"/>
    <xf numFmtId="0" fontId="0" fillId="65" borderId="0" xfId="0" applyFill="1"/>
    <xf numFmtId="0" fontId="123" fillId="0" borderId="0" xfId="0" applyFont="1" applyAlignment="1">
      <alignment horizontal="left" vertical="top"/>
    </xf>
    <xf numFmtId="0" fontId="0" fillId="0" borderId="0" xfId="0" applyFill="1" applyBorder="1" applyAlignment="1">
      <alignment horizontal="left" vertical="top"/>
    </xf>
    <xf numFmtId="0" fontId="14" fillId="0" borderId="0" xfId="0" applyFont="1" applyFill="1" applyBorder="1" applyAlignment="1">
      <alignment horizontal="center" vertical="center"/>
    </xf>
    <xf numFmtId="0" fontId="14" fillId="0" borderId="30" xfId="0" applyFont="1" applyFill="1" applyBorder="1" applyAlignment="1">
      <alignment horizontal="center" vertical="center"/>
    </xf>
    <xf numFmtId="0" fontId="14" fillId="29" borderId="0" xfId="0" applyFont="1" applyFill="1" applyBorder="1" applyAlignment="1">
      <alignment horizontal="center" vertical="center"/>
    </xf>
    <xf numFmtId="0" fontId="17" fillId="0" borderId="30" xfId="0" applyFont="1" applyFill="1" applyBorder="1" applyAlignment="1">
      <alignment horizontal="center"/>
    </xf>
    <xf numFmtId="0" fontId="17" fillId="0" borderId="29" xfId="0" applyFont="1" applyBorder="1" applyAlignment="1">
      <alignment horizontal="center"/>
    </xf>
    <xf numFmtId="0" fontId="0" fillId="0" borderId="29" xfId="0" applyFill="1" applyBorder="1"/>
    <xf numFmtId="0" fontId="0" fillId="0" borderId="31" xfId="0" applyFill="1" applyBorder="1"/>
    <xf numFmtId="0" fontId="0" fillId="0" borderId="0" xfId="0" applyFill="1"/>
    <xf numFmtId="0" fontId="14" fillId="28" borderId="109" xfId="0" applyFont="1" applyFill="1" applyBorder="1" applyAlignment="1">
      <alignment horizontal="center" vertical="center"/>
    </xf>
    <xf numFmtId="167" fontId="14" fillId="29" borderId="0" xfId="28" applyNumberFormat="1" applyFont="1" applyFill="1" applyBorder="1" applyAlignment="1">
      <alignment horizontal="center" vertical="center"/>
    </xf>
    <xf numFmtId="167" fontId="14" fillId="29" borderId="30" xfId="28" applyNumberFormat="1" applyFont="1" applyFill="1" applyBorder="1" applyAlignment="1">
      <alignment horizontal="center" vertical="center"/>
    </xf>
    <xf numFmtId="0" fontId="0" fillId="29" borderId="0" xfId="0" applyFill="1" applyBorder="1"/>
    <xf numFmtId="0" fontId="0" fillId="29" borderId="30" xfId="0" applyFill="1" applyBorder="1"/>
    <xf numFmtId="0" fontId="17" fillId="0" borderId="103" xfId="0" applyFont="1" applyBorder="1" applyAlignment="1">
      <alignment vertical="center" wrapText="1"/>
    </xf>
    <xf numFmtId="0" fontId="17" fillId="0" borderId="82" xfId="0" applyFont="1" applyBorder="1" applyAlignment="1">
      <alignment vertical="center" wrapText="1"/>
    </xf>
    <xf numFmtId="0" fontId="0" fillId="0" borderId="30" xfId="0" applyFill="1" applyBorder="1"/>
    <xf numFmtId="0" fontId="17" fillId="0" borderId="48" xfId="0" applyFont="1" applyBorder="1"/>
    <xf numFmtId="0" fontId="0" fillId="0" borderId="48" xfId="0" applyBorder="1"/>
    <xf numFmtId="0" fontId="0" fillId="0" borderId="46" xfId="0" applyBorder="1"/>
    <xf numFmtId="166" fontId="14" fillId="29" borderId="0" xfId="29" applyNumberFormat="1" applyFont="1" applyFill="1" applyBorder="1" applyAlignment="1">
      <alignment horizontal="center" vertical="center"/>
    </xf>
    <xf numFmtId="166" fontId="14" fillId="29" borderId="30" xfId="29" applyNumberFormat="1" applyFont="1" applyFill="1" applyBorder="1" applyAlignment="1">
      <alignment horizontal="center" vertical="center"/>
    </xf>
    <xf numFmtId="0" fontId="14" fillId="0" borderId="93" xfId="0" applyFont="1" applyFill="1" applyBorder="1" applyAlignment="1">
      <alignment horizontal="center" vertical="center"/>
    </xf>
    <xf numFmtId="0" fontId="14" fillId="0" borderId="109" xfId="0" applyFont="1" applyFill="1" applyBorder="1" applyAlignment="1">
      <alignment horizontal="center" vertical="center"/>
    </xf>
    <xf numFmtId="0" fontId="14" fillId="0" borderId="38" xfId="0" applyFont="1" applyFill="1" applyBorder="1" applyAlignment="1">
      <alignment horizontal="center" vertical="center"/>
    </xf>
    <xf numFmtId="0" fontId="0" fillId="0" borderId="0" xfId="0" applyFill="1" applyBorder="1" applyAlignment="1"/>
    <xf numFmtId="0" fontId="0" fillId="28" borderId="44" xfId="0" applyFill="1" applyBorder="1" applyAlignment="1"/>
    <xf numFmtId="0" fontId="17" fillId="0" borderId="0" xfId="0" applyFont="1" applyAlignment="1">
      <alignment horizontal="center" vertical="center"/>
    </xf>
    <xf numFmtId="0" fontId="0" fillId="0" borderId="46" xfId="0" applyBorder="1" applyAlignment="1">
      <alignment horizontal="center" vertical="center"/>
    </xf>
    <xf numFmtId="0" fontId="123" fillId="29" borderId="0" xfId="0" applyFont="1" applyFill="1" applyAlignment="1">
      <alignment horizontal="left" vertical="top"/>
    </xf>
    <xf numFmtId="0" fontId="123" fillId="28" borderId="0" xfId="0" applyFont="1" applyFill="1" applyAlignment="1">
      <alignment horizontal="left" vertical="top"/>
    </xf>
    <xf numFmtId="0" fontId="123" fillId="0" borderId="0" xfId="0" applyFont="1" applyFill="1" applyAlignment="1">
      <alignment horizontal="left" vertical="top"/>
    </xf>
    <xf numFmtId="0" fontId="123" fillId="67" borderId="0" xfId="0" applyFont="1" applyFill="1" applyAlignment="1">
      <alignment horizontal="left" vertical="top"/>
    </xf>
    <xf numFmtId="0" fontId="0" fillId="67" borderId="29" xfId="0" applyFill="1" applyBorder="1"/>
    <xf numFmtId="0" fontId="14" fillId="67" borderId="29" xfId="0" applyFont="1" applyFill="1" applyBorder="1" applyAlignment="1">
      <alignment horizontal="center" vertical="center"/>
    </xf>
    <xf numFmtId="0" fontId="0" fillId="67" borderId="31" xfId="0" applyFill="1" applyBorder="1"/>
    <xf numFmtId="0" fontId="123" fillId="0" borderId="10" xfId="0" applyFont="1" applyBorder="1" applyAlignment="1">
      <alignment horizontal="left" vertical="top"/>
    </xf>
    <xf numFmtId="44" fontId="14" fillId="67" borderId="29" xfId="29" applyFont="1" applyFill="1" applyBorder="1" applyAlignment="1">
      <alignment horizontal="center" vertical="center"/>
    </xf>
    <xf numFmtId="0" fontId="0" fillId="0" borderId="0" xfId="0" applyBorder="1"/>
    <xf numFmtId="0" fontId="0" fillId="67" borderId="0" xfId="0" applyFill="1" applyBorder="1"/>
    <xf numFmtId="167" fontId="14" fillId="0" borderId="0" xfId="28" applyNumberFormat="1" applyFont="1" applyFill="1" applyBorder="1" applyAlignment="1">
      <alignment horizontal="center" vertical="center"/>
    </xf>
    <xf numFmtId="0" fontId="0" fillId="29" borderId="0" xfId="0" applyFill="1" applyBorder="1" applyAlignment="1">
      <alignment horizontal="center" vertical="center"/>
    </xf>
    <xf numFmtId="0" fontId="0" fillId="29" borderId="30" xfId="0" applyFill="1" applyBorder="1" applyAlignment="1">
      <alignment horizontal="center" vertical="center"/>
    </xf>
    <xf numFmtId="0" fontId="0" fillId="29" borderId="0" xfId="0" applyFill="1" applyBorder="1" applyAlignment="1">
      <alignment horizontal="center"/>
    </xf>
    <xf numFmtId="0" fontId="0" fillId="29" borderId="30" xfId="0" applyFill="1" applyBorder="1" applyAlignment="1">
      <alignment horizontal="center"/>
    </xf>
    <xf numFmtId="0" fontId="125" fillId="0" borderId="0" xfId="0" applyFont="1" applyAlignment="1">
      <alignment horizontal="left" vertical="top"/>
    </xf>
    <xf numFmtId="0" fontId="125" fillId="0" borderId="0" xfId="0" applyFont="1" applyFill="1" applyAlignment="1">
      <alignment horizontal="left" vertical="top"/>
    </xf>
    <xf numFmtId="167" fontId="14" fillId="0" borderId="30" xfId="28" applyNumberFormat="1" applyFont="1" applyFill="1" applyBorder="1" applyAlignment="1">
      <alignment horizontal="center" vertical="center"/>
    </xf>
    <xf numFmtId="0" fontId="124" fillId="0" borderId="0" xfId="0" applyFont="1" applyFill="1"/>
    <xf numFmtId="0" fontId="17" fillId="0" borderId="45" xfId="0" applyFont="1" applyFill="1" applyBorder="1"/>
    <xf numFmtId="0" fontId="17" fillId="0" borderId="0" xfId="0" applyFont="1" applyFill="1" applyBorder="1" applyAlignment="1">
      <alignment wrapText="1"/>
    </xf>
    <xf numFmtId="0" fontId="123" fillId="0" borderId="30" xfId="0" applyFont="1" applyBorder="1" applyAlignment="1">
      <alignment horizontal="left" vertical="top"/>
    </xf>
    <xf numFmtId="0" fontId="17" fillId="0" borderId="31" xfId="0" applyFont="1" applyFill="1" applyBorder="1"/>
    <xf numFmtId="0" fontId="17" fillId="0" borderId="46" xfId="0" applyFont="1" applyBorder="1"/>
    <xf numFmtId="0" fontId="0" fillId="0" borderId="71" xfId="0" applyBorder="1"/>
    <xf numFmtId="0" fontId="17" fillId="0" borderId="70" xfId="0" applyFont="1" applyFill="1" applyBorder="1" applyAlignment="1">
      <alignment horizontal="left" vertical="top"/>
    </xf>
    <xf numFmtId="0" fontId="0" fillId="0" borderId="71" xfId="0" applyFill="1" applyBorder="1"/>
    <xf numFmtId="0" fontId="14" fillId="0" borderId="71" xfId="0" applyFont="1" applyFill="1" applyBorder="1" applyAlignment="1">
      <alignment horizontal="center" vertical="center"/>
    </xf>
    <xf numFmtId="0" fontId="14" fillId="0" borderId="71" xfId="0" applyFont="1" applyFill="1" applyBorder="1" applyAlignment="1">
      <alignment horizontal="center" vertical="center" wrapText="1"/>
    </xf>
    <xf numFmtId="0" fontId="0" fillId="0" borderId="0" xfId="0" applyFill="1" applyBorder="1" applyAlignment="1">
      <alignment horizontal="center"/>
    </xf>
    <xf numFmtId="0" fontId="0" fillId="67" borderId="0" xfId="0" applyFill="1" applyBorder="1" applyAlignment="1">
      <alignment horizontal="center" vertical="center"/>
    </xf>
    <xf numFmtId="165" fontId="0" fillId="0" borderId="0" xfId="42" applyNumberFormat="1" applyFont="1" applyFill="1" applyBorder="1" applyAlignment="1">
      <alignment horizontal="center"/>
    </xf>
    <xf numFmtId="165" fontId="0" fillId="0" borderId="0" xfId="42" applyNumberFormat="1" applyFont="1" applyBorder="1" applyAlignment="1">
      <alignment horizontal="center" vertical="center"/>
    </xf>
    <xf numFmtId="165" fontId="0" fillId="0" borderId="29" xfId="42" applyNumberFormat="1" applyFont="1" applyFill="1" applyBorder="1"/>
    <xf numFmtId="0" fontId="0" fillId="0" borderId="30" xfId="0" applyBorder="1"/>
    <xf numFmtId="165" fontId="0" fillId="0" borderId="30" xfId="42" applyNumberFormat="1" applyFont="1" applyFill="1" applyBorder="1" applyAlignment="1">
      <alignment horizontal="center"/>
    </xf>
    <xf numFmtId="0" fontId="0" fillId="0" borderId="30" xfId="0" applyFill="1" applyBorder="1" applyAlignment="1">
      <alignment horizontal="center"/>
    </xf>
    <xf numFmtId="165" fontId="0" fillId="0" borderId="30" xfId="42" applyNumberFormat="1" applyFont="1" applyBorder="1" applyAlignment="1">
      <alignment horizontal="center" vertical="center"/>
    </xf>
    <xf numFmtId="0" fontId="0" fillId="0" borderId="45" xfId="0" applyFill="1" applyBorder="1"/>
    <xf numFmtId="0" fontId="0" fillId="0" borderId="31" xfId="0" applyBorder="1"/>
    <xf numFmtId="0" fontId="0" fillId="0" borderId="65" xfId="0" applyBorder="1"/>
    <xf numFmtId="0" fontId="17" fillId="0" borderId="65" xfId="0" applyFont="1" applyFill="1" applyBorder="1"/>
    <xf numFmtId="0" fontId="42" fillId="0" borderId="40" xfId="0" applyFont="1" applyBorder="1" applyAlignment="1">
      <alignment horizontal="center" vertical="center"/>
    </xf>
    <xf numFmtId="0" fontId="42" fillId="0" borderId="41" xfId="0" applyFont="1" applyBorder="1" applyAlignment="1">
      <alignment horizontal="center" vertical="center"/>
    </xf>
    <xf numFmtId="0" fontId="42" fillId="0" borderId="0" xfId="0" applyFont="1" applyBorder="1" applyAlignment="1">
      <alignment horizontal="center" vertical="center"/>
    </xf>
    <xf numFmtId="0" fontId="17" fillId="0" borderId="71" xfId="0" applyFont="1" applyFill="1" applyBorder="1"/>
    <xf numFmtId="0" fontId="120" fillId="0" borderId="48" xfId="0" applyFont="1" applyBorder="1"/>
    <xf numFmtId="0" fontId="126" fillId="0" borderId="0" xfId="0" applyFont="1" applyBorder="1" applyAlignment="1">
      <alignment horizontal="center" vertical="center"/>
    </xf>
    <xf numFmtId="0" fontId="120" fillId="0" borderId="46" xfId="0" applyFont="1" applyBorder="1"/>
    <xf numFmtId="0" fontId="120" fillId="0" borderId="30" xfId="0" applyFont="1" applyBorder="1" applyAlignment="1">
      <alignment horizontal="center" vertical="center"/>
    </xf>
    <xf numFmtId="165" fontId="0" fillId="0" borderId="31" xfId="42" applyNumberFormat="1" applyFont="1" applyFill="1" applyBorder="1"/>
    <xf numFmtId="0" fontId="0" fillId="67" borderId="0" xfId="0" applyFill="1" applyBorder="1" applyAlignment="1">
      <alignment horizontal="center"/>
    </xf>
    <xf numFmtId="165" fontId="0" fillId="0" borderId="0" xfId="42" applyNumberFormat="1" applyFont="1" applyBorder="1" applyAlignment="1">
      <alignment horizontal="center"/>
    </xf>
    <xf numFmtId="165" fontId="0" fillId="0" borderId="0" xfId="42" applyNumberFormat="1" applyFont="1" applyBorder="1"/>
    <xf numFmtId="165" fontId="0" fillId="0" borderId="30" xfId="42" applyNumberFormat="1" applyFont="1" applyBorder="1" applyAlignment="1">
      <alignment horizontal="center"/>
    </xf>
    <xf numFmtId="165" fontId="0" fillId="0" borderId="30" xfId="42" applyNumberFormat="1" applyFont="1" applyBorder="1"/>
    <xf numFmtId="0" fontId="42" fillId="0" borderId="0" xfId="0" quotePrefix="1" applyFont="1" applyBorder="1" applyAlignment="1">
      <alignment horizontal="center" vertical="center"/>
    </xf>
    <xf numFmtId="0" fontId="0" fillId="67" borderId="29" xfId="0" applyFill="1" applyBorder="1" applyAlignment="1">
      <alignment horizontal="center"/>
    </xf>
    <xf numFmtId="165" fontId="0" fillId="0" borderId="29" xfId="42" applyNumberFormat="1" applyFont="1" applyFill="1" applyBorder="1" applyAlignment="1">
      <alignment horizontal="center"/>
    </xf>
    <xf numFmtId="0" fontId="17" fillId="0" borderId="43" xfId="0" applyFont="1" applyBorder="1" applyAlignment="1">
      <alignment horizontal="center" vertical="center"/>
    </xf>
    <xf numFmtId="0" fontId="0" fillId="67" borderId="29" xfId="0" applyFill="1" applyBorder="1" applyAlignment="1">
      <alignment horizontal="center" vertical="center"/>
    </xf>
    <xf numFmtId="165" fontId="0" fillId="0" borderId="29" xfId="42" applyNumberFormat="1" applyFont="1" applyFill="1" applyBorder="1" applyAlignment="1">
      <alignment horizontal="center" vertical="center"/>
    </xf>
    <xf numFmtId="0" fontId="0" fillId="67" borderId="45" xfId="0" applyFill="1" applyBorder="1"/>
    <xf numFmtId="0" fontId="0" fillId="0" borderId="29" xfId="0" applyBorder="1"/>
    <xf numFmtId="0" fontId="0" fillId="0" borderId="109" xfId="0" applyBorder="1" applyAlignment="1">
      <alignment horizontal="center" vertical="center"/>
    </xf>
    <xf numFmtId="0" fontId="0" fillId="0" borderId="38" xfId="0" applyBorder="1" applyAlignment="1">
      <alignment horizontal="center" vertical="center"/>
    </xf>
    <xf numFmtId="0" fontId="0" fillId="0" borderId="110" xfId="0" applyBorder="1"/>
    <xf numFmtId="0" fontId="0" fillId="0" borderId="78" xfId="0" applyBorder="1"/>
    <xf numFmtId="0" fontId="17" fillId="0" borderId="28" xfId="0" applyFont="1" applyBorder="1"/>
    <xf numFmtId="0" fontId="17" fillId="0" borderId="80" xfId="0" applyFont="1" applyBorder="1" applyAlignment="1">
      <alignment horizontal="center" vertical="center" wrapText="1"/>
    </xf>
    <xf numFmtId="0" fontId="17" fillId="0" borderId="103" xfId="0" applyFont="1" applyBorder="1" applyAlignment="1">
      <alignment horizontal="center" vertical="center" wrapText="1"/>
    </xf>
    <xf numFmtId="0" fontId="17" fillId="0" borderId="82" xfId="0" applyFont="1" applyBorder="1" applyAlignment="1">
      <alignment horizontal="center" vertical="center" wrapText="1"/>
    </xf>
    <xf numFmtId="0" fontId="17" fillId="0" borderId="65" xfId="0" applyFont="1" applyBorder="1"/>
    <xf numFmtId="0" fontId="17" fillId="0" borderId="22" xfId="0" applyFont="1" applyBorder="1" applyAlignment="1">
      <alignment horizontal="center" vertical="center" wrapText="1"/>
    </xf>
    <xf numFmtId="0" fontId="17" fillId="0" borderId="44" xfId="0" applyFont="1" applyBorder="1" applyAlignment="1">
      <alignment horizontal="center" vertical="center"/>
    </xf>
    <xf numFmtId="0" fontId="0" fillId="0" borderId="45" xfId="0" applyBorder="1"/>
    <xf numFmtId="0" fontId="0" fillId="0" borderId="43" xfId="0" applyBorder="1"/>
    <xf numFmtId="0" fontId="17" fillId="0" borderId="65" xfId="0" applyFont="1" applyBorder="1" applyAlignment="1">
      <alignment horizontal="center" vertical="center"/>
    </xf>
    <xf numFmtId="0" fontId="17" fillId="0" borderId="87" xfId="0" applyFont="1" applyBorder="1" applyAlignment="1">
      <alignment horizontal="center" vertical="center"/>
    </xf>
    <xf numFmtId="0" fontId="17" fillId="0" borderId="43" xfId="0" applyFont="1" applyFill="1" applyBorder="1" applyAlignment="1">
      <alignment horizontal="left" vertical="top"/>
    </xf>
    <xf numFmtId="0" fontId="42" fillId="0" borderId="48" xfId="0" applyFont="1" applyBorder="1" applyAlignment="1">
      <alignment horizontal="center" vertical="center"/>
    </xf>
    <xf numFmtId="0" fontId="42" fillId="0" borderId="70" xfId="0" applyFont="1" applyBorder="1" applyAlignment="1">
      <alignment horizontal="center" vertical="center"/>
    </xf>
    <xf numFmtId="0" fontId="17" fillId="0" borderId="38" xfId="0" applyFont="1" applyBorder="1"/>
    <xf numFmtId="0" fontId="0" fillId="0" borderId="41" xfId="0" applyBorder="1" applyAlignment="1">
      <alignment horizontal="center" vertical="center" wrapText="1"/>
    </xf>
    <xf numFmtId="0" fontId="0" fillId="0" borderId="46" xfId="0" applyBorder="1" applyAlignment="1">
      <alignment horizontal="center" vertical="center" wrapText="1"/>
    </xf>
    <xf numFmtId="165" fontId="0" fillId="0" borderId="31" xfId="42" applyNumberFormat="1" applyFont="1" applyFill="1" applyBorder="1" applyAlignment="1">
      <alignment horizontal="center" vertical="center"/>
    </xf>
    <xf numFmtId="0" fontId="17" fillId="0" borderId="40" xfId="0" applyFont="1" applyBorder="1" applyAlignment="1">
      <alignment horizontal="center" vertical="center"/>
    </xf>
    <xf numFmtId="0" fontId="120" fillId="0" borderId="0" xfId="0" applyFont="1" applyFill="1"/>
    <xf numFmtId="0" fontId="0" fillId="0" borderId="0" xfId="0" applyAlignment="1">
      <alignment horizontal="left" wrapText="1"/>
    </xf>
    <xf numFmtId="0" fontId="0" fillId="29" borderId="0" xfId="0" applyFill="1" applyAlignment="1">
      <alignment horizontal="center" vertical="top"/>
    </xf>
    <xf numFmtId="0" fontId="21" fillId="0" borderId="0" xfId="0" applyFont="1" applyAlignment="1" applyProtection="1">
      <alignment horizontal="center"/>
      <protection locked="0"/>
    </xf>
    <xf numFmtId="0" fontId="17" fillId="0" borderId="33" xfId="0" applyFont="1" applyBorder="1" applyAlignment="1" applyProtection="1">
      <alignment horizontal="left"/>
      <protection locked="0"/>
    </xf>
    <xf numFmtId="0" fontId="17" fillId="0" borderId="54" xfId="0" quotePrefix="1" applyFont="1" applyBorder="1" applyAlignment="1" applyProtection="1">
      <alignment horizontal="left"/>
      <protection locked="0"/>
    </xf>
    <xf numFmtId="0" fontId="16" fillId="0" borderId="0" xfId="46" applyFont="1" applyAlignment="1" applyProtection="1">
      <alignment horizontal="right" vertical="top"/>
      <protection locked="0"/>
    </xf>
    <xf numFmtId="0" fontId="17" fillId="63" borderId="17" xfId="46" applyFont="1" applyFill="1" applyBorder="1" applyAlignment="1" applyProtection="1">
      <alignment horizontal="center" vertical="center"/>
      <protection locked="0"/>
    </xf>
    <xf numFmtId="0" fontId="17" fillId="63" borderId="106" xfId="46" applyFont="1" applyFill="1" applyBorder="1" applyAlignment="1" applyProtection="1">
      <alignment horizontal="center" vertical="center"/>
      <protection locked="0"/>
    </xf>
    <xf numFmtId="0" fontId="17" fillId="0" borderId="70" xfId="46" applyFont="1" applyFill="1" applyBorder="1" applyAlignment="1" applyProtection="1">
      <alignment horizontal="center"/>
      <protection locked="0"/>
    </xf>
    <xf numFmtId="0" fontId="17" fillId="0" borderId="30" xfId="0" applyFont="1" applyBorder="1" applyAlignment="1" applyProtection="1">
      <alignment horizontal="center"/>
      <protection locked="0"/>
    </xf>
    <xf numFmtId="0" fontId="21" fillId="0" borderId="0" xfId="0" applyFont="1" applyBorder="1" applyAlignment="1" applyProtection="1">
      <alignment horizontal="center"/>
      <protection locked="0"/>
    </xf>
    <xf numFmtId="0" fontId="14" fillId="0" borderId="0" xfId="46" applyFont="1" applyAlignment="1" applyProtection="1">
      <alignment horizontal="left" vertical="center" wrapText="1"/>
      <protection locked="0"/>
    </xf>
    <xf numFmtId="0" fontId="96" fillId="0" borderId="0" xfId="46" applyFont="1" applyAlignment="1" applyProtection="1">
      <alignment horizontal="left" vertical="center" wrapText="1"/>
      <protection locked="0"/>
    </xf>
    <xf numFmtId="0" fontId="17" fillId="0" borderId="0" xfId="0" applyFont="1" applyAlignment="1">
      <alignment horizontal="right" vertical="top"/>
    </xf>
    <xf numFmtId="166" fontId="14" fillId="29" borderId="25" xfId="29" applyNumberFormat="1" applyFill="1" applyBorder="1" applyAlignment="1" applyProtection="1">
      <alignment horizontal="left" vertical="top" wrapText="1"/>
      <protection locked="0"/>
    </xf>
    <xf numFmtId="166" fontId="14" fillId="29" borderId="68" xfId="29" applyNumberFormat="1" applyFill="1" applyBorder="1" applyAlignment="1" applyProtection="1">
      <alignment horizontal="left" vertical="top" wrapText="1"/>
      <protection locked="0"/>
    </xf>
    <xf numFmtId="166" fontId="14" fillId="29" borderId="63" xfId="29" applyNumberFormat="1" applyFill="1" applyBorder="1" applyAlignment="1" applyProtection="1">
      <alignment horizontal="left" vertical="top" wrapText="1"/>
      <protection locked="0"/>
    </xf>
    <xf numFmtId="0" fontId="22" fillId="0" borderId="0" xfId="0" quotePrefix="1" applyFont="1" applyAlignment="1" applyProtection="1">
      <alignment horizontal="center"/>
      <protection locked="0"/>
    </xf>
    <xf numFmtId="0" fontId="17" fillId="0" borderId="71" xfId="46" applyFont="1" applyFill="1" applyBorder="1" applyAlignment="1" applyProtection="1">
      <alignment horizontal="center"/>
      <protection locked="0"/>
    </xf>
    <xf numFmtId="0" fontId="0" fillId="28" borderId="170" xfId="0" applyNumberFormat="1" applyFill="1" applyBorder="1" applyAlignment="1" applyProtection="1">
      <alignment vertical="center"/>
      <protection locked="0"/>
    </xf>
    <xf numFmtId="0" fontId="0" fillId="0" borderId="171" xfId="0" applyBorder="1"/>
    <xf numFmtId="0" fontId="98" fillId="0" borderId="0" xfId="0" applyFont="1"/>
    <xf numFmtId="0" fontId="48" fillId="0" borderId="42" xfId="93" applyFont="1" applyBorder="1" applyAlignment="1" applyProtection="1">
      <alignment horizontal="center" vertical="center"/>
      <protection locked="0"/>
    </xf>
    <xf numFmtId="0" fontId="17" fillId="64" borderId="43" xfId="46" applyFont="1" applyFill="1" applyBorder="1" applyAlignment="1" applyProtection="1">
      <alignment horizontal="center" vertical="center" wrapText="1"/>
      <protection locked="0"/>
    </xf>
    <xf numFmtId="0" fontId="17" fillId="0" borderId="30" xfId="0" applyFont="1" applyBorder="1" applyAlignment="1">
      <alignment horizontal="center" vertical="center" wrapText="1"/>
    </xf>
    <xf numFmtId="0" fontId="17" fillId="0" borderId="31" xfId="0" applyFont="1" applyBorder="1" applyAlignment="1">
      <alignment horizontal="center" vertical="center" wrapText="1"/>
    </xf>
    <xf numFmtId="0" fontId="17" fillId="0" borderId="65" xfId="0" applyFont="1" applyBorder="1" applyAlignment="1">
      <alignment horizontal="center" vertical="center"/>
    </xf>
    <xf numFmtId="0" fontId="0" fillId="0" borderId="0" xfId="0" applyAlignment="1" applyProtection="1">
      <alignment horizontal="right"/>
      <protection locked="0"/>
    </xf>
    <xf numFmtId="0" fontId="17" fillId="0" borderId="0" xfId="0" applyFont="1" applyAlignment="1" applyProtection="1">
      <alignment horizontal="right" vertical="top"/>
      <protection locked="0"/>
    </xf>
    <xf numFmtId="0" fontId="17" fillId="64" borderId="74" xfId="46" applyFont="1" applyFill="1" applyBorder="1" applyAlignment="1" applyProtection="1">
      <alignment horizontal="center" vertical="center" wrapText="1"/>
      <protection locked="0"/>
    </xf>
    <xf numFmtId="0" fontId="14" fillId="0" borderId="0" xfId="46" applyAlignment="1" applyProtection="1">
      <alignment horizontal="right" vertical="top"/>
      <protection locked="0"/>
    </xf>
    <xf numFmtId="166" fontId="0" fillId="29" borderId="76" xfId="0" applyNumberFormat="1" applyFill="1" applyBorder="1" applyAlignment="1" applyProtection="1">
      <alignment horizontal="right" vertical="center"/>
      <protection locked="0"/>
    </xf>
    <xf numFmtId="166" fontId="0" fillId="29" borderId="27" xfId="0" applyNumberFormat="1" applyFill="1" applyBorder="1" applyAlignment="1" applyProtection="1">
      <alignment horizontal="right" vertical="center"/>
      <protection locked="0"/>
    </xf>
    <xf numFmtId="166" fontId="0" fillId="29" borderId="28" xfId="0" applyNumberFormat="1" applyFill="1" applyBorder="1" applyAlignment="1" applyProtection="1">
      <alignment horizontal="right" vertical="center"/>
      <protection locked="0"/>
    </xf>
    <xf numFmtId="0" fontId="0" fillId="29" borderId="10" xfId="0" applyFill="1" applyBorder="1" applyAlignment="1" applyProtection="1">
      <alignment wrapText="1"/>
      <protection locked="0"/>
    </xf>
    <xf numFmtId="0" fontId="14" fillId="29" borderId="10" xfId="0" applyFont="1" applyFill="1" applyBorder="1" applyProtection="1">
      <protection locked="0"/>
    </xf>
    <xf numFmtId="0" fontId="14" fillId="29" borderId="10" xfId="0" applyFont="1" applyFill="1" applyBorder="1" applyAlignment="1" applyProtection="1">
      <alignment wrapText="1"/>
      <protection locked="0"/>
    </xf>
    <xf numFmtId="0" fontId="21" fillId="0" borderId="0" xfId="0" applyFont="1" applyAlignment="1" applyProtection="1">
      <alignment horizontal="center"/>
      <protection locked="0"/>
    </xf>
    <xf numFmtId="0" fontId="14" fillId="0" borderId="0" xfId="0" applyFont="1" applyAlignment="1" applyProtection="1">
      <alignment vertical="top" wrapText="1"/>
      <protection locked="0"/>
    </xf>
    <xf numFmtId="0" fontId="17" fillId="64" borderId="11" xfId="0" applyFont="1" applyFill="1" applyBorder="1" applyAlignment="1" applyProtection="1">
      <alignment horizontal="center" vertical="center" wrapText="1"/>
      <protection locked="0"/>
    </xf>
    <xf numFmtId="0" fontId="14" fillId="0" borderId="10" xfId="46" applyBorder="1" applyAlignment="1" applyProtection="1">
      <alignment horizontal="left" vertical="center"/>
      <protection locked="0"/>
    </xf>
    <xf numFmtId="0" fontId="14" fillId="0" borderId="10" xfId="46" applyBorder="1" applyAlignment="1" applyProtection="1">
      <alignment horizontal="center" vertical="center"/>
      <protection locked="0"/>
    </xf>
    <xf numFmtId="0" fontId="14" fillId="0" borderId="0" xfId="46" applyAlignment="1" applyProtection="1">
      <alignment horizontal="center"/>
      <protection locked="0"/>
    </xf>
    <xf numFmtId="0" fontId="14" fillId="0" borderId="0" xfId="46" applyAlignment="1" applyProtection="1">
      <protection locked="0"/>
    </xf>
    <xf numFmtId="166" fontId="0" fillId="0" borderId="0" xfId="29" applyNumberFormat="1" applyFont="1" applyBorder="1" applyProtection="1">
      <protection locked="0"/>
    </xf>
    <xf numFmtId="165" fontId="2" fillId="29" borderId="10" xfId="42" applyNumberFormat="1" applyFont="1" applyFill="1" applyBorder="1" applyAlignment="1" applyProtection="1">
      <alignment horizontal="center" vertical="center"/>
      <protection locked="0"/>
    </xf>
    <xf numFmtId="0" fontId="17" fillId="0" borderId="12" xfId="46" applyFont="1" applyBorder="1" applyAlignment="1" applyProtection="1">
      <alignment horizontal="center" vertical="center"/>
      <protection locked="0"/>
    </xf>
    <xf numFmtId="0" fontId="21" fillId="0" borderId="0" xfId="0" applyFont="1" applyAlignment="1" applyProtection="1">
      <alignment horizontal="center"/>
      <protection locked="0"/>
    </xf>
    <xf numFmtId="0" fontId="14" fillId="0" borderId="0" xfId="46" applyAlignment="1" applyProtection="1">
      <alignment horizontal="center"/>
      <protection locked="0"/>
    </xf>
    <xf numFmtId="0" fontId="17" fillId="0" borderId="0" xfId="46" applyFont="1" applyAlignment="1" applyProtection="1">
      <alignment horizontal="center" vertical="center"/>
      <protection locked="0"/>
    </xf>
    <xf numFmtId="0" fontId="17" fillId="0" borderId="0" xfId="0" applyFont="1" applyAlignment="1" applyProtection="1">
      <alignment horizontal="center" vertical="center"/>
      <protection locked="0"/>
    </xf>
    <xf numFmtId="166" fontId="14" fillId="29" borderId="10" xfId="29" applyNumberFormat="1" applyFont="1" applyFill="1" applyBorder="1" applyProtection="1">
      <protection locked="0"/>
    </xf>
    <xf numFmtId="0" fontId="17" fillId="29" borderId="27" xfId="0" applyFont="1" applyFill="1" applyBorder="1" applyAlignment="1" applyProtection="1">
      <alignment horizontal="center"/>
      <protection locked="0"/>
    </xf>
    <xf numFmtId="0" fontId="14" fillId="29" borderId="90" xfId="0" applyFont="1" applyFill="1" applyBorder="1" applyProtection="1">
      <protection locked="0"/>
    </xf>
    <xf numFmtId="166" fontId="0" fillId="29" borderId="68" xfId="29" applyNumberFormat="1" applyFont="1" applyFill="1" applyBorder="1" applyProtection="1">
      <protection locked="0"/>
    </xf>
    <xf numFmtId="0" fontId="14" fillId="29" borderId="72" xfId="0" applyFont="1" applyFill="1" applyBorder="1" applyProtection="1">
      <protection locked="0"/>
    </xf>
    <xf numFmtId="44" fontId="0" fillId="0" borderId="0" xfId="0" applyNumberFormat="1" applyBorder="1" applyProtection="1">
      <protection locked="0"/>
    </xf>
    <xf numFmtId="171" fontId="14" fillId="29" borderId="10" xfId="0" quotePrefix="1" applyNumberFormat="1" applyFont="1" applyFill="1" applyBorder="1" applyProtection="1">
      <protection locked="0"/>
    </xf>
    <xf numFmtId="0" fontId="17" fillId="29" borderId="27" xfId="0" applyFont="1" applyFill="1" applyBorder="1" applyAlignment="1">
      <alignment horizontal="center"/>
    </xf>
    <xf numFmtId="0" fontId="17" fillId="29" borderId="10" xfId="0" applyFont="1" applyFill="1" applyBorder="1"/>
    <xf numFmtId="166" fontId="0" fillId="29" borderId="10" xfId="0" applyNumberFormat="1" applyFill="1" applyBorder="1" applyProtection="1">
      <protection locked="0"/>
    </xf>
    <xf numFmtId="166" fontId="0" fillId="29" borderId="36" xfId="0" applyNumberFormat="1" applyFill="1" applyBorder="1" applyProtection="1">
      <protection locked="0"/>
    </xf>
    <xf numFmtId="0" fontId="14" fillId="0" borderId="0" xfId="46" applyAlignment="1" applyProtection="1">
      <alignment horizontal="center"/>
      <protection locked="0"/>
    </xf>
    <xf numFmtId="0" fontId="14" fillId="0" borderId="10" xfId="46" applyBorder="1" applyAlignment="1" applyProtection="1">
      <alignment horizontal="left" vertical="center"/>
      <protection locked="0"/>
    </xf>
    <xf numFmtId="0" fontId="14" fillId="0" borderId="10" xfId="46" applyBorder="1" applyAlignment="1" applyProtection="1">
      <alignment horizontal="center" vertical="center"/>
      <protection locked="0"/>
    </xf>
    <xf numFmtId="0" fontId="14" fillId="0" borderId="0" xfId="46" applyAlignment="1" applyProtection="1">
      <alignment horizontal="center"/>
      <protection locked="0"/>
    </xf>
    <xf numFmtId="0" fontId="14" fillId="0" borderId="0" xfId="46" applyAlignment="1" applyProtection="1">
      <protection locked="0"/>
    </xf>
    <xf numFmtId="0" fontId="14" fillId="0" borderId="10" xfId="46" applyBorder="1" applyAlignment="1" applyProtection="1">
      <alignment horizontal="center" vertical="center"/>
      <protection locked="0"/>
    </xf>
    <xf numFmtId="0" fontId="14" fillId="0" borderId="10" xfId="46" applyBorder="1" applyAlignment="1" applyProtection="1">
      <alignment horizontal="left" vertical="center"/>
      <protection locked="0"/>
    </xf>
    <xf numFmtId="0" fontId="14" fillId="0" borderId="27" xfId="46" applyBorder="1" applyAlignment="1" applyProtection="1">
      <alignment horizontal="center" vertical="center"/>
      <protection locked="0"/>
    </xf>
    <xf numFmtId="0" fontId="14" fillId="0" borderId="0" xfId="46" applyAlignment="1" applyProtection="1">
      <alignment horizontal="center"/>
      <protection locked="0"/>
    </xf>
    <xf numFmtId="0" fontId="14" fillId="0" borderId="0" xfId="46" applyAlignment="1" applyProtection="1">
      <protection locked="0"/>
    </xf>
    <xf numFmtId="0" fontId="21" fillId="0" borderId="0" xfId="46" applyFont="1" applyAlignment="1" applyProtection="1">
      <alignment horizontal="center"/>
      <protection locked="0"/>
    </xf>
    <xf numFmtId="0" fontId="14" fillId="0" borderId="10" xfId="46" applyFont="1" applyBorder="1" applyAlignment="1" applyProtection="1">
      <alignment horizontal="left" vertical="center"/>
      <protection locked="0"/>
    </xf>
    <xf numFmtId="0" fontId="14" fillId="0" borderId="10" xfId="46" applyBorder="1" applyAlignment="1" applyProtection="1">
      <alignment horizontal="left" vertical="center"/>
      <protection locked="0"/>
    </xf>
    <xf numFmtId="0" fontId="14" fillId="0" borderId="27" xfId="46" applyBorder="1" applyAlignment="1" applyProtection="1">
      <alignment horizontal="center" vertical="center"/>
      <protection locked="0"/>
    </xf>
    <xf numFmtId="3" fontId="0" fillId="65" borderId="10" xfId="29" applyNumberFormat="1" applyFont="1" applyFill="1" applyBorder="1" applyProtection="1">
      <protection locked="0"/>
    </xf>
    <xf numFmtId="0" fontId="83" fillId="0" borderId="0" xfId="0" applyFont="1" applyProtection="1">
      <protection locked="0"/>
    </xf>
    <xf numFmtId="167" fontId="0" fillId="0" borderId="10" xfId="28" applyNumberFormat="1" applyFont="1" applyBorder="1"/>
    <xf numFmtId="43" fontId="17" fillId="0" borderId="10" xfId="28" applyFont="1" applyFill="1" applyBorder="1" applyProtection="1">
      <protection locked="0"/>
    </xf>
    <xf numFmtId="43" fontId="112" fillId="0" borderId="31" xfId="127" applyNumberFormat="1" applyFont="1" applyBorder="1" applyProtection="1">
      <protection locked="0"/>
    </xf>
    <xf numFmtId="0" fontId="17" fillId="0" borderId="30" xfId="0" applyFont="1" applyBorder="1" applyAlignment="1">
      <alignment horizontal="center" vertical="center" wrapText="1"/>
    </xf>
    <xf numFmtId="0" fontId="17" fillId="0" borderId="31" xfId="0" applyFont="1" applyBorder="1" applyAlignment="1">
      <alignment horizontal="center" vertical="center" wrapText="1"/>
    </xf>
    <xf numFmtId="0" fontId="0" fillId="67" borderId="43" xfId="0" applyFill="1" applyBorder="1"/>
    <xf numFmtId="167" fontId="14" fillId="29" borderId="40" xfId="28" applyNumberFormat="1" applyFont="1" applyFill="1" applyBorder="1" applyAlignment="1">
      <alignment horizontal="center" vertical="center"/>
    </xf>
    <xf numFmtId="3" fontId="0" fillId="67" borderId="29" xfId="0" applyNumberFormat="1" applyFill="1" applyBorder="1"/>
    <xf numFmtId="167" fontId="0" fillId="0" borderId="110" xfId="28" applyNumberFormat="1" applyFont="1" applyBorder="1"/>
    <xf numFmtId="0" fontId="0" fillId="0" borderId="48" xfId="0" applyBorder="1" applyAlignment="1">
      <alignment horizontal="center" vertical="center"/>
    </xf>
    <xf numFmtId="167" fontId="0" fillId="0" borderId="0" xfId="28" applyNumberFormat="1" applyFont="1" applyBorder="1"/>
    <xf numFmtId="167" fontId="0" fillId="0" borderId="30" xfId="28" applyNumberFormat="1" applyFont="1" applyBorder="1"/>
    <xf numFmtId="0" fontId="0" fillId="0" borderId="93" xfId="0" applyBorder="1" applyAlignment="1">
      <alignment horizontal="center" vertical="center"/>
    </xf>
    <xf numFmtId="3" fontId="14" fillId="29" borderId="0" xfId="0" applyNumberFormat="1" applyFont="1" applyFill="1" applyBorder="1" applyAlignment="1">
      <alignment horizontal="center" vertical="center"/>
    </xf>
    <xf numFmtId="3" fontId="0" fillId="29" borderId="0" xfId="0" applyNumberFormat="1" applyFill="1" applyBorder="1" applyAlignment="1">
      <alignment horizontal="center"/>
    </xf>
    <xf numFmtId="3" fontId="0" fillId="29" borderId="30" xfId="0" applyNumberFormat="1" applyFill="1" applyBorder="1" applyAlignment="1">
      <alignment horizontal="center"/>
    </xf>
    <xf numFmtId="167" fontId="0" fillId="0" borderId="48" xfId="28" applyNumberFormat="1" applyFont="1" applyBorder="1"/>
    <xf numFmtId="167" fontId="0" fillId="0" borderId="40" xfId="28" applyNumberFormat="1" applyFont="1" applyBorder="1"/>
    <xf numFmtId="167" fontId="0" fillId="0" borderId="46" xfId="28" applyNumberFormat="1" applyFont="1" applyBorder="1"/>
    <xf numFmtId="167" fontId="0" fillId="0" borderId="41" xfId="28" applyNumberFormat="1" applyFont="1" applyBorder="1"/>
    <xf numFmtId="0" fontId="0" fillId="0" borderId="70" xfId="0" applyBorder="1" applyAlignment="1">
      <alignment horizontal="center" vertical="center"/>
    </xf>
    <xf numFmtId="167" fontId="0" fillId="0" borderId="43" xfId="28" applyNumberFormat="1" applyFont="1" applyBorder="1"/>
    <xf numFmtId="3" fontId="14" fillId="29" borderId="30" xfId="0" applyNumberFormat="1" applyFont="1" applyFill="1" applyBorder="1" applyAlignment="1">
      <alignment horizontal="center" vertical="center"/>
    </xf>
    <xf numFmtId="0" fontId="17" fillId="29" borderId="15" xfId="0" applyFont="1" applyFill="1" applyBorder="1" applyProtection="1">
      <protection locked="0"/>
    </xf>
    <xf numFmtId="0" fontId="17" fillId="29" borderId="18" xfId="0" applyFont="1" applyFill="1" applyBorder="1" applyProtection="1">
      <protection locked="0"/>
    </xf>
    <xf numFmtId="0" fontId="17" fillId="29" borderId="16" xfId="0" applyFont="1" applyFill="1" applyBorder="1" applyAlignment="1" applyProtection="1">
      <alignment wrapText="1"/>
      <protection locked="0"/>
    </xf>
    <xf numFmtId="0" fontId="17" fillId="0" borderId="50" xfId="0" applyFont="1" applyFill="1" applyBorder="1" applyAlignment="1" applyProtection="1">
      <alignment horizontal="center" wrapText="1"/>
      <protection locked="0"/>
    </xf>
    <xf numFmtId="167" fontId="17" fillId="29" borderId="15" xfId="28" applyNumberFormat="1" applyFont="1" applyFill="1" applyBorder="1" applyProtection="1">
      <protection locked="0"/>
    </xf>
    <xf numFmtId="167" fontId="17" fillId="29" borderId="33" xfId="28" applyNumberFormat="1" applyFont="1" applyFill="1" applyBorder="1" applyProtection="1">
      <protection locked="0"/>
    </xf>
    <xf numFmtId="167" fontId="17" fillId="29" borderId="33" xfId="28" applyNumberFormat="1" applyFont="1" applyFill="1" applyBorder="1" applyAlignment="1" applyProtection="1">
      <alignment wrapText="1"/>
      <protection locked="0"/>
    </xf>
    <xf numFmtId="0" fontId="56" fillId="0" borderId="0" xfId="0" applyFont="1" applyAlignment="1" applyProtection="1">
      <alignment horizontal="right" vertical="center" wrapText="1"/>
    </xf>
    <xf numFmtId="0" fontId="56" fillId="0" borderId="154" xfId="0" applyFont="1" applyBorder="1" applyAlignment="1" applyProtection="1">
      <alignment horizontal="right" vertical="center" wrapText="1"/>
    </xf>
    <xf numFmtId="0" fontId="0" fillId="0" borderId="0" xfId="0" applyAlignment="1">
      <alignment horizontal="left"/>
    </xf>
    <xf numFmtId="0" fontId="14" fillId="0" borderId="0" xfId="0" applyFont="1" applyAlignment="1">
      <alignment horizontal="left" wrapText="1"/>
    </xf>
    <xf numFmtId="0" fontId="0" fillId="0" borderId="0" xfId="0" applyAlignment="1">
      <alignment horizontal="left" wrapText="1"/>
    </xf>
    <xf numFmtId="0" fontId="37" fillId="0" borderId="48" xfId="0" applyFont="1" applyBorder="1" applyAlignment="1">
      <alignment horizontal="left" vertical="top" wrapText="1"/>
    </xf>
    <xf numFmtId="0" fontId="37" fillId="0" borderId="0" xfId="0" applyFont="1" applyBorder="1" applyAlignment="1">
      <alignment horizontal="left" vertical="top" wrapText="1"/>
    </xf>
    <xf numFmtId="0" fontId="0" fillId="28" borderId="94" xfId="0" applyNumberFormat="1" applyFill="1" applyBorder="1" applyAlignment="1" applyProtection="1">
      <alignment horizontal="center" vertical="center"/>
      <protection locked="0"/>
    </xf>
    <xf numFmtId="0" fontId="0" fillId="28" borderId="95" xfId="0" applyNumberFormat="1" applyFill="1" applyBorder="1" applyAlignment="1" applyProtection="1">
      <alignment horizontal="center" vertical="center"/>
      <protection locked="0"/>
    </xf>
    <xf numFmtId="0" fontId="0" fillId="28" borderId="96" xfId="0" applyNumberFormat="1" applyFill="1" applyBorder="1" applyAlignment="1" applyProtection="1">
      <alignment horizontal="center" vertical="center"/>
      <protection locked="0"/>
    </xf>
    <xf numFmtId="0" fontId="56" fillId="0" borderId="0" xfId="0" applyFont="1" applyAlignment="1" applyProtection="1">
      <alignment horizontal="right" vertical="center" wrapText="1" indent="1"/>
    </xf>
    <xf numFmtId="0" fontId="56" fillId="0" borderId="0" xfId="0" applyFont="1" applyBorder="1" applyAlignment="1" applyProtection="1">
      <alignment horizontal="center" vertical="top" wrapText="1"/>
    </xf>
    <xf numFmtId="0" fontId="56" fillId="0" borderId="154" xfId="0" applyFont="1" applyBorder="1" applyAlignment="1" applyProtection="1">
      <alignment horizontal="center" vertical="top" wrapText="1"/>
    </xf>
    <xf numFmtId="0" fontId="0" fillId="29" borderId="97" xfId="0" applyFill="1" applyBorder="1" applyAlignment="1" applyProtection="1">
      <alignment vertical="center"/>
      <protection locked="0"/>
    </xf>
    <xf numFmtId="0" fontId="0" fillId="29" borderId="98" xfId="0" applyFill="1" applyBorder="1" applyAlignment="1" applyProtection="1">
      <alignment vertical="center"/>
      <protection locked="0"/>
    </xf>
    <xf numFmtId="0" fontId="0" fillId="29" borderId="99" xfId="0" applyFill="1" applyBorder="1" applyAlignment="1" applyProtection="1">
      <alignment vertical="center"/>
      <protection locked="0"/>
    </xf>
    <xf numFmtId="0" fontId="0" fillId="28" borderId="94" xfId="0" applyFill="1" applyBorder="1" applyAlignment="1" applyProtection="1">
      <alignment horizontal="left" vertical="center" wrapText="1"/>
      <protection locked="0"/>
    </xf>
    <xf numFmtId="0" fontId="0" fillId="28" borderId="95" xfId="0" applyFill="1" applyBorder="1" applyAlignment="1" applyProtection="1">
      <alignment horizontal="left" vertical="center" wrapText="1"/>
      <protection locked="0"/>
    </xf>
    <xf numFmtId="0" fontId="0" fillId="28" borderId="96" xfId="0" applyFill="1" applyBorder="1" applyAlignment="1" applyProtection="1">
      <alignment horizontal="left" vertical="center" wrapText="1"/>
      <protection locked="0"/>
    </xf>
    <xf numFmtId="0" fontId="14" fillId="29" borderId="94" xfId="0" applyFont="1" applyFill="1" applyBorder="1" applyAlignment="1" applyProtection="1">
      <alignment vertical="center"/>
      <protection locked="0"/>
    </xf>
    <xf numFmtId="0" fontId="0" fillId="29" borderId="95" xfId="0" applyFill="1" applyBorder="1" applyAlignment="1" applyProtection="1">
      <alignment vertical="center"/>
      <protection locked="0"/>
    </xf>
    <xf numFmtId="0" fontId="0" fillId="29" borderId="96" xfId="0" applyFill="1" applyBorder="1" applyAlignment="1" applyProtection="1">
      <alignment vertical="center"/>
      <protection locked="0"/>
    </xf>
    <xf numFmtId="0" fontId="0" fillId="29" borderId="94" xfId="0" applyFill="1" applyBorder="1" applyAlignment="1" applyProtection="1">
      <alignment vertical="center"/>
      <protection locked="0"/>
    </xf>
    <xf numFmtId="0" fontId="0" fillId="64" borderId="94" xfId="0" applyNumberFormat="1" applyFill="1" applyBorder="1" applyAlignment="1" applyProtection="1">
      <alignment horizontal="center" vertical="center"/>
      <protection locked="0"/>
    </xf>
    <xf numFmtId="0" fontId="0" fillId="64" borderId="95" xfId="0" applyNumberFormat="1" applyFill="1" applyBorder="1" applyAlignment="1" applyProtection="1">
      <alignment horizontal="center" vertical="center"/>
      <protection locked="0"/>
    </xf>
    <xf numFmtId="0" fontId="0" fillId="64" borderId="96" xfId="0" applyNumberFormat="1" applyFill="1" applyBorder="1" applyAlignment="1" applyProtection="1">
      <alignment horizontal="center" vertical="center"/>
      <protection locked="0"/>
    </xf>
    <xf numFmtId="0" fontId="14" fillId="0" borderId="0" xfId="0" applyFont="1" applyAlignment="1">
      <alignment horizontal="left" vertical="top" wrapText="1"/>
    </xf>
    <xf numFmtId="0" fontId="14" fillId="0" borderId="0" xfId="0" applyFont="1" applyAlignment="1" applyProtection="1">
      <alignment horizontal="left" wrapText="1"/>
      <protection locked="0"/>
    </xf>
    <xf numFmtId="0" fontId="0" fillId="0" borderId="0" xfId="0" applyAlignment="1" applyProtection="1">
      <alignment horizontal="left" wrapText="1"/>
      <protection locked="0"/>
    </xf>
    <xf numFmtId="0" fontId="21" fillId="0" borderId="0" xfId="0" applyFont="1" applyAlignment="1" applyProtection="1">
      <alignment horizontal="center"/>
      <protection locked="0"/>
    </xf>
    <xf numFmtId="0" fontId="21" fillId="0" borderId="0" xfId="0" applyFont="1" applyAlignment="1" applyProtection="1">
      <alignment horizontal="center" vertical="center"/>
      <protection locked="0"/>
    </xf>
    <xf numFmtId="0" fontId="98" fillId="0" borderId="0" xfId="0" applyFont="1" applyAlignment="1" applyProtection="1">
      <alignment vertical="center" wrapText="1"/>
      <protection locked="0"/>
    </xf>
    <xf numFmtId="0" fontId="0" fillId="0" borderId="0" xfId="0" applyAlignment="1" applyProtection="1">
      <alignment wrapText="1"/>
      <protection locked="0"/>
    </xf>
    <xf numFmtId="0" fontId="17" fillId="0" borderId="0" xfId="0" applyFont="1" applyAlignment="1">
      <alignment horizontal="left" vertical="top"/>
    </xf>
    <xf numFmtId="0" fontId="0" fillId="29" borderId="0" xfId="0" applyFill="1" applyAlignment="1">
      <alignment horizontal="left" vertical="top" wrapText="1"/>
    </xf>
    <xf numFmtId="0" fontId="21" fillId="0" borderId="0" xfId="46" applyFont="1" applyAlignment="1">
      <alignment horizontal="center"/>
    </xf>
    <xf numFmtId="0" fontId="21" fillId="0" borderId="0" xfId="0" applyFont="1" applyAlignment="1">
      <alignment horizontal="center" vertical="center"/>
    </xf>
    <xf numFmtId="0" fontId="17" fillId="0" borderId="0" xfId="0" applyFont="1" applyAlignment="1" applyProtection="1">
      <alignment horizontal="left" wrapText="1"/>
      <protection locked="0"/>
    </xf>
    <xf numFmtId="0" fontId="21" fillId="0" borderId="0" xfId="0" applyFont="1" applyAlignment="1" applyProtection="1">
      <alignment horizontal="center" vertical="top"/>
      <protection locked="0"/>
    </xf>
    <xf numFmtId="0" fontId="14" fillId="0" borderId="0" xfId="0" applyFont="1" applyAlignment="1" applyProtection="1">
      <alignment horizontal="left" vertical="top" wrapText="1"/>
      <protection locked="0"/>
    </xf>
    <xf numFmtId="0" fontId="37" fillId="0" borderId="0" xfId="0" applyFont="1" applyAlignment="1" applyProtection="1">
      <alignment horizontal="left" vertical="top" wrapText="1"/>
      <protection locked="0"/>
    </xf>
    <xf numFmtId="0" fontId="109" fillId="29" borderId="106" xfId="0" applyFont="1" applyFill="1" applyBorder="1" applyAlignment="1" applyProtection="1">
      <alignment horizontal="left" vertical="top"/>
      <protection locked="0"/>
    </xf>
    <xf numFmtId="0" fontId="109" fillId="29" borderId="83" xfId="0" applyFont="1" applyFill="1" applyBorder="1" applyAlignment="1" applyProtection="1">
      <alignment horizontal="left" vertical="top"/>
      <protection locked="0"/>
    </xf>
    <xf numFmtId="0" fontId="109" fillId="29" borderId="18" xfId="0" applyFont="1" applyFill="1" applyBorder="1" applyAlignment="1" applyProtection="1">
      <alignment horizontal="left" vertical="top"/>
      <protection locked="0"/>
    </xf>
    <xf numFmtId="0" fontId="109" fillId="29" borderId="77" xfId="0" applyFont="1" applyFill="1" applyBorder="1" applyAlignment="1" applyProtection="1">
      <alignment horizontal="left" vertical="top"/>
      <protection locked="0"/>
    </xf>
    <xf numFmtId="0" fontId="109" fillId="29" borderId="12" xfId="0" applyFont="1" applyFill="1" applyBorder="1" applyAlignment="1" applyProtection="1">
      <alignment horizontal="left" vertical="top"/>
      <protection locked="0"/>
    </xf>
    <xf numFmtId="0" fontId="109" fillId="29" borderId="16" xfId="0" applyFont="1" applyFill="1" applyBorder="1" applyAlignment="1" applyProtection="1">
      <alignment horizontal="left" vertical="top"/>
      <protection locked="0"/>
    </xf>
    <xf numFmtId="0" fontId="77" fillId="0" borderId="75" xfId="0" applyFont="1" applyBorder="1" applyProtection="1">
      <protection locked="0"/>
    </xf>
    <xf numFmtId="0" fontId="77" fillId="0" borderId="13" xfId="0" applyFont="1" applyBorder="1" applyProtection="1">
      <protection locked="0"/>
    </xf>
    <xf numFmtId="0" fontId="77" fillId="0" borderId="33" xfId="0" applyFont="1" applyBorder="1" applyProtection="1">
      <protection locked="0"/>
    </xf>
    <xf numFmtId="0" fontId="108" fillId="0" borderId="75" xfId="0" applyFont="1" applyBorder="1" applyProtection="1">
      <protection locked="0"/>
    </xf>
    <xf numFmtId="0" fontId="108" fillId="0" borderId="13" xfId="0" applyFont="1" applyBorder="1" applyProtection="1">
      <protection locked="0"/>
    </xf>
    <xf numFmtId="0" fontId="108" fillId="0" borderId="33" xfId="0" applyFont="1" applyBorder="1" applyProtection="1">
      <protection locked="0"/>
    </xf>
    <xf numFmtId="0" fontId="14" fillId="0" borderId="0" xfId="0" applyFont="1" applyAlignment="1" applyProtection="1">
      <alignment horizontal="left" vertical="center"/>
      <protection locked="0"/>
    </xf>
    <xf numFmtId="0" fontId="42" fillId="0" borderId="87" xfId="0" applyFont="1" applyFill="1" applyBorder="1" applyAlignment="1" applyProtection="1">
      <alignment horizontal="center" vertical="center" wrapText="1"/>
      <protection locked="0"/>
    </xf>
    <xf numFmtId="0" fontId="42" fillId="0" borderId="65" xfId="0" applyFont="1" applyFill="1" applyBorder="1" applyAlignment="1" applyProtection="1">
      <alignment horizontal="center" vertical="center" wrapText="1"/>
      <protection locked="0"/>
    </xf>
    <xf numFmtId="0" fontId="42" fillId="0" borderId="145" xfId="0" applyFont="1" applyFill="1" applyBorder="1" applyAlignment="1" applyProtection="1">
      <alignment horizontal="center" vertical="center" wrapText="1"/>
      <protection locked="0"/>
    </xf>
    <xf numFmtId="0" fontId="21" fillId="0" borderId="138" xfId="0" applyFont="1" applyFill="1" applyBorder="1" applyAlignment="1" applyProtection="1">
      <alignment horizontal="center" vertical="center" wrapText="1"/>
      <protection locked="0"/>
    </xf>
    <xf numFmtId="0" fontId="21" fillId="0" borderId="143" xfId="0" applyFont="1" applyFill="1" applyBorder="1" applyAlignment="1" applyProtection="1">
      <alignment horizontal="center" vertical="center" wrapText="1"/>
      <protection locked="0"/>
    </xf>
    <xf numFmtId="0" fontId="14" fillId="0" borderId="144" xfId="0" applyFont="1" applyFill="1" applyBorder="1" applyAlignment="1" applyProtection="1">
      <alignment vertical="center" wrapText="1"/>
      <protection locked="0"/>
    </xf>
    <xf numFmtId="0" fontId="17" fillId="0" borderId="139" xfId="0" applyFont="1" applyFill="1" applyBorder="1" applyAlignment="1" applyProtection="1">
      <alignment horizontal="center" vertical="center" wrapText="1"/>
      <protection locked="0"/>
    </xf>
    <xf numFmtId="0" fontId="17" fillId="0" borderId="140" xfId="0" applyFont="1" applyFill="1" applyBorder="1" applyAlignment="1" applyProtection="1">
      <alignment horizontal="center" vertical="center" wrapText="1"/>
      <protection locked="0"/>
    </xf>
    <xf numFmtId="0" fontId="17" fillId="0" borderId="141" xfId="0" applyFont="1" applyFill="1" applyBorder="1" applyAlignment="1" applyProtection="1">
      <alignment horizontal="center" vertical="center" wrapText="1"/>
      <protection locked="0"/>
    </xf>
    <xf numFmtId="0" fontId="42" fillId="0" borderId="44" xfId="0" applyFont="1" applyFill="1" applyBorder="1" applyAlignment="1" applyProtection="1">
      <alignment horizontal="center" vertical="center" wrapText="1"/>
      <protection locked="0"/>
    </xf>
    <xf numFmtId="0" fontId="14" fillId="0" borderId="44" xfId="0" applyFont="1" applyFill="1" applyBorder="1" applyAlignment="1" applyProtection="1">
      <alignment horizontal="center" vertical="center" wrapText="1"/>
      <protection locked="0"/>
    </xf>
    <xf numFmtId="0" fontId="17" fillId="0" borderId="142" xfId="0" applyFont="1" applyFill="1" applyBorder="1" applyAlignment="1" applyProtection="1">
      <alignment horizontal="center" vertical="center" wrapText="1"/>
      <protection locked="0"/>
    </xf>
    <xf numFmtId="0" fontId="17" fillId="0" borderId="87" xfId="0" applyFont="1" applyFill="1" applyBorder="1" applyAlignment="1" applyProtection="1">
      <alignment horizontal="center" vertical="center" wrapText="1"/>
      <protection locked="0"/>
    </xf>
    <xf numFmtId="0" fontId="17" fillId="0" borderId="65" xfId="0" applyFont="1" applyFill="1" applyBorder="1" applyAlignment="1" applyProtection="1">
      <alignment horizontal="center" vertical="center" wrapText="1"/>
      <protection locked="0"/>
    </xf>
    <xf numFmtId="0" fontId="17" fillId="0" borderId="22" xfId="0" applyFont="1" applyFill="1" applyBorder="1" applyAlignment="1" applyProtection="1">
      <alignment horizontal="center" vertical="center" wrapText="1"/>
      <protection locked="0"/>
    </xf>
    <xf numFmtId="0" fontId="62" fillId="0" borderId="43" xfId="0" applyFont="1" applyFill="1" applyBorder="1" applyAlignment="1" applyProtection="1">
      <alignment horizontal="center" vertical="center" wrapText="1"/>
      <protection locked="0"/>
    </xf>
    <xf numFmtId="0" fontId="62" fillId="0" borderId="41" xfId="0" applyFont="1" applyFill="1" applyBorder="1" applyAlignment="1" applyProtection="1">
      <alignment horizontal="center" vertical="center" wrapText="1"/>
      <protection locked="0"/>
    </xf>
    <xf numFmtId="0" fontId="21" fillId="0" borderId="0" xfId="0" applyFont="1" applyAlignment="1" applyProtection="1">
      <alignment horizontal="center" vertical="center" wrapText="1"/>
      <protection locked="0"/>
    </xf>
    <xf numFmtId="0" fontId="14" fillId="0" borderId="0" xfId="46" applyFont="1" applyFill="1" applyAlignment="1" applyProtection="1">
      <alignment horizontal="left" wrapText="1"/>
      <protection locked="0"/>
    </xf>
    <xf numFmtId="0" fontId="14" fillId="0" borderId="0" xfId="46" applyFont="1" applyAlignment="1" applyProtection="1">
      <alignment horizontal="left" vertical="top" wrapText="1"/>
      <protection locked="0"/>
    </xf>
    <xf numFmtId="0" fontId="21" fillId="0" borderId="0" xfId="46" applyFont="1" applyAlignment="1" applyProtection="1">
      <alignment horizontal="center"/>
      <protection locked="0"/>
    </xf>
    <xf numFmtId="0" fontId="14" fillId="0" borderId="0" xfId="46" applyAlignment="1" applyProtection="1">
      <alignment horizontal="left" wrapText="1"/>
      <protection locked="0"/>
    </xf>
    <xf numFmtId="0" fontId="14" fillId="0" borderId="0" xfId="46" applyFont="1" applyAlignment="1" applyProtection="1">
      <alignment horizontal="left" vertical="center" wrapText="1"/>
      <protection locked="0"/>
    </xf>
    <xf numFmtId="0" fontId="14" fillId="0" borderId="0" xfId="46" applyFont="1" applyAlignment="1" applyProtection="1">
      <alignment horizontal="left" wrapText="1"/>
      <protection locked="0"/>
    </xf>
    <xf numFmtId="0" fontId="17" fillId="66" borderId="70" xfId="46" applyFont="1" applyFill="1" applyBorder="1" applyAlignment="1" applyProtection="1">
      <alignment horizontal="center" vertical="center" wrapText="1"/>
      <protection locked="0"/>
    </xf>
    <xf numFmtId="0" fontId="17" fillId="66" borderId="48" xfId="46" applyFont="1" applyFill="1" applyBorder="1" applyAlignment="1" applyProtection="1">
      <alignment horizontal="center" vertical="center" wrapText="1"/>
      <protection locked="0"/>
    </xf>
    <xf numFmtId="0" fontId="17" fillId="66" borderId="46" xfId="46" applyFont="1" applyFill="1" applyBorder="1" applyAlignment="1" applyProtection="1">
      <alignment horizontal="center" vertical="center" wrapText="1"/>
      <protection locked="0"/>
    </xf>
    <xf numFmtId="0" fontId="17" fillId="66" borderId="87" xfId="46" applyFont="1" applyFill="1" applyBorder="1" applyAlignment="1" applyProtection="1">
      <alignment horizontal="center" wrapText="1"/>
      <protection locked="0"/>
    </xf>
    <xf numFmtId="0" fontId="17" fillId="66" borderId="22" xfId="46" applyFont="1" applyFill="1" applyBorder="1" applyAlignment="1" applyProtection="1">
      <alignment horizontal="center" wrapText="1"/>
      <protection locked="0"/>
    </xf>
    <xf numFmtId="0" fontId="14" fillId="0" borderId="0" xfId="46" applyFont="1" applyFill="1" applyAlignment="1" applyProtection="1">
      <alignment horizontal="left" vertical="top" wrapText="1"/>
      <protection locked="0"/>
    </xf>
    <xf numFmtId="0" fontId="96" fillId="0" borderId="0" xfId="46" applyFont="1" applyAlignment="1" applyProtection="1">
      <alignment horizontal="left" vertical="center" wrapText="1"/>
      <protection locked="0"/>
    </xf>
    <xf numFmtId="0" fontId="14" fillId="0" borderId="0" xfId="46" applyFont="1" applyAlignment="1" applyProtection="1">
      <alignment horizontal="left" vertical="center" wrapText="1" indent="2"/>
      <protection locked="0"/>
    </xf>
    <xf numFmtId="0" fontId="17" fillId="0" borderId="75" xfId="46" applyFont="1" applyFill="1" applyBorder="1" applyAlignment="1" applyProtection="1">
      <alignment horizontal="left"/>
      <protection locked="0"/>
    </xf>
    <xf numFmtId="0" fontId="17" fillId="0" borderId="13" xfId="46" applyFont="1" applyFill="1" applyBorder="1" applyAlignment="1" applyProtection="1">
      <alignment horizontal="left"/>
      <protection locked="0"/>
    </xf>
    <xf numFmtId="0" fontId="17" fillId="0" borderId="33" xfId="46" applyFont="1" applyFill="1" applyBorder="1" applyAlignment="1" applyProtection="1">
      <alignment horizontal="left"/>
      <protection locked="0"/>
    </xf>
    <xf numFmtId="0" fontId="17" fillId="25" borderId="75" xfId="46" applyFont="1" applyFill="1" applyBorder="1" applyAlignment="1" applyProtection="1">
      <alignment horizontal="center"/>
      <protection locked="0"/>
    </xf>
    <xf numFmtId="0" fontId="17" fillId="25" borderId="13" xfId="46" applyFont="1" applyFill="1" applyBorder="1" applyAlignment="1" applyProtection="1">
      <alignment horizontal="center"/>
      <protection locked="0"/>
    </xf>
    <xf numFmtId="0" fontId="17" fillId="25" borderId="33" xfId="46" applyFont="1" applyFill="1" applyBorder="1" applyAlignment="1" applyProtection="1">
      <alignment horizontal="center"/>
      <protection locked="0"/>
    </xf>
    <xf numFmtId="0" fontId="21" fillId="0" borderId="0" xfId="46" applyFont="1" applyAlignment="1" applyProtection="1">
      <alignment horizontal="center" vertical="top"/>
      <protection locked="0"/>
    </xf>
    <xf numFmtId="0" fontId="14" fillId="0" borderId="0" xfId="46" applyAlignment="1" applyProtection="1">
      <alignment horizontal="left" vertical="top" wrapText="1"/>
      <protection locked="0"/>
    </xf>
    <xf numFmtId="0" fontId="14" fillId="0" borderId="75" xfId="46" applyFont="1" applyBorder="1" applyAlignment="1" applyProtection="1">
      <alignment horizontal="left" vertical="center"/>
      <protection locked="0"/>
    </xf>
    <xf numFmtId="0" fontId="14" fillId="0" borderId="13" xfId="46" applyFont="1" applyBorder="1" applyAlignment="1" applyProtection="1">
      <alignment horizontal="left" vertical="center"/>
      <protection locked="0"/>
    </xf>
    <xf numFmtId="0" fontId="14" fillId="0" borderId="33" xfId="46" applyFont="1" applyBorder="1" applyAlignment="1" applyProtection="1">
      <alignment horizontal="left" vertical="center"/>
      <protection locked="0"/>
    </xf>
    <xf numFmtId="1" fontId="14" fillId="0" borderId="10" xfId="46" applyNumberFormat="1" applyBorder="1" applyAlignment="1" applyProtection="1">
      <alignment horizontal="center" vertical="center"/>
      <protection locked="0"/>
    </xf>
    <xf numFmtId="0" fontId="83" fillId="0" borderId="0" xfId="46" applyFont="1" applyBorder="1" applyAlignment="1" applyProtection="1">
      <alignment horizontal="center" vertical="center"/>
      <protection locked="0"/>
    </xf>
    <xf numFmtId="0" fontId="14" fillId="0" borderId="17" xfId="46" applyBorder="1" applyAlignment="1" applyProtection="1">
      <alignment horizontal="center" vertical="center"/>
      <protection locked="0"/>
    </xf>
    <xf numFmtId="0" fontId="14" fillId="0" borderId="19" xfId="46" applyBorder="1" applyAlignment="1" applyProtection="1">
      <alignment horizontal="center" vertical="center"/>
      <protection locked="0"/>
    </xf>
    <xf numFmtId="0" fontId="14" fillId="0" borderId="17" xfId="46" applyFont="1" applyBorder="1" applyAlignment="1" applyProtection="1">
      <alignment horizontal="left" vertical="center"/>
      <protection locked="0"/>
    </xf>
    <xf numFmtId="0" fontId="14" fillId="0" borderId="19" xfId="46" applyFont="1" applyBorder="1" applyAlignment="1" applyProtection="1">
      <alignment horizontal="left" vertical="center"/>
      <protection locked="0"/>
    </xf>
    <xf numFmtId="0" fontId="14" fillId="0" borderId="11" xfId="46" applyBorder="1" applyAlignment="1" applyProtection="1">
      <alignment horizontal="center" vertical="center"/>
      <protection locked="0"/>
    </xf>
    <xf numFmtId="0" fontId="14" fillId="0" borderId="11" xfId="46" applyFont="1" applyBorder="1" applyAlignment="1" applyProtection="1">
      <alignment horizontal="left" vertical="center"/>
      <protection locked="0"/>
    </xf>
    <xf numFmtId="2" fontId="14" fillId="0" borderId="10" xfId="46" quotePrefix="1" applyNumberFormat="1" applyFont="1" applyBorder="1" applyAlignment="1" applyProtection="1">
      <alignment horizontal="center" vertical="center"/>
      <protection locked="0"/>
    </xf>
    <xf numFmtId="0" fontId="90" fillId="63" borderId="122" xfId="46" applyFont="1" applyFill="1" applyBorder="1" applyAlignment="1" applyProtection="1">
      <alignment horizontal="center" vertical="center" wrapText="1"/>
      <protection locked="0"/>
    </xf>
    <xf numFmtId="0" fontId="90" fillId="63" borderId="121" xfId="46" applyFont="1" applyFill="1" applyBorder="1" applyAlignment="1" applyProtection="1">
      <alignment horizontal="center" vertical="center" wrapText="1"/>
      <protection locked="0"/>
    </xf>
    <xf numFmtId="0" fontId="90" fillId="63" borderId="10" xfId="46" applyFont="1" applyFill="1" applyBorder="1" applyAlignment="1" applyProtection="1">
      <alignment horizontal="center" vertical="center" wrapText="1"/>
      <protection locked="0"/>
    </xf>
    <xf numFmtId="0" fontId="17" fillId="63" borderId="10" xfId="46" applyFont="1" applyFill="1" applyBorder="1" applyAlignment="1" applyProtection="1">
      <alignment horizontal="center" vertical="center"/>
      <protection locked="0"/>
    </xf>
    <xf numFmtId="0" fontId="17" fillId="63" borderId="10" xfId="46" applyFont="1" applyFill="1" applyBorder="1" applyAlignment="1" applyProtection="1">
      <alignment horizontal="center" vertical="center" wrapText="1"/>
      <protection locked="0"/>
    </xf>
    <xf numFmtId="0" fontId="17" fillId="63" borderId="17" xfId="46" applyFont="1" applyFill="1" applyBorder="1" applyAlignment="1" applyProtection="1">
      <alignment horizontal="center" vertical="center" wrapText="1"/>
      <protection locked="0"/>
    </xf>
    <xf numFmtId="0" fontId="21" fillId="0" borderId="0" xfId="46" applyFont="1" applyBorder="1" applyAlignment="1" applyProtection="1">
      <alignment horizontal="center" vertical="center" wrapText="1"/>
      <protection locked="0"/>
    </xf>
    <xf numFmtId="0" fontId="17" fillId="63" borderId="106" xfId="46" applyFont="1" applyFill="1" applyBorder="1" applyAlignment="1" applyProtection="1">
      <alignment horizontal="center" vertical="center"/>
      <protection locked="0"/>
    </xf>
    <xf numFmtId="0" fontId="17" fillId="63" borderId="83" xfId="46" applyFont="1" applyFill="1" applyBorder="1" applyAlignment="1" applyProtection="1">
      <alignment horizontal="center" vertical="center"/>
      <protection locked="0"/>
    </xf>
    <xf numFmtId="0" fontId="17" fillId="63" borderId="18" xfId="46" applyFont="1" applyFill="1" applyBorder="1" applyAlignment="1" applyProtection="1">
      <alignment horizontal="center" vertical="center"/>
      <protection locked="0"/>
    </xf>
    <xf numFmtId="0" fontId="17" fillId="63" borderId="77" xfId="46" applyFont="1" applyFill="1" applyBorder="1" applyAlignment="1" applyProtection="1">
      <alignment horizontal="center" vertical="center"/>
      <protection locked="0"/>
    </xf>
    <xf numFmtId="0" fontId="17" fillId="63" borderId="12" xfId="46" applyFont="1" applyFill="1" applyBorder="1" applyAlignment="1" applyProtection="1">
      <alignment horizontal="center" vertical="center"/>
      <protection locked="0"/>
    </xf>
    <xf numFmtId="0" fontId="17" fillId="63" borderId="16" xfId="46" applyFont="1" applyFill="1" applyBorder="1" applyAlignment="1" applyProtection="1">
      <alignment horizontal="center" vertical="center"/>
      <protection locked="0"/>
    </xf>
    <xf numFmtId="0" fontId="14" fillId="0" borderId="21" xfId="46" applyFont="1" applyBorder="1" applyAlignment="1" applyProtection="1">
      <alignment horizontal="left" vertical="center"/>
      <protection locked="0"/>
    </xf>
    <xf numFmtId="0" fontId="14" fillId="0" borderId="21" xfId="46" applyBorder="1" applyAlignment="1" applyProtection="1">
      <alignment horizontal="left" vertical="center"/>
      <protection locked="0"/>
    </xf>
    <xf numFmtId="0" fontId="14" fillId="0" borderId="75" xfId="46" applyFont="1" applyBorder="1" applyAlignment="1" applyProtection="1">
      <alignment horizontal="left"/>
      <protection locked="0"/>
    </xf>
    <xf numFmtId="0" fontId="14" fillId="0" borderId="33" xfId="46" applyFont="1" applyBorder="1" applyAlignment="1" applyProtection="1">
      <alignment horizontal="left"/>
      <protection locked="0"/>
    </xf>
    <xf numFmtId="0" fontId="14" fillId="0" borderId="80" xfId="46" applyFont="1" applyBorder="1" applyAlignment="1" applyProtection="1">
      <alignment horizontal="left" vertical="center"/>
      <protection locked="0"/>
    </xf>
    <xf numFmtId="0" fontId="14" fillId="0" borderId="103" xfId="46" applyBorder="1" applyAlignment="1" applyProtection="1">
      <alignment horizontal="left" vertical="center"/>
      <protection locked="0"/>
    </xf>
    <xf numFmtId="0" fontId="14" fillId="0" borderId="81" xfId="46" applyBorder="1" applyAlignment="1" applyProtection="1">
      <alignment horizontal="left" vertical="center"/>
      <protection locked="0"/>
    </xf>
    <xf numFmtId="0" fontId="17" fillId="0" borderId="32" xfId="46" applyFont="1" applyBorder="1" applyAlignment="1" applyProtection="1">
      <alignment horizontal="center" vertical="center"/>
      <protection locked="0"/>
    </xf>
    <xf numFmtId="0" fontId="14" fillId="0" borderId="27" xfId="46" applyBorder="1" applyAlignment="1" applyProtection="1">
      <alignment horizontal="center" vertical="center"/>
      <protection locked="0"/>
    </xf>
    <xf numFmtId="0" fontId="14" fillId="0" borderId="28" xfId="46" applyBorder="1" applyAlignment="1" applyProtection="1">
      <alignment horizontal="center" vertical="center"/>
      <protection locked="0"/>
    </xf>
    <xf numFmtId="0" fontId="14" fillId="0" borderId="79" xfId="46" applyFont="1" applyBorder="1" applyAlignment="1" applyProtection="1">
      <alignment horizontal="left" vertical="center"/>
      <protection locked="0"/>
    </xf>
    <xf numFmtId="0" fontId="14" fillId="0" borderId="88" xfId="46" applyBorder="1" applyAlignment="1" applyProtection="1">
      <alignment horizontal="left" vertical="center"/>
      <protection locked="0"/>
    </xf>
    <xf numFmtId="0" fontId="14" fillId="0" borderId="50" xfId="46" applyBorder="1" applyAlignment="1" applyProtection="1">
      <alignment horizontal="left" vertical="center"/>
      <protection locked="0"/>
    </xf>
    <xf numFmtId="0" fontId="14" fillId="0" borderId="13" xfId="46" applyBorder="1" applyAlignment="1" applyProtection="1">
      <alignment horizontal="left" vertical="center"/>
      <protection locked="0"/>
    </xf>
    <xf numFmtId="0" fontId="14" fillId="0" borderId="33" xfId="46" applyBorder="1" applyAlignment="1" applyProtection="1">
      <alignment horizontal="left" vertical="center"/>
      <protection locked="0"/>
    </xf>
    <xf numFmtId="0" fontId="14" fillId="0" borderId="75" xfId="46" applyFont="1" applyBorder="1" applyAlignment="1" applyProtection="1">
      <alignment horizontal="left" vertical="center" wrapText="1"/>
      <protection locked="0"/>
    </xf>
    <xf numFmtId="0" fontId="14" fillId="0" borderId="13" xfId="46" applyBorder="1" applyAlignment="1" applyProtection="1">
      <alignment horizontal="left" vertical="center" wrapText="1"/>
      <protection locked="0"/>
    </xf>
    <xf numFmtId="0" fontId="14" fillId="0" borderId="33" xfId="46" applyBorder="1" applyAlignment="1" applyProtection="1">
      <alignment horizontal="left" vertical="center" wrapText="1"/>
      <protection locked="0"/>
    </xf>
    <xf numFmtId="0" fontId="14" fillId="0" borderId="10" xfId="46" applyFont="1" applyBorder="1" applyAlignment="1" applyProtection="1">
      <alignment horizontal="left" vertical="center"/>
      <protection locked="0"/>
    </xf>
    <xf numFmtId="0" fontId="14" fillId="0" borderId="10" xfId="46" applyBorder="1" applyAlignment="1" applyProtection="1">
      <alignment horizontal="left" vertical="center"/>
      <protection locked="0"/>
    </xf>
    <xf numFmtId="0" fontId="14" fillId="0" borderId="26" xfId="46" applyFont="1" applyBorder="1" applyAlignment="1" applyProtection="1">
      <alignment horizontal="left" vertical="center"/>
      <protection locked="0"/>
    </xf>
    <xf numFmtId="0" fontId="14" fillId="0" borderId="26" xfId="46" applyBorder="1" applyAlignment="1" applyProtection="1">
      <alignment horizontal="left" vertical="center"/>
      <protection locked="0"/>
    </xf>
    <xf numFmtId="0" fontId="17" fillId="0" borderId="27" xfId="46" applyFont="1" applyBorder="1" applyAlignment="1" applyProtection="1">
      <alignment horizontal="center" vertical="center"/>
      <protection locked="0"/>
    </xf>
    <xf numFmtId="0" fontId="17" fillId="0" borderId="28" xfId="46" applyFont="1" applyBorder="1" applyAlignment="1" applyProtection="1">
      <alignment horizontal="center" vertical="center"/>
      <protection locked="0"/>
    </xf>
    <xf numFmtId="0" fontId="14" fillId="0" borderId="73" xfId="46" applyBorder="1" applyAlignment="1" applyProtection="1">
      <alignment horizontal="center" vertical="center"/>
      <protection locked="0"/>
    </xf>
    <xf numFmtId="0" fontId="14" fillId="0" borderId="24" xfId="46" applyBorder="1" applyAlignment="1" applyProtection="1">
      <alignment horizontal="left" vertical="center"/>
      <protection locked="0"/>
    </xf>
    <xf numFmtId="0" fontId="14" fillId="0" borderId="50" xfId="46" applyFont="1" applyBorder="1" applyAlignment="1" applyProtection="1">
      <alignment horizontal="left" vertical="center"/>
      <protection locked="0"/>
    </xf>
    <xf numFmtId="0" fontId="14" fillId="0" borderId="75" xfId="46" applyBorder="1" applyAlignment="1" applyProtection="1">
      <alignment horizontal="left" vertical="center"/>
      <protection locked="0"/>
    </xf>
    <xf numFmtId="0" fontId="17" fillId="0" borderId="93" xfId="46" applyFont="1" applyBorder="1" applyAlignment="1" applyProtection="1">
      <alignment horizontal="center" vertical="center"/>
      <protection locked="0"/>
    </xf>
    <xf numFmtId="0" fontId="17" fillId="0" borderId="109" xfId="46" applyFont="1" applyBorder="1" applyAlignment="1" applyProtection="1">
      <alignment horizontal="center" vertical="center"/>
      <protection locked="0"/>
    </xf>
    <xf numFmtId="0" fontId="14" fillId="0" borderId="24" xfId="46" applyBorder="1" applyAlignment="1" applyProtection="1">
      <alignment horizontal="center" vertical="center"/>
      <protection locked="0"/>
    </xf>
    <xf numFmtId="0" fontId="14" fillId="0" borderId="10" xfId="46" applyBorder="1" applyAlignment="1" applyProtection="1">
      <alignment horizontal="center" vertical="center"/>
      <protection locked="0"/>
    </xf>
    <xf numFmtId="0" fontId="14" fillId="0" borderId="24" xfId="46" applyFont="1" applyBorder="1" applyAlignment="1" applyProtection="1">
      <alignment horizontal="left" vertical="center"/>
      <protection locked="0"/>
    </xf>
    <xf numFmtId="0" fontId="14" fillId="0" borderId="24" xfId="46" applyFont="1" applyBorder="1" applyAlignment="1" applyProtection="1">
      <alignment horizontal="left"/>
      <protection locked="0"/>
    </xf>
    <xf numFmtId="0" fontId="14" fillId="0" borderId="13" xfId="46" applyFont="1" applyBorder="1" applyAlignment="1" applyProtection="1">
      <alignment horizontal="left"/>
      <protection locked="0"/>
    </xf>
    <xf numFmtId="0" fontId="14" fillId="0" borderId="10" xfId="46" applyFont="1" applyBorder="1" applyAlignment="1" applyProtection="1">
      <alignment horizontal="left"/>
      <protection locked="0"/>
    </xf>
    <xf numFmtId="0" fontId="14" fillId="0" borderId="106" xfId="46" applyFont="1" applyBorder="1" applyAlignment="1" applyProtection="1">
      <alignment horizontal="left"/>
      <protection locked="0"/>
    </xf>
    <xf numFmtId="0" fontId="14" fillId="0" borderId="83" xfId="46" applyFont="1" applyBorder="1" applyAlignment="1" applyProtection="1">
      <alignment horizontal="left"/>
      <protection locked="0"/>
    </xf>
    <xf numFmtId="0" fontId="14" fillId="0" borderId="18" xfId="46" applyFont="1" applyBorder="1" applyAlignment="1" applyProtection="1">
      <alignment horizontal="left"/>
      <protection locked="0"/>
    </xf>
    <xf numFmtId="0" fontId="16" fillId="0" borderId="0" xfId="46" applyFont="1" applyAlignment="1" applyProtection="1">
      <alignment horizontal="left" vertical="top"/>
      <protection locked="0"/>
    </xf>
    <xf numFmtId="0" fontId="16" fillId="29" borderId="0" xfId="46" applyFont="1" applyFill="1" applyBorder="1" applyAlignment="1" applyProtection="1">
      <alignment horizontal="left" vertical="top"/>
      <protection locked="0"/>
    </xf>
    <xf numFmtId="0" fontId="16" fillId="29" borderId="0" xfId="46" applyFont="1" applyFill="1" applyAlignment="1" applyProtection="1">
      <alignment horizontal="left" vertical="top"/>
      <protection locked="0"/>
    </xf>
    <xf numFmtId="0" fontId="17" fillId="63" borderId="75" xfId="46" applyFont="1" applyFill="1" applyBorder="1" applyAlignment="1" applyProtection="1">
      <alignment horizontal="center" vertical="center"/>
      <protection locked="0"/>
    </xf>
    <xf numFmtId="0" fontId="21" fillId="0" borderId="0" xfId="46" applyFont="1" applyAlignment="1" applyProtection="1">
      <alignment horizontal="center" vertical="center"/>
      <protection locked="0"/>
    </xf>
    <xf numFmtId="0" fontId="21" fillId="0" borderId="0" xfId="46" applyFont="1" applyAlignment="1" applyProtection="1">
      <alignment horizontal="center" vertical="center" wrapText="1"/>
      <protection locked="0"/>
    </xf>
    <xf numFmtId="0" fontId="17" fillId="63" borderId="17" xfId="46" applyFont="1" applyFill="1" applyBorder="1" applyAlignment="1" applyProtection="1">
      <alignment horizontal="center" vertical="center"/>
      <protection locked="0"/>
    </xf>
    <xf numFmtId="0" fontId="14" fillId="0" borderId="75" xfId="46" applyBorder="1" applyAlignment="1" applyProtection="1">
      <alignment horizontal="left" vertical="center" wrapText="1"/>
      <protection locked="0"/>
    </xf>
    <xf numFmtId="0" fontId="14" fillId="0" borderId="0" xfId="46" applyFont="1" applyAlignment="1" applyProtection="1">
      <alignment vertical="top" wrapText="1"/>
      <protection locked="0"/>
    </xf>
    <xf numFmtId="0" fontId="17" fillId="0" borderId="0" xfId="46" applyFont="1" applyAlignment="1" applyProtection="1">
      <alignment horizontal="left" vertical="top" wrapText="1"/>
      <protection locked="0"/>
    </xf>
    <xf numFmtId="0" fontId="17" fillId="25" borderId="93" xfId="46" applyFont="1" applyFill="1" applyBorder="1" applyAlignment="1" applyProtection="1">
      <alignment vertical="center"/>
      <protection locked="0"/>
    </xf>
    <xf numFmtId="0" fontId="17" fillId="25" borderId="76" xfId="46" applyFont="1" applyFill="1" applyBorder="1" applyAlignment="1" applyProtection="1">
      <alignment vertical="center"/>
      <protection locked="0"/>
    </xf>
    <xf numFmtId="0" fontId="17" fillId="25" borderId="73" xfId="46" applyFont="1" applyFill="1" applyBorder="1" applyAlignment="1" applyProtection="1">
      <alignment vertical="center"/>
      <protection locked="0"/>
    </xf>
    <xf numFmtId="0" fontId="17" fillId="25" borderId="19" xfId="46" applyFont="1" applyFill="1" applyBorder="1" applyAlignment="1" applyProtection="1">
      <alignment vertical="center"/>
      <protection locked="0"/>
    </xf>
    <xf numFmtId="176" fontId="17" fillId="25" borderId="73" xfId="46" applyNumberFormat="1" applyFont="1" applyFill="1" applyBorder="1" applyAlignment="1" applyProtection="1">
      <alignment horizontal="center" vertical="center" wrapText="1"/>
      <protection locked="0"/>
    </xf>
    <xf numFmtId="176" fontId="14" fillId="0" borderId="19" xfId="46" applyNumberFormat="1" applyBorder="1" applyAlignment="1" applyProtection="1">
      <alignment horizontal="center" wrapText="1"/>
      <protection locked="0"/>
    </xf>
    <xf numFmtId="0" fontId="17" fillId="0" borderId="75" xfId="46" applyFont="1" applyBorder="1" applyAlignment="1" applyProtection="1">
      <alignment horizontal="center"/>
      <protection locked="0"/>
    </xf>
    <xf numFmtId="0" fontId="17" fillId="0" borderId="33" xfId="46" applyFont="1" applyBorder="1" applyAlignment="1" applyProtection="1">
      <alignment horizontal="center"/>
      <protection locked="0"/>
    </xf>
    <xf numFmtId="0" fontId="14" fillId="0" borderId="75" xfId="46" applyBorder="1" applyAlignment="1" applyProtection="1">
      <alignment horizontal="center" vertical="center"/>
      <protection locked="0"/>
    </xf>
    <xf numFmtId="0" fontId="14" fillId="0" borderId="33" xfId="46" applyBorder="1" applyAlignment="1" applyProtection="1">
      <alignment horizontal="center" vertical="center"/>
      <protection locked="0"/>
    </xf>
    <xf numFmtId="0" fontId="17" fillId="25" borderId="38" xfId="46" applyFont="1" applyFill="1" applyBorder="1" applyAlignment="1" applyProtection="1">
      <alignment vertical="center"/>
      <protection locked="0"/>
    </xf>
    <xf numFmtId="0" fontId="17" fillId="25" borderId="34" xfId="46" applyFont="1" applyFill="1" applyBorder="1" applyAlignment="1" applyProtection="1">
      <alignment vertical="center"/>
      <protection locked="0"/>
    </xf>
    <xf numFmtId="0" fontId="17" fillId="25" borderId="43" xfId="46" applyFont="1" applyFill="1" applyBorder="1" applyAlignment="1" applyProtection="1">
      <alignment horizontal="center" vertical="center" wrapText="1"/>
      <protection locked="0"/>
    </xf>
    <xf numFmtId="0" fontId="14" fillId="0" borderId="41" xfId="46" applyBorder="1" applyAlignment="1" applyProtection="1">
      <alignment horizontal="center" wrapText="1"/>
      <protection locked="0"/>
    </xf>
    <xf numFmtId="0" fontId="17" fillId="25" borderId="41" xfId="46" applyFont="1" applyFill="1" applyBorder="1" applyAlignment="1" applyProtection="1">
      <alignment horizontal="center" vertical="center" wrapText="1"/>
      <protection locked="0"/>
    </xf>
    <xf numFmtId="0" fontId="17" fillId="0" borderId="75" xfId="46" applyFont="1" applyBorder="1" applyAlignment="1" applyProtection="1">
      <alignment horizontal="center" vertical="center"/>
      <protection locked="0"/>
    </xf>
    <xf numFmtId="0" fontId="17" fillId="0" borderId="33" xfId="46" applyFont="1" applyBorder="1" applyAlignment="1" applyProtection="1">
      <alignment horizontal="center" vertical="center"/>
      <protection locked="0"/>
    </xf>
    <xf numFmtId="0" fontId="17" fillId="0" borderId="75" xfId="46" applyFont="1" applyBorder="1" applyAlignment="1" applyProtection="1">
      <alignment horizontal="center" vertical="center" wrapText="1"/>
      <protection locked="0"/>
    </xf>
    <xf numFmtId="0" fontId="17" fillId="0" borderId="33" xfId="46" applyFont="1" applyBorder="1" applyAlignment="1" applyProtection="1">
      <alignment horizontal="center" vertical="center" wrapText="1"/>
      <protection locked="0"/>
    </xf>
    <xf numFmtId="170" fontId="14" fillId="0" borderId="75" xfId="29" applyNumberFormat="1" applyFont="1" applyFill="1" applyBorder="1" applyAlignment="1" applyProtection="1">
      <alignment horizontal="center" vertical="center"/>
      <protection locked="0"/>
    </xf>
    <xf numFmtId="170" fontId="14" fillId="0" borderId="33" xfId="29" applyNumberFormat="1" applyFont="1" applyFill="1" applyBorder="1" applyAlignment="1" applyProtection="1">
      <alignment horizontal="center" vertical="center"/>
      <protection locked="0"/>
    </xf>
    <xf numFmtId="0" fontId="49" fillId="0" borderId="0" xfId="46" applyFont="1" applyAlignment="1" applyProtection="1">
      <alignment horizontal="left" vertical="top" wrapText="1"/>
      <protection locked="0"/>
    </xf>
    <xf numFmtId="0" fontId="14" fillId="0" borderId="71" xfId="46" applyFont="1" applyBorder="1" applyAlignment="1" applyProtection="1">
      <alignment horizontal="left" wrapText="1"/>
      <protection locked="0"/>
    </xf>
    <xf numFmtId="0" fontId="14" fillId="0" borderId="69" xfId="46" applyFont="1" applyBorder="1" applyAlignment="1" applyProtection="1">
      <alignment horizontal="left" wrapText="1"/>
      <protection locked="0"/>
    </xf>
    <xf numFmtId="0" fontId="17" fillId="0" borderId="15" xfId="46" applyFont="1" applyBorder="1" applyAlignment="1" applyProtection="1">
      <alignment horizontal="left" vertical="top" wrapText="1"/>
      <protection locked="0"/>
    </xf>
    <xf numFmtId="0" fontId="17" fillId="25" borderId="0" xfId="46" applyFont="1" applyFill="1" applyBorder="1" applyAlignment="1" applyProtection="1">
      <alignment horizontal="center" vertical="center" wrapText="1"/>
      <protection locked="0"/>
    </xf>
    <xf numFmtId="0" fontId="14" fillId="0" borderId="92" xfId="46" applyBorder="1" applyAlignment="1" applyProtection="1">
      <alignment horizontal="center" wrapText="1"/>
      <protection locked="0"/>
    </xf>
    <xf numFmtId="0" fontId="17" fillId="0" borderId="70" xfId="46" applyFont="1" applyFill="1" applyBorder="1" applyAlignment="1" applyProtection="1">
      <alignment vertical="center" wrapText="1"/>
      <protection locked="0"/>
    </xf>
    <xf numFmtId="0" fontId="17" fillId="0" borderId="48" xfId="46" applyFont="1" applyFill="1" applyBorder="1" applyAlignment="1" applyProtection="1">
      <alignment vertical="center" wrapText="1"/>
      <protection locked="0"/>
    </xf>
    <xf numFmtId="0" fontId="17" fillId="0" borderId="53" xfId="46" applyFont="1" applyFill="1" applyBorder="1" applyAlignment="1" applyProtection="1">
      <alignment vertical="center" wrapText="1"/>
      <protection locked="0"/>
    </xf>
    <xf numFmtId="0" fontId="17" fillId="0" borderId="43" xfId="46" applyFont="1" applyFill="1" applyBorder="1" applyAlignment="1" applyProtection="1">
      <alignment vertical="center" wrapText="1"/>
      <protection locked="0"/>
    </xf>
    <xf numFmtId="0" fontId="17" fillId="0" borderId="40" xfId="46" applyFont="1" applyFill="1" applyBorder="1" applyAlignment="1" applyProtection="1">
      <alignment vertical="center" wrapText="1"/>
      <protection locked="0"/>
    </xf>
    <xf numFmtId="0" fontId="17" fillId="0" borderId="92" xfId="46" applyFont="1" applyFill="1" applyBorder="1" applyAlignment="1" applyProtection="1">
      <alignment vertical="center" wrapText="1"/>
      <protection locked="0"/>
    </xf>
    <xf numFmtId="166" fontId="17" fillId="0" borderId="43" xfId="29" applyNumberFormat="1" applyFont="1" applyBorder="1" applyAlignment="1" applyProtection="1">
      <alignment horizontal="center"/>
      <protection locked="0"/>
    </xf>
    <xf numFmtId="166" fontId="17" fillId="0" borderId="40" xfId="29" applyNumberFormat="1" applyFont="1" applyBorder="1" applyAlignment="1" applyProtection="1">
      <alignment horizontal="center"/>
      <protection locked="0"/>
    </xf>
    <xf numFmtId="166" fontId="17" fillId="0" borderId="92" xfId="29" applyNumberFormat="1" applyFont="1" applyBorder="1" applyAlignment="1" applyProtection="1">
      <alignment horizontal="center"/>
      <protection locked="0"/>
    </xf>
    <xf numFmtId="0" fontId="14" fillId="0" borderId="0" xfId="46" applyFont="1" applyFill="1" applyBorder="1" applyAlignment="1" applyProtection="1">
      <alignment horizontal="left" vertical="top" wrapText="1"/>
      <protection locked="0"/>
    </xf>
    <xf numFmtId="0" fontId="17" fillId="0" borderId="0" xfId="46" applyFont="1" applyAlignment="1" applyProtection="1">
      <alignment horizontal="center" vertical="top"/>
      <protection locked="0"/>
    </xf>
    <xf numFmtId="0" fontId="14" fillId="0" borderId="0" xfId="46" applyFont="1" applyAlignment="1" applyProtection="1">
      <alignment wrapText="1"/>
      <protection locked="0"/>
    </xf>
    <xf numFmtId="0" fontId="17" fillId="0" borderId="0" xfId="46" applyFont="1" applyAlignment="1" applyProtection="1">
      <alignment horizontal="center" vertical="top" wrapText="1"/>
      <protection locked="0"/>
    </xf>
    <xf numFmtId="0" fontId="54" fillId="0" borderId="75" xfId="47" applyFont="1" applyBorder="1" applyAlignment="1" applyProtection="1">
      <alignment horizontal="center"/>
      <protection locked="0"/>
    </xf>
    <xf numFmtId="0" fontId="54" fillId="0" borderId="13" xfId="47" applyFont="1" applyBorder="1" applyAlignment="1" applyProtection="1">
      <alignment horizontal="center"/>
      <protection locked="0"/>
    </xf>
    <xf numFmtId="0" fontId="54" fillId="0" borderId="33" xfId="47" applyFont="1" applyBorder="1" applyAlignment="1" applyProtection="1">
      <alignment horizontal="center"/>
      <protection locked="0"/>
    </xf>
    <xf numFmtId="0" fontId="14" fillId="0" borderId="0" xfId="46" applyAlignment="1" applyProtection="1">
      <alignment horizontal="center"/>
      <protection locked="0"/>
    </xf>
    <xf numFmtId="0" fontId="14" fillId="0" borderId="0" xfId="46" applyAlignment="1" applyProtection="1">
      <protection locked="0"/>
    </xf>
    <xf numFmtId="0" fontId="58" fillId="0" borderId="0" xfId="47" applyFont="1" applyAlignment="1" applyProtection="1">
      <alignment horizontal="center" vertical="center"/>
      <protection locked="0"/>
    </xf>
    <xf numFmtId="0" fontId="54" fillId="0" borderId="0" xfId="47" applyFont="1" applyAlignment="1" applyProtection="1">
      <alignment horizontal="left" wrapText="1"/>
      <protection locked="0"/>
    </xf>
    <xf numFmtId="0" fontId="54" fillId="0" borderId="0" xfId="47" applyFont="1" applyAlignment="1" applyProtection="1">
      <alignment horizontal="left" vertical="center" wrapText="1"/>
      <protection locked="0"/>
    </xf>
    <xf numFmtId="0" fontId="54" fillId="0" borderId="106" xfId="47" applyFont="1" applyBorder="1" applyAlignment="1" applyProtection="1">
      <alignment horizontal="center"/>
      <protection locked="0"/>
    </xf>
    <xf numFmtId="0" fontId="54" fillId="0" borderId="83" xfId="47" applyFont="1" applyBorder="1" applyAlignment="1" applyProtection="1">
      <alignment horizontal="center"/>
      <protection locked="0"/>
    </xf>
    <xf numFmtId="0" fontId="54" fillId="0" borderId="18" xfId="47" applyFont="1" applyBorder="1" applyAlignment="1" applyProtection="1">
      <alignment horizontal="center"/>
      <protection locked="0"/>
    </xf>
    <xf numFmtId="0" fontId="54" fillId="0" borderId="77" xfId="47" applyFont="1" applyBorder="1" applyAlignment="1" applyProtection="1">
      <alignment horizontal="center"/>
      <protection locked="0"/>
    </xf>
    <xf numFmtId="0" fontId="54" fillId="0" borderId="12" xfId="47" applyFont="1" applyBorder="1" applyAlignment="1" applyProtection="1">
      <alignment horizontal="center"/>
      <protection locked="0"/>
    </xf>
    <xf numFmtId="0" fontId="54" fillId="0" borderId="16" xfId="47" applyFont="1" applyBorder="1" applyAlignment="1" applyProtection="1">
      <alignment horizontal="center"/>
      <protection locked="0"/>
    </xf>
    <xf numFmtId="0" fontId="58" fillId="0" borderId="0" xfId="47" applyFont="1" applyAlignment="1" applyProtection="1">
      <alignment horizontal="right" wrapText="1"/>
      <protection locked="0"/>
    </xf>
    <xf numFmtId="167" fontId="54" fillId="29" borderId="127" xfId="28" applyNumberFormat="1" applyFont="1" applyFill="1" applyBorder="1" applyAlignment="1" applyProtection="1">
      <alignment horizontal="center"/>
      <protection locked="0"/>
    </xf>
    <xf numFmtId="167" fontId="54" fillId="29" borderId="100" xfId="28" applyNumberFormat="1" applyFont="1" applyFill="1" applyBorder="1" applyAlignment="1" applyProtection="1">
      <alignment horizontal="center"/>
      <protection locked="0"/>
    </xf>
    <xf numFmtId="0" fontId="17" fillId="0" borderId="0" xfId="46" applyFont="1" applyAlignment="1" applyProtection="1">
      <alignment horizontal="left" vertical="center" wrapText="1"/>
      <protection locked="0"/>
    </xf>
    <xf numFmtId="0" fontId="54" fillId="0" borderId="0" xfId="47" applyFont="1" applyAlignment="1" applyProtection="1">
      <alignment horizontal="left" vertical="top" wrapText="1"/>
      <protection locked="0"/>
    </xf>
    <xf numFmtId="0" fontId="14" fillId="0" borderId="0" xfId="0" applyFont="1" applyAlignment="1" applyProtection="1">
      <alignment horizontal="left" vertical="top"/>
      <protection locked="0"/>
    </xf>
    <xf numFmtId="0" fontId="14" fillId="0" borderId="0" xfId="0" applyFont="1" applyAlignment="1" applyProtection="1">
      <alignment horizontal="left" vertical="top" indent="2"/>
      <protection locked="0"/>
    </xf>
    <xf numFmtId="0" fontId="17" fillId="0" borderId="87" xfId="0" applyFont="1" applyBorder="1" applyAlignment="1" applyProtection="1">
      <alignment horizontal="center"/>
      <protection locked="0"/>
    </xf>
    <xf numFmtId="0" fontId="17" fillId="0" borderId="22" xfId="0" applyFont="1" applyBorder="1" applyAlignment="1" applyProtection="1">
      <alignment horizontal="center"/>
      <protection locked="0"/>
    </xf>
    <xf numFmtId="0" fontId="54" fillId="0" borderId="0" xfId="0" applyFont="1" applyBorder="1" applyAlignment="1" applyProtection="1">
      <alignment horizontal="left"/>
      <protection locked="0"/>
    </xf>
    <xf numFmtId="0" fontId="14" fillId="0" borderId="0" xfId="0" applyFont="1" applyFill="1" applyBorder="1" applyAlignment="1" applyProtection="1">
      <protection locked="0"/>
    </xf>
    <xf numFmtId="0" fontId="17" fillId="0" borderId="87" xfId="0" applyFont="1" applyBorder="1" applyAlignment="1" applyProtection="1">
      <alignment horizontal="center" vertical="center"/>
      <protection locked="0"/>
    </xf>
    <xf numFmtId="0" fontId="17" fillId="0" borderId="65" xfId="0" applyFont="1" applyBorder="1" applyAlignment="1" applyProtection="1">
      <alignment horizontal="center" vertical="center"/>
      <protection locked="0"/>
    </xf>
    <xf numFmtId="0" fontId="17" fillId="0" borderId="22" xfId="0" applyFont="1" applyBorder="1" applyAlignment="1" applyProtection="1">
      <alignment horizontal="center" vertical="center"/>
      <protection locked="0"/>
    </xf>
    <xf numFmtId="9" fontId="114" fillId="0" borderId="0" xfId="28" applyNumberFormat="1" applyFont="1" applyFill="1" applyBorder="1" applyAlignment="1" applyProtection="1">
      <alignment horizontal="left" vertical="top"/>
      <protection locked="0"/>
    </xf>
    <xf numFmtId="0" fontId="14" fillId="0" borderId="0" xfId="0" applyFont="1" applyAlignment="1" applyProtection="1">
      <alignment horizontal="left"/>
      <protection locked="0"/>
    </xf>
    <xf numFmtId="0" fontId="0" fillId="0" borderId="0" xfId="0" applyFill="1" applyBorder="1" applyAlignment="1" applyProtection="1">
      <protection locked="0"/>
    </xf>
    <xf numFmtId="9" fontId="114" fillId="0" borderId="0" xfId="28" applyNumberFormat="1" applyFont="1" applyFill="1" applyBorder="1" applyAlignment="1" applyProtection="1">
      <alignment horizontal="left"/>
      <protection locked="0"/>
    </xf>
    <xf numFmtId="9" fontId="114" fillId="0" borderId="0" xfId="28" applyNumberFormat="1" applyFont="1" applyFill="1" applyBorder="1" applyAlignment="1" applyProtection="1">
      <alignment horizontal="left" vertical="center" wrapText="1"/>
      <protection locked="0"/>
    </xf>
    <xf numFmtId="0" fontId="11" fillId="70" borderId="22" xfId="93" applyFill="1" applyBorder="1" applyAlignment="1" applyProtection="1">
      <alignment horizontal="center"/>
      <protection locked="0"/>
    </xf>
    <xf numFmtId="0" fontId="11" fillId="70" borderId="44" xfId="93" applyFill="1" applyBorder="1" applyAlignment="1" applyProtection="1">
      <alignment horizontal="center"/>
      <protection locked="0"/>
    </xf>
    <xf numFmtId="0" fontId="48" fillId="0" borderId="42" xfId="93" applyFont="1" applyBorder="1" applyAlignment="1" applyProtection="1">
      <alignment horizontal="center" vertical="center"/>
      <protection locked="0"/>
    </xf>
    <xf numFmtId="0" fontId="48" fillId="0" borderId="128" xfId="93" applyFont="1" applyBorder="1" applyAlignment="1" applyProtection="1">
      <alignment horizontal="center" vertical="center"/>
      <protection locked="0"/>
    </xf>
    <xf numFmtId="0" fontId="17" fillId="0" borderId="87" xfId="93" applyFont="1" applyBorder="1" applyAlignment="1" applyProtection="1">
      <alignment horizontal="center" vertical="center"/>
      <protection locked="0"/>
    </xf>
    <xf numFmtId="0" fontId="17" fillId="0" borderId="65" xfId="93" applyFont="1" applyBorder="1" applyAlignment="1" applyProtection="1">
      <alignment horizontal="center" vertical="center"/>
      <protection locked="0"/>
    </xf>
    <xf numFmtId="0" fontId="17" fillId="0" borderId="133" xfId="93" applyFont="1" applyBorder="1" applyAlignment="1" applyProtection="1">
      <alignment horizontal="center" vertical="center"/>
      <protection locked="0"/>
    </xf>
    <xf numFmtId="0" fontId="17" fillId="0" borderId="22" xfId="93" applyFont="1" applyBorder="1" applyAlignment="1" applyProtection="1">
      <alignment horizontal="center" vertical="center"/>
      <protection locked="0"/>
    </xf>
    <xf numFmtId="0" fontId="16" fillId="29" borderId="0" xfId="0" applyFont="1" applyFill="1" applyBorder="1" applyAlignment="1" applyProtection="1">
      <alignment horizontal="left" vertical="top"/>
      <protection locked="0"/>
    </xf>
    <xf numFmtId="0" fontId="16" fillId="29" borderId="0" xfId="0" applyFont="1" applyFill="1" applyAlignment="1" applyProtection="1">
      <alignment horizontal="left" vertical="top"/>
      <protection locked="0"/>
    </xf>
    <xf numFmtId="0" fontId="48" fillId="0" borderId="87" xfId="93" applyFont="1" applyBorder="1" applyAlignment="1" applyProtection="1">
      <alignment horizontal="left" vertical="center" wrapText="1"/>
      <protection locked="0"/>
    </xf>
    <xf numFmtId="0" fontId="48" fillId="0" borderId="65" xfId="93" applyFont="1" applyBorder="1" applyAlignment="1" applyProtection="1">
      <alignment horizontal="left" vertical="center" wrapText="1"/>
      <protection locked="0"/>
    </xf>
    <xf numFmtId="0" fontId="48" fillId="0" borderId="22" xfId="93" applyFont="1" applyBorder="1" applyAlignment="1" applyProtection="1">
      <alignment horizontal="left" vertical="center" wrapText="1"/>
      <protection locked="0"/>
    </xf>
    <xf numFmtId="0" fontId="11" fillId="70" borderId="31" xfId="93" applyFill="1" applyBorder="1" applyAlignment="1" applyProtection="1">
      <alignment horizontal="center"/>
      <protection locked="0"/>
    </xf>
    <xf numFmtId="0" fontId="11" fillId="70" borderId="41" xfId="93" applyFill="1" applyBorder="1" applyAlignment="1" applyProtection="1">
      <alignment horizontal="center"/>
      <protection locked="0"/>
    </xf>
    <xf numFmtId="0" fontId="77" fillId="0" borderId="30" xfId="0" applyFont="1" applyBorder="1" applyAlignment="1" applyProtection="1">
      <alignment horizontal="center"/>
      <protection locked="0"/>
    </xf>
    <xf numFmtId="0" fontId="19" fillId="0" borderId="0" xfId="46" applyFont="1" applyAlignment="1" applyProtection="1">
      <alignment horizontal="center"/>
      <protection locked="0"/>
    </xf>
    <xf numFmtId="0" fontId="61" fillId="0" borderId="0" xfId="93" applyFont="1" applyAlignment="1" applyProtection="1">
      <alignment horizontal="left"/>
      <protection locked="0"/>
    </xf>
    <xf numFmtId="165" fontId="12" fillId="0" borderId="75" xfId="90" applyNumberFormat="1" applyBorder="1" applyAlignment="1" applyProtection="1">
      <alignment horizontal="center" vertical="center"/>
      <protection locked="0"/>
    </xf>
    <xf numFmtId="165" fontId="12" fillId="0" borderId="33" xfId="90" applyNumberFormat="1" applyBorder="1" applyAlignment="1" applyProtection="1">
      <alignment horizontal="center" vertical="center"/>
      <protection locked="0"/>
    </xf>
    <xf numFmtId="0" fontId="48" fillId="0" borderId="87" xfId="93" applyFont="1" applyBorder="1" applyAlignment="1" applyProtection="1">
      <alignment horizontal="center" vertical="center" wrapText="1"/>
      <protection locked="0"/>
    </xf>
    <xf numFmtId="0" fontId="48" fillId="0" borderId="22" xfId="93" applyFont="1" applyBorder="1" applyAlignment="1" applyProtection="1">
      <alignment horizontal="center" vertical="center" wrapText="1"/>
      <protection locked="0"/>
    </xf>
    <xf numFmtId="165" fontId="12" fillId="0" borderId="79" xfId="90" applyNumberFormat="1" applyBorder="1" applyAlignment="1" applyProtection="1">
      <alignment horizontal="center" vertical="center"/>
      <protection locked="0"/>
    </xf>
    <xf numFmtId="165" fontId="12" fillId="0" borderId="50" xfId="90" applyNumberFormat="1" applyBorder="1" applyAlignment="1" applyProtection="1">
      <alignment horizontal="center" vertical="center"/>
      <protection locked="0"/>
    </xf>
    <xf numFmtId="165" fontId="12" fillId="0" borderId="80" xfId="90" applyNumberFormat="1" applyBorder="1" applyAlignment="1" applyProtection="1">
      <alignment horizontal="center" vertical="center"/>
      <protection locked="0"/>
    </xf>
    <xf numFmtId="165" fontId="12" fillId="0" borderId="81" xfId="90" applyNumberFormat="1" applyBorder="1" applyAlignment="1" applyProtection="1">
      <alignment horizontal="center" vertical="center"/>
      <protection locked="0"/>
    </xf>
    <xf numFmtId="0" fontId="77" fillId="0" borderId="49" xfId="90" applyFont="1" applyBorder="1" applyAlignment="1" applyProtection="1">
      <alignment horizontal="left" vertical="center"/>
      <protection locked="0"/>
    </xf>
    <xf numFmtId="0" fontId="77" fillId="0" borderId="88" xfId="90" applyFont="1" applyBorder="1" applyAlignment="1" applyProtection="1">
      <alignment horizontal="left" vertical="center"/>
      <protection locked="0"/>
    </xf>
    <xf numFmtId="0" fontId="77" fillId="0" borderId="50" xfId="90" applyFont="1" applyBorder="1" applyAlignment="1" applyProtection="1">
      <alignment horizontal="left" vertical="center"/>
      <protection locked="0"/>
    </xf>
    <xf numFmtId="0" fontId="77" fillId="0" borderId="54" xfId="90" applyFont="1" applyBorder="1" applyAlignment="1" applyProtection="1">
      <alignment horizontal="left" vertical="center"/>
      <protection locked="0"/>
    </xf>
    <xf numFmtId="0" fontId="77" fillId="0" borderId="13" xfId="90" applyFont="1" applyBorder="1" applyAlignment="1" applyProtection="1">
      <alignment horizontal="left" vertical="center"/>
      <protection locked="0"/>
    </xf>
    <xf numFmtId="0" fontId="77" fillId="0" borderId="33" xfId="90" applyFont="1" applyBorder="1" applyAlignment="1" applyProtection="1">
      <alignment horizontal="left" vertical="center"/>
      <protection locked="0"/>
    </xf>
    <xf numFmtId="0" fontId="77" fillId="0" borderId="91" xfId="90" applyFont="1" applyBorder="1" applyAlignment="1" applyProtection="1">
      <alignment horizontal="left" vertical="center"/>
      <protection locked="0"/>
    </xf>
    <xf numFmtId="0" fontId="77" fillId="0" borderId="103" xfId="90" applyFont="1" applyBorder="1" applyAlignment="1" applyProtection="1">
      <alignment horizontal="left" vertical="center"/>
      <protection locked="0"/>
    </xf>
    <xf numFmtId="0" fontId="77" fillId="0" borderId="81" xfId="90" applyFont="1" applyBorder="1" applyAlignment="1" applyProtection="1">
      <alignment horizontal="left" vertical="center"/>
      <protection locked="0"/>
    </xf>
    <xf numFmtId="0" fontId="50" fillId="0" borderId="0" xfId="0" applyFont="1" applyAlignment="1" applyProtection="1">
      <alignment horizontal="left" vertical="top" wrapText="1"/>
      <protection locked="0"/>
    </xf>
    <xf numFmtId="0" fontId="17" fillId="0" borderId="27" xfId="0" applyFont="1" applyBorder="1" applyAlignment="1" applyProtection="1">
      <alignment horizontal="left"/>
      <protection locked="0"/>
    </xf>
    <xf numFmtId="0" fontId="17" fillId="0" borderId="10" xfId="0" applyFont="1" applyBorder="1" applyAlignment="1" applyProtection="1">
      <alignment horizontal="left"/>
      <protection locked="0"/>
    </xf>
    <xf numFmtId="0" fontId="0" fillId="26" borderId="27" xfId="0" applyFill="1" applyBorder="1" applyAlignment="1" applyProtection="1">
      <alignment horizontal="center"/>
      <protection locked="0"/>
    </xf>
    <xf numFmtId="0" fontId="0" fillId="26" borderId="10" xfId="0" applyFill="1" applyBorder="1" applyAlignment="1" applyProtection="1">
      <alignment horizontal="center"/>
      <protection locked="0"/>
    </xf>
    <xf numFmtId="0" fontId="0" fillId="26" borderId="75" xfId="0" applyFill="1" applyBorder="1" applyAlignment="1" applyProtection="1">
      <alignment horizontal="center"/>
      <protection locked="0"/>
    </xf>
    <xf numFmtId="0" fontId="0" fillId="26" borderId="25" xfId="0" applyFill="1" applyBorder="1" applyAlignment="1" applyProtection="1">
      <alignment horizontal="center"/>
      <protection locked="0"/>
    </xf>
    <xf numFmtId="0" fontId="0" fillId="0" borderId="0" xfId="0" applyAlignment="1" applyProtection="1">
      <alignment horizontal="left"/>
      <protection locked="0"/>
    </xf>
    <xf numFmtId="0" fontId="17" fillId="0" borderId="72" xfId="0" applyFont="1" applyBorder="1" applyAlignment="1" applyProtection="1">
      <alignment horizontal="left"/>
      <protection locked="0"/>
    </xf>
    <xf numFmtId="0" fontId="17" fillId="0" borderId="36" xfId="0" applyFont="1" applyBorder="1" applyAlignment="1" applyProtection="1">
      <alignment horizontal="left"/>
      <protection locked="0"/>
    </xf>
    <xf numFmtId="0" fontId="17" fillId="0" borderId="38" xfId="0" applyFont="1" applyBorder="1" applyAlignment="1" applyProtection="1">
      <alignment horizontal="left"/>
      <protection locked="0"/>
    </xf>
    <xf numFmtId="0" fontId="17" fillId="0" borderId="34" xfId="0" applyFont="1" applyBorder="1" applyAlignment="1" applyProtection="1">
      <alignment horizontal="left"/>
      <protection locked="0"/>
    </xf>
    <xf numFmtId="0" fontId="14" fillId="0" borderId="0" xfId="0" applyFont="1" applyAlignment="1" applyProtection="1">
      <alignment horizontal="left" vertical="center" wrapText="1"/>
      <protection locked="0"/>
    </xf>
    <xf numFmtId="0" fontId="0" fillId="0" borderId="0" xfId="0" applyAlignment="1" applyProtection="1">
      <alignment horizontal="left" vertical="center" wrapText="1"/>
      <protection locked="0"/>
    </xf>
    <xf numFmtId="0" fontId="14" fillId="0" borderId="53" xfId="0" applyFont="1" applyBorder="1" applyAlignment="1" applyProtection="1">
      <alignment horizontal="left"/>
      <protection locked="0"/>
    </xf>
    <xf numFmtId="0" fontId="0" fillId="0" borderId="16" xfId="0" applyBorder="1" applyAlignment="1" applyProtection="1">
      <alignment horizontal="left"/>
      <protection locked="0"/>
    </xf>
    <xf numFmtId="0" fontId="47" fillId="0" borderId="0" xfId="0" applyFont="1" applyAlignment="1" applyProtection="1">
      <alignment wrapText="1"/>
      <protection locked="0"/>
    </xf>
    <xf numFmtId="0" fontId="17" fillId="0" borderId="53" xfId="0" applyFont="1" applyBorder="1" applyAlignment="1" applyProtection="1">
      <alignment horizontal="left"/>
      <protection locked="0"/>
    </xf>
    <xf numFmtId="0" fontId="17" fillId="0" borderId="16" xfId="0" applyFont="1" applyBorder="1" applyAlignment="1" applyProtection="1">
      <alignment horizontal="left"/>
      <protection locked="0"/>
    </xf>
    <xf numFmtId="0" fontId="17" fillId="0" borderId="46" xfId="0" applyFont="1" applyBorder="1" applyAlignment="1" applyProtection="1">
      <alignment horizontal="left"/>
      <protection locked="0"/>
    </xf>
    <xf numFmtId="0" fontId="17" fillId="0" borderId="39" xfId="0" applyFont="1" applyBorder="1" applyAlignment="1" applyProtection="1">
      <alignment horizontal="left"/>
      <protection locked="0"/>
    </xf>
    <xf numFmtId="0" fontId="0" fillId="0" borderId="54" xfId="0" applyBorder="1" applyAlignment="1" applyProtection="1">
      <alignment horizontal="left"/>
      <protection locked="0"/>
    </xf>
    <xf numFmtId="0" fontId="0" fillId="0" borderId="33" xfId="0" applyBorder="1" applyAlignment="1" applyProtection="1">
      <alignment horizontal="left"/>
      <protection locked="0"/>
    </xf>
    <xf numFmtId="0" fontId="0" fillId="0" borderId="48" xfId="0" applyBorder="1" applyAlignment="1" applyProtection="1">
      <alignment horizontal="left"/>
      <protection locked="0"/>
    </xf>
    <xf numFmtId="0" fontId="0" fillId="0" borderId="15" xfId="0" applyBorder="1" applyAlignment="1" applyProtection="1">
      <alignment horizontal="left"/>
      <protection locked="0"/>
    </xf>
    <xf numFmtId="0" fontId="0" fillId="29" borderId="54" xfId="0" applyFill="1" applyBorder="1" applyAlignment="1" applyProtection="1">
      <alignment horizontal="left"/>
      <protection locked="0"/>
    </xf>
    <xf numFmtId="0" fontId="0" fillId="29" borderId="33" xfId="0" applyFill="1" applyBorder="1" applyAlignment="1" applyProtection="1">
      <alignment horizontal="left"/>
      <protection locked="0"/>
    </xf>
    <xf numFmtId="0" fontId="0" fillId="29" borderId="58" xfId="0" applyFill="1" applyBorder="1" applyAlignment="1" applyProtection="1">
      <alignment horizontal="left"/>
      <protection locked="0"/>
    </xf>
    <xf numFmtId="0" fontId="0" fillId="29" borderId="86" xfId="0" applyFill="1" applyBorder="1" applyAlignment="1" applyProtection="1">
      <alignment horizontal="left"/>
      <protection locked="0"/>
    </xf>
    <xf numFmtId="0" fontId="88" fillId="0" borderId="0" xfId="126" applyFont="1" applyBorder="1" applyAlignment="1" applyProtection="1">
      <alignment horizontal="left" vertical="top" wrapText="1"/>
      <protection locked="0"/>
    </xf>
    <xf numFmtId="0" fontId="5" fillId="0" borderId="0" xfId="126" applyFont="1" applyAlignment="1" applyProtection="1">
      <alignment horizontal="left" vertical="top" wrapText="1"/>
      <protection locked="0"/>
    </xf>
    <xf numFmtId="0" fontId="3" fillId="0" borderId="0" xfId="126" applyFont="1" applyAlignment="1" applyProtection="1">
      <alignment horizontal="left" vertical="top" wrapText="1"/>
      <protection locked="0"/>
    </xf>
    <xf numFmtId="0" fontId="92" fillId="0" borderId="0" xfId="126" applyFont="1" applyAlignment="1" applyProtection="1">
      <alignment horizontal="left" vertical="top" wrapText="1"/>
      <protection locked="0"/>
    </xf>
    <xf numFmtId="0" fontId="77" fillId="63" borderId="48" xfId="126" applyFont="1" applyFill="1" applyBorder="1" applyAlignment="1" applyProtection="1">
      <alignment horizontal="center" vertical="top"/>
      <protection locked="0"/>
    </xf>
    <xf numFmtId="0" fontId="77" fillId="63" borderId="0" xfId="126" applyFont="1" applyFill="1" applyBorder="1" applyAlignment="1" applyProtection="1">
      <alignment horizontal="center" vertical="top"/>
      <protection locked="0"/>
    </xf>
    <xf numFmtId="0" fontId="77" fillId="63" borderId="29" xfId="126" applyFont="1" applyFill="1" applyBorder="1" applyAlignment="1" applyProtection="1">
      <alignment horizontal="center" vertical="top"/>
      <protection locked="0"/>
    </xf>
    <xf numFmtId="0" fontId="77" fillId="63" borderId="54" xfId="126" applyFont="1" applyFill="1" applyBorder="1" applyAlignment="1" applyProtection="1">
      <alignment horizontal="center" vertical="center"/>
      <protection locked="0"/>
    </xf>
    <xf numFmtId="0" fontId="77" fillId="63" borderId="13" xfId="126" applyFont="1" applyFill="1" applyBorder="1" applyAlignment="1" applyProtection="1">
      <alignment horizontal="center" vertical="center"/>
      <protection locked="0"/>
    </xf>
    <xf numFmtId="0" fontId="77" fillId="63" borderId="51" xfId="126" applyFont="1" applyFill="1" applyBorder="1" applyAlignment="1" applyProtection="1">
      <alignment horizontal="center" vertical="center"/>
      <protection locked="0"/>
    </xf>
    <xf numFmtId="0" fontId="77" fillId="0" borderId="46" xfId="126" applyFont="1" applyBorder="1" applyAlignment="1" applyProtection="1">
      <alignment vertical="top" wrapText="1"/>
      <protection locked="0"/>
    </xf>
    <xf numFmtId="0" fontId="77" fillId="0" borderId="30" xfId="126" applyFont="1" applyBorder="1" applyAlignment="1" applyProtection="1">
      <alignment vertical="top" wrapText="1"/>
      <protection locked="0"/>
    </xf>
    <xf numFmtId="0" fontId="3" fillId="0" borderId="0" xfId="126" applyFont="1" applyBorder="1" applyAlignment="1" applyProtection="1">
      <alignment horizontal="left" vertical="top" wrapText="1"/>
      <protection locked="0"/>
    </xf>
    <xf numFmtId="0" fontId="5" fillId="0" borderId="0" xfId="126" applyFont="1" applyBorder="1" applyAlignment="1" applyProtection="1">
      <alignment horizontal="left" vertical="top" wrapText="1"/>
      <protection locked="0"/>
    </xf>
    <xf numFmtId="0" fontId="77" fillId="0" borderId="0" xfId="126" applyFont="1" applyBorder="1" applyAlignment="1" applyProtection="1">
      <alignment horizontal="center" vertical="top" wrapText="1"/>
      <protection locked="0"/>
    </xf>
    <xf numFmtId="0" fontId="88" fillId="64" borderId="103" xfId="126" applyFont="1" applyFill="1" applyBorder="1" applyAlignment="1" applyProtection="1">
      <alignment horizontal="left" vertical="top" wrapText="1"/>
      <protection locked="0"/>
    </xf>
    <xf numFmtId="0" fontId="111" fillId="0" borderId="0" xfId="126" applyFont="1" applyBorder="1" applyAlignment="1" applyProtection="1">
      <alignment horizontal="center" vertical="top" wrapText="1"/>
      <protection locked="0"/>
    </xf>
    <xf numFmtId="0" fontId="77" fillId="63" borderId="48" xfId="126" applyFont="1" applyFill="1" applyBorder="1" applyAlignment="1" applyProtection="1">
      <alignment horizontal="left" vertical="center"/>
      <protection locked="0"/>
    </xf>
    <xf numFmtId="0" fontId="77" fillId="63" borderId="0" xfId="126" applyFont="1" applyFill="1" applyBorder="1" applyAlignment="1" applyProtection="1">
      <alignment horizontal="left" vertical="center"/>
      <protection locked="0"/>
    </xf>
    <xf numFmtId="0" fontId="0" fillId="63" borderId="53" xfId="126" applyFont="1" applyFill="1" applyBorder="1" applyAlignment="1" applyProtection="1">
      <alignment vertical="top" wrapText="1"/>
      <protection locked="0"/>
    </xf>
    <xf numFmtId="0" fontId="5" fillId="63" borderId="12" xfId="126" applyFont="1" applyFill="1" applyBorder="1" applyAlignment="1" applyProtection="1">
      <alignment vertical="top" wrapText="1"/>
      <protection locked="0"/>
    </xf>
    <xf numFmtId="0" fontId="77" fillId="0" borderId="0" xfId="126" applyFont="1" applyBorder="1" applyAlignment="1" applyProtection="1">
      <alignment horizontal="left" vertical="top" wrapText="1"/>
      <protection locked="0"/>
    </xf>
    <xf numFmtId="0" fontId="111" fillId="0" borderId="0" xfId="126" applyFont="1" applyBorder="1" applyAlignment="1" applyProtection="1">
      <alignment horizontal="center"/>
      <protection locked="0"/>
    </xf>
    <xf numFmtId="0" fontId="14" fillId="0" borderId="0" xfId="126" applyFont="1" applyBorder="1" applyAlignment="1" applyProtection="1">
      <alignment horizontal="left" vertical="top" wrapText="1"/>
      <protection locked="0"/>
    </xf>
    <xf numFmtId="0" fontId="0" fillId="0" borderId="0" xfId="126" applyFont="1" applyBorder="1" applyAlignment="1" applyProtection="1">
      <alignment horizontal="left" vertical="top" wrapText="1"/>
      <protection locked="0"/>
    </xf>
    <xf numFmtId="0" fontId="77" fillId="63" borderId="70" xfId="126" applyFont="1" applyFill="1" applyBorder="1" applyAlignment="1" applyProtection="1">
      <alignment horizontal="center"/>
      <protection locked="0"/>
    </xf>
    <xf numFmtId="0" fontId="77" fillId="63" borderId="71" xfId="126" applyFont="1" applyFill="1" applyBorder="1" applyAlignment="1" applyProtection="1">
      <alignment horizontal="center"/>
      <protection locked="0"/>
    </xf>
    <xf numFmtId="0" fontId="77" fillId="63" borderId="45" xfId="126" applyFont="1" applyFill="1" applyBorder="1" applyAlignment="1" applyProtection="1">
      <alignment horizontal="center"/>
      <protection locked="0"/>
    </xf>
    <xf numFmtId="0" fontId="77" fillId="67" borderId="70" xfId="126" applyFont="1" applyFill="1" applyBorder="1" applyAlignment="1" applyProtection="1">
      <alignment horizontal="center" vertical="top"/>
      <protection locked="0"/>
    </xf>
    <xf numFmtId="0" fontId="77" fillId="67" borderId="71" xfId="126" applyFont="1" applyFill="1" applyBorder="1" applyAlignment="1" applyProtection="1">
      <alignment horizontal="center" vertical="top"/>
      <protection locked="0"/>
    </xf>
    <xf numFmtId="0" fontId="77" fillId="67" borderId="45" xfId="126" applyFont="1" applyFill="1" applyBorder="1" applyAlignment="1" applyProtection="1">
      <alignment horizontal="center" vertical="top"/>
      <protection locked="0"/>
    </xf>
    <xf numFmtId="174" fontId="92" fillId="29" borderId="48" xfId="127" applyNumberFormat="1" applyFont="1" applyFill="1" applyBorder="1" applyAlignment="1" applyProtection="1">
      <alignment horizontal="center" vertical="top"/>
      <protection locked="0"/>
    </xf>
    <xf numFmtId="174" fontId="92" fillId="29" borderId="0" xfId="127" applyNumberFormat="1" applyFont="1" applyFill="1" applyBorder="1" applyAlignment="1" applyProtection="1">
      <alignment horizontal="center" vertical="top"/>
      <protection locked="0"/>
    </xf>
    <xf numFmtId="174" fontId="92" fillId="29" borderId="29" xfId="127" applyNumberFormat="1" applyFont="1" applyFill="1" applyBorder="1" applyAlignment="1" applyProtection="1">
      <alignment horizontal="center" vertical="top"/>
      <protection locked="0"/>
    </xf>
    <xf numFmtId="0" fontId="108" fillId="0" borderId="0" xfId="126" applyFont="1" applyAlignment="1" applyProtection="1">
      <alignment horizontal="center" vertical="top"/>
      <protection locked="0"/>
    </xf>
    <xf numFmtId="0" fontId="14" fillId="0" borderId="0" xfId="126" applyFont="1" applyAlignment="1" applyProtection="1">
      <alignment horizontal="left" vertical="top" wrapText="1"/>
      <protection locked="0"/>
    </xf>
    <xf numFmtId="0" fontId="123" fillId="0" borderId="0" xfId="0" applyFont="1" applyAlignment="1">
      <alignment horizontal="left" vertical="top" wrapText="1"/>
    </xf>
    <xf numFmtId="0" fontId="17" fillId="0" borderId="49" xfId="0" applyFont="1" applyBorder="1" applyAlignment="1">
      <alignment horizontal="center" vertical="top" wrapText="1"/>
    </xf>
    <xf numFmtId="0" fontId="17" fillId="0" borderId="88" xfId="0" applyFont="1" applyBorder="1" applyAlignment="1">
      <alignment horizontal="center" vertical="top" wrapText="1"/>
    </xf>
    <xf numFmtId="0" fontId="17" fillId="0" borderId="159" xfId="0" applyFont="1" applyBorder="1" applyAlignment="1">
      <alignment horizontal="center" vertical="top" wrapText="1"/>
    </xf>
    <xf numFmtId="0" fontId="17" fillId="0" borderId="75" xfId="0" applyFont="1" applyBorder="1" applyAlignment="1">
      <alignment horizontal="center" vertical="top" wrapText="1"/>
    </xf>
    <xf numFmtId="0" fontId="17" fillId="0" borderId="13" xfId="0" applyFont="1" applyBorder="1" applyAlignment="1">
      <alignment horizontal="center" vertical="top" wrapText="1"/>
    </xf>
    <xf numFmtId="0" fontId="17" fillId="0" borderId="33" xfId="0" applyFont="1" applyBorder="1" applyAlignment="1">
      <alignment horizontal="center" vertical="top" wrapText="1"/>
    </xf>
    <xf numFmtId="0" fontId="17" fillId="0" borderId="30" xfId="0" applyFont="1" applyBorder="1" applyAlignment="1">
      <alignment horizontal="center" vertical="center"/>
    </xf>
    <xf numFmtId="0" fontId="17" fillId="0" borderId="31" xfId="0" applyFont="1" applyBorder="1" applyAlignment="1">
      <alignment horizontal="center" vertical="center"/>
    </xf>
    <xf numFmtId="0" fontId="17" fillId="0" borderId="30" xfId="0" applyFont="1" applyBorder="1" applyAlignment="1">
      <alignment horizontal="center" vertical="center" wrapText="1"/>
    </xf>
    <xf numFmtId="0" fontId="17" fillId="0" borderId="31" xfId="0" applyFont="1" applyBorder="1" applyAlignment="1">
      <alignment horizontal="center" vertical="center" wrapText="1"/>
    </xf>
    <xf numFmtId="0" fontId="17" fillId="0" borderId="49" xfId="0" applyFont="1" applyBorder="1" applyAlignment="1">
      <alignment horizontal="center"/>
    </xf>
    <xf numFmtId="0" fontId="17" fillId="0" borderId="159" xfId="0" applyFont="1" applyBorder="1" applyAlignment="1">
      <alignment horizontal="center"/>
    </xf>
    <xf numFmtId="0" fontId="21" fillId="0" borderId="0" xfId="46" applyFont="1" applyAlignment="1" applyProtection="1">
      <alignment horizontal="center" vertical="top" wrapText="1"/>
      <protection locked="0"/>
    </xf>
    <xf numFmtId="0" fontId="17" fillId="0" borderId="46" xfId="0" applyFont="1" applyBorder="1" applyAlignment="1">
      <alignment horizontal="center"/>
    </xf>
    <xf numFmtId="0" fontId="17" fillId="0" borderId="30" xfId="0" applyFont="1" applyBorder="1" applyAlignment="1">
      <alignment horizontal="center"/>
    </xf>
    <xf numFmtId="0" fontId="17" fillId="0" borderId="65" xfId="0" applyFont="1" applyBorder="1" applyAlignment="1">
      <alignment horizontal="center" vertical="center"/>
    </xf>
    <xf numFmtId="0" fontId="17" fillId="0" borderId="31" xfId="0" applyFont="1" applyBorder="1" applyAlignment="1">
      <alignment horizontal="center"/>
    </xf>
    <xf numFmtId="0" fontId="17" fillId="0" borderId="70" xfId="0" applyFont="1" applyFill="1" applyBorder="1" applyAlignment="1">
      <alignment horizontal="center" wrapText="1"/>
    </xf>
    <xf numFmtId="0" fontId="17" fillId="0" borderId="71" xfId="0" applyFont="1" applyFill="1" applyBorder="1" applyAlignment="1">
      <alignment horizontal="center" wrapText="1"/>
    </xf>
    <xf numFmtId="0" fontId="17" fillId="0" borderId="45" xfId="0" applyFont="1" applyFill="1" applyBorder="1" applyAlignment="1">
      <alignment horizontal="center" wrapText="1"/>
    </xf>
    <xf numFmtId="0" fontId="17" fillId="0" borderId="88" xfId="0" applyFont="1" applyBorder="1" applyAlignment="1">
      <alignment horizontal="center"/>
    </xf>
    <xf numFmtId="0" fontId="14" fillId="29" borderId="87" xfId="0" applyFont="1" applyFill="1" applyBorder="1" applyAlignment="1">
      <alignment horizontal="left" vertical="top"/>
    </xf>
    <xf numFmtId="0" fontId="0" fillId="29" borderId="65" xfId="0" applyFill="1" applyBorder="1" applyAlignment="1">
      <alignment horizontal="left" vertical="top"/>
    </xf>
    <xf numFmtId="0" fontId="0" fillId="29" borderId="22" xfId="0" applyFill="1" applyBorder="1" applyAlignment="1">
      <alignment horizontal="left" vertical="top"/>
    </xf>
    <xf numFmtId="0" fontId="17" fillId="28" borderId="70" xfId="0" applyFont="1" applyFill="1" applyBorder="1" applyAlignment="1">
      <alignment horizontal="center" wrapText="1"/>
    </xf>
    <xf numFmtId="0" fontId="17" fillId="28" borderId="71" xfId="0" applyFont="1" applyFill="1" applyBorder="1" applyAlignment="1">
      <alignment horizontal="center" wrapText="1"/>
    </xf>
    <xf numFmtId="0" fontId="17" fillId="28" borderId="45" xfId="0" applyFont="1" applyFill="1" applyBorder="1" applyAlignment="1">
      <alignment horizontal="center" wrapText="1"/>
    </xf>
    <xf numFmtId="0" fontId="14" fillId="65" borderId="0" xfId="0" applyFont="1" applyFill="1" applyAlignment="1">
      <alignment horizontal="left" vertical="top" wrapText="1"/>
    </xf>
    <xf numFmtId="0" fontId="123" fillId="65" borderId="0" xfId="0" applyFont="1" applyFill="1" applyAlignment="1">
      <alignment horizontal="left" vertical="top" wrapText="1"/>
    </xf>
    <xf numFmtId="0" fontId="17" fillId="0" borderId="30" xfId="0" applyFont="1" applyFill="1" applyBorder="1" applyAlignment="1">
      <alignment horizontal="center"/>
    </xf>
    <xf numFmtId="0" fontId="123" fillId="0" borderId="0" xfId="0" applyFont="1" applyAlignment="1">
      <alignment horizontal="left" vertical="top"/>
    </xf>
    <xf numFmtId="0" fontId="62" fillId="0" borderId="0" xfId="46" applyFont="1" applyFill="1" applyBorder="1" applyAlignment="1" applyProtection="1">
      <alignment horizontal="center" vertical="center" wrapText="1"/>
      <protection locked="0"/>
    </xf>
    <xf numFmtId="0" fontId="0" fillId="0" borderId="0" xfId="0" applyAlignment="1" applyProtection="1">
      <alignment vertical="top" wrapText="1"/>
      <protection locked="0"/>
    </xf>
    <xf numFmtId="0" fontId="0" fillId="0" borderId="0" xfId="0" applyAlignment="1" applyProtection="1">
      <alignment horizontal="left" vertical="top" wrapText="1"/>
      <protection locked="0"/>
    </xf>
    <xf numFmtId="0" fontId="14" fillId="0" borderId="0" xfId="0" quotePrefix="1" applyFont="1" applyAlignment="1" applyProtection="1">
      <alignment horizontal="left" vertical="top" wrapText="1"/>
      <protection locked="0"/>
    </xf>
    <xf numFmtId="0" fontId="17" fillId="27" borderId="75" xfId="0" applyFont="1" applyFill="1" applyBorder="1" applyAlignment="1" applyProtection="1">
      <alignment horizontal="left"/>
      <protection locked="0"/>
    </xf>
    <xf numFmtId="0" fontId="17" fillId="27" borderId="13" xfId="0" applyFont="1" applyFill="1" applyBorder="1" applyAlignment="1" applyProtection="1">
      <alignment horizontal="left"/>
      <protection locked="0"/>
    </xf>
    <xf numFmtId="0" fontId="17" fillId="27" borderId="33" xfId="0" applyFont="1" applyFill="1" applyBorder="1" applyAlignment="1" applyProtection="1">
      <alignment horizontal="left"/>
      <protection locked="0"/>
    </xf>
    <xf numFmtId="0" fontId="17" fillId="27" borderId="77" xfId="0" applyFont="1" applyFill="1" applyBorder="1" applyAlignment="1" applyProtection="1">
      <alignment horizontal="left"/>
      <protection locked="0"/>
    </xf>
    <xf numFmtId="0" fontId="17" fillId="27" borderId="12" xfId="0" applyFont="1" applyFill="1" applyBorder="1" applyAlignment="1" applyProtection="1">
      <alignment horizontal="left"/>
      <protection locked="0"/>
    </xf>
    <xf numFmtId="0" fontId="17" fillId="27" borderId="16" xfId="0" applyFont="1" applyFill="1" applyBorder="1" applyAlignment="1" applyProtection="1">
      <alignment horizontal="left"/>
      <protection locked="0"/>
    </xf>
    <xf numFmtId="0" fontId="14" fillId="29" borderId="70" xfId="0" applyFont="1" applyFill="1" applyBorder="1" applyAlignment="1">
      <alignment horizontal="left" vertical="top" wrapText="1"/>
    </xf>
    <xf numFmtId="0" fontId="0" fillId="29" borderId="71" xfId="0" applyFill="1" applyBorder="1" applyAlignment="1">
      <alignment horizontal="left" vertical="top" wrapText="1"/>
    </xf>
    <xf numFmtId="0" fontId="0" fillId="29" borderId="45" xfId="0" applyFill="1" applyBorder="1" applyAlignment="1">
      <alignment horizontal="left" vertical="top" wrapText="1"/>
    </xf>
    <xf numFmtId="0" fontId="0" fillId="29" borderId="48" xfId="0" applyFill="1" applyBorder="1" applyAlignment="1">
      <alignment horizontal="left" vertical="top" wrapText="1"/>
    </xf>
    <xf numFmtId="0" fontId="0" fillId="29" borderId="0" xfId="0" applyFill="1" applyBorder="1" applyAlignment="1">
      <alignment horizontal="left" vertical="top" wrapText="1"/>
    </xf>
    <xf numFmtId="0" fontId="0" fillId="29" borderId="29" xfId="0" applyFill="1" applyBorder="1" applyAlignment="1">
      <alignment horizontal="left" vertical="top" wrapText="1"/>
    </xf>
    <xf numFmtId="0" fontId="0" fillId="29" borderId="46" xfId="0" applyFill="1" applyBorder="1" applyAlignment="1">
      <alignment horizontal="left" vertical="top" wrapText="1"/>
    </xf>
    <xf numFmtId="0" fontId="0" fillId="29" borderId="30" xfId="0" applyFill="1" applyBorder="1" applyAlignment="1">
      <alignment horizontal="left" vertical="top" wrapText="1"/>
    </xf>
    <xf numFmtId="0" fontId="0" fillId="29" borderId="31" xfId="0" applyFill="1" applyBorder="1" applyAlignment="1">
      <alignment horizontal="left" vertical="top" wrapText="1"/>
    </xf>
    <xf numFmtId="0" fontId="21" fillId="0" borderId="0" xfId="0" applyFont="1" applyAlignment="1">
      <alignment horizontal="center"/>
    </xf>
    <xf numFmtId="0" fontId="0" fillId="29" borderId="70" xfId="0" applyFill="1" applyBorder="1" applyAlignment="1">
      <alignment horizontal="left" vertical="top" wrapText="1"/>
    </xf>
    <xf numFmtId="0" fontId="17" fillId="0" borderId="54" xfId="0" quotePrefix="1" applyFont="1" applyBorder="1" applyAlignment="1" applyProtection="1">
      <alignment horizontal="left"/>
      <protection locked="0"/>
    </xf>
    <xf numFmtId="0" fontId="17" fillId="0" borderId="33" xfId="0" applyFont="1" applyBorder="1" applyAlignment="1" applyProtection="1">
      <alignment horizontal="left"/>
      <protection locked="0"/>
    </xf>
    <xf numFmtId="0" fontId="17" fillId="0" borderId="54" xfId="0" applyFont="1" applyBorder="1" applyAlignment="1" applyProtection="1">
      <alignment horizontal="left"/>
      <protection locked="0"/>
    </xf>
    <xf numFmtId="0" fontId="17" fillId="0" borderId="54" xfId="0" quotePrefix="1" applyFont="1" applyBorder="1" applyAlignment="1" applyProtection="1">
      <alignment horizontal="left" vertical="top" wrapText="1"/>
      <protection locked="0"/>
    </xf>
    <xf numFmtId="0" fontId="17" fillId="0" borderId="33" xfId="0" quotePrefix="1" applyFont="1" applyBorder="1" applyAlignment="1" applyProtection="1">
      <alignment horizontal="left" vertical="top" wrapText="1"/>
      <protection locked="0"/>
    </xf>
    <xf numFmtId="0" fontId="83" fillId="0" borderId="87" xfId="0" applyFont="1" applyBorder="1" applyAlignment="1" applyProtection="1">
      <alignment horizontal="left" vertical="center"/>
      <protection locked="0"/>
    </xf>
    <xf numFmtId="0" fontId="83" fillId="0" borderId="23" xfId="0" applyFont="1" applyBorder="1" applyAlignment="1" applyProtection="1">
      <alignment horizontal="left" vertical="center"/>
      <protection locked="0"/>
    </xf>
    <xf numFmtId="0" fontId="17" fillId="0" borderId="54" xfId="0" applyFont="1" applyBorder="1" applyAlignment="1" applyProtection="1">
      <alignment horizontal="left" vertical="top" wrapText="1"/>
      <protection locked="0"/>
    </xf>
    <xf numFmtId="0" fontId="17" fillId="0" borderId="33" xfId="0" applyFont="1" applyBorder="1" applyAlignment="1" applyProtection="1">
      <alignment horizontal="left" vertical="top" wrapText="1"/>
      <protection locked="0"/>
    </xf>
    <xf numFmtId="0" fontId="17" fillId="0" borderId="65" xfId="0" applyFont="1" applyBorder="1" applyAlignment="1" applyProtection="1">
      <alignment horizontal="center"/>
      <protection locked="0"/>
    </xf>
    <xf numFmtId="0" fontId="17" fillId="0" borderId="32" xfId="0" applyFont="1" applyBorder="1" applyAlignment="1" applyProtection="1">
      <alignment horizontal="left" vertical="center"/>
      <protection locked="0"/>
    </xf>
    <xf numFmtId="0" fontId="17" fillId="0" borderId="24" xfId="0" applyFont="1" applyBorder="1" applyAlignment="1" applyProtection="1">
      <alignment horizontal="left" vertical="center"/>
      <protection locked="0"/>
    </xf>
    <xf numFmtId="0" fontId="0" fillId="0" borderId="27" xfId="0" quotePrefix="1" applyBorder="1" applyAlignment="1" applyProtection="1">
      <alignment horizontal="center"/>
      <protection locked="0"/>
    </xf>
    <xf numFmtId="0" fontId="0" fillId="0" borderId="10" xfId="0" quotePrefix="1" applyBorder="1" applyAlignment="1" applyProtection="1">
      <alignment horizontal="center"/>
      <protection locked="0"/>
    </xf>
    <xf numFmtId="0" fontId="19" fillId="0" borderId="0" xfId="0" applyFont="1" applyAlignment="1" applyProtection="1">
      <alignment horizontal="center"/>
      <protection locked="0"/>
    </xf>
    <xf numFmtId="0" fontId="17" fillId="25" borderId="32" xfId="0" applyFont="1" applyFill="1" applyBorder="1" applyAlignment="1" applyProtection="1">
      <alignment horizontal="center"/>
      <protection locked="0"/>
    </xf>
    <xf numFmtId="0" fontId="17" fillId="25" borderId="24" xfId="0" applyFont="1" applyFill="1" applyBorder="1" applyAlignment="1" applyProtection="1">
      <alignment horizontal="center"/>
      <protection locked="0"/>
    </xf>
    <xf numFmtId="0" fontId="17" fillId="25" borderId="24" xfId="0" applyFont="1" applyFill="1" applyBorder="1" applyAlignment="1" applyProtection="1">
      <alignment horizontal="center" vertical="center" wrapText="1"/>
      <protection locked="0"/>
    </xf>
    <xf numFmtId="0" fontId="17" fillId="25" borderId="10" xfId="0" applyFont="1" applyFill="1" applyBorder="1" applyAlignment="1" applyProtection="1">
      <alignment horizontal="center" vertical="center" wrapText="1"/>
      <protection locked="0"/>
    </xf>
    <xf numFmtId="0" fontId="0" fillId="25" borderId="10" xfId="0" applyFill="1" applyBorder="1" applyAlignment="1" applyProtection="1">
      <alignment horizontal="center" vertical="center" wrapText="1"/>
      <protection locked="0"/>
    </xf>
    <xf numFmtId="0" fontId="17" fillId="25" borderId="24" xfId="0" applyFont="1" applyFill="1" applyBorder="1" applyAlignment="1" applyProtection="1">
      <alignment horizontal="center" wrapText="1"/>
      <protection locked="0"/>
    </xf>
    <xf numFmtId="0" fontId="17" fillId="25" borderId="10" xfId="0" applyFont="1" applyFill="1" applyBorder="1" applyAlignment="1" applyProtection="1">
      <alignment horizontal="center" wrapText="1"/>
      <protection locked="0"/>
    </xf>
    <xf numFmtId="0" fontId="17" fillId="25" borderId="62" xfId="0" applyFont="1" applyFill="1" applyBorder="1" applyAlignment="1" applyProtection="1">
      <alignment horizontal="center" wrapText="1"/>
      <protection locked="0"/>
    </xf>
    <xf numFmtId="0" fontId="17" fillId="25" borderId="25" xfId="0" applyFont="1" applyFill="1" applyBorder="1" applyAlignment="1" applyProtection="1">
      <alignment horizontal="center" wrapText="1"/>
      <protection locked="0"/>
    </xf>
    <xf numFmtId="0" fontId="17" fillId="25" borderId="27" xfId="0" applyFont="1" applyFill="1" applyBorder="1" applyAlignment="1" applyProtection="1">
      <protection locked="0"/>
    </xf>
    <xf numFmtId="0" fontId="0" fillId="25" borderId="27" xfId="0" applyFill="1" applyBorder="1" applyAlignment="1" applyProtection="1">
      <protection locked="0"/>
    </xf>
    <xf numFmtId="0" fontId="17" fillId="25" borderId="10" xfId="0" applyFont="1" applyFill="1" applyBorder="1" applyAlignment="1" applyProtection="1">
      <protection locked="0"/>
    </xf>
    <xf numFmtId="0" fontId="0" fillId="25" borderId="10" xfId="0" applyFill="1" applyBorder="1" applyAlignment="1" applyProtection="1">
      <protection locked="0"/>
    </xf>
    <xf numFmtId="0" fontId="17" fillId="25" borderId="73" xfId="0" applyFont="1" applyFill="1" applyBorder="1" applyAlignment="1" applyProtection="1">
      <alignment horizontal="center" vertical="center" wrapText="1"/>
      <protection locked="0"/>
    </xf>
    <xf numFmtId="0" fontId="17" fillId="25" borderId="11" xfId="0" applyFont="1" applyFill="1" applyBorder="1" applyAlignment="1" applyProtection="1">
      <alignment horizontal="center" vertical="center" wrapText="1"/>
      <protection locked="0"/>
    </xf>
    <xf numFmtId="0" fontId="0" fillId="25" borderId="19" xfId="0" applyFill="1" applyBorder="1" applyAlignment="1" applyProtection="1">
      <alignment horizontal="center" vertical="center" wrapText="1"/>
      <protection locked="0"/>
    </xf>
    <xf numFmtId="0" fontId="17" fillId="25" borderId="90" xfId="0" applyFont="1" applyFill="1" applyBorder="1" applyAlignment="1" applyProtection="1">
      <protection locked="0"/>
    </xf>
    <xf numFmtId="0" fontId="0" fillId="25" borderId="76" xfId="0" applyFill="1" applyBorder="1" applyAlignment="1" applyProtection="1">
      <protection locked="0"/>
    </xf>
    <xf numFmtId="0" fontId="17" fillId="25" borderId="17" xfId="0" applyFont="1" applyFill="1" applyBorder="1" applyAlignment="1" applyProtection="1">
      <protection locked="0"/>
    </xf>
    <xf numFmtId="0" fontId="0" fillId="25" borderId="19" xfId="0" applyFill="1" applyBorder="1" applyAlignment="1" applyProtection="1">
      <protection locked="0"/>
    </xf>
    <xf numFmtId="0" fontId="17" fillId="0" borderId="0" xfId="0" applyFont="1" applyAlignment="1" applyProtection="1">
      <alignment horizontal="left" vertical="center" wrapText="1" indent="4"/>
      <protection locked="0"/>
    </xf>
    <xf numFmtId="0" fontId="0" fillId="0" borderId="0" xfId="0" applyAlignment="1" applyProtection="1">
      <alignment horizontal="left" wrapText="1" indent="4"/>
      <protection locked="0"/>
    </xf>
    <xf numFmtId="0" fontId="17" fillId="0" borderId="0" xfId="0" applyFont="1" applyAlignment="1" applyProtection="1">
      <alignment horizontal="left" vertical="top" wrapText="1"/>
      <protection locked="0"/>
    </xf>
    <xf numFmtId="0" fontId="17" fillId="25" borderId="0" xfId="0" applyFont="1" applyFill="1" applyBorder="1" applyAlignment="1" applyProtection="1">
      <alignment horizontal="center" wrapText="1"/>
      <protection locked="0"/>
    </xf>
    <xf numFmtId="0" fontId="21" fillId="0" borderId="0" xfId="46" applyFont="1" applyFill="1" applyAlignment="1" applyProtection="1">
      <alignment horizontal="center" vertical="center"/>
      <protection locked="0"/>
    </xf>
    <xf numFmtId="0" fontId="17" fillId="0" borderId="0" xfId="46" applyFont="1" applyBorder="1" applyAlignment="1" applyProtection="1">
      <alignment horizontal="right" wrapText="1"/>
      <protection locked="0"/>
    </xf>
    <xf numFmtId="0" fontId="14" fillId="0" borderId="12" xfId="46" applyBorder="1" applyAlignment="1" applyProtection="1">
      <alignment wrapText="1"/>
      <protection locked="0"/>
    </xf>
    <xf numFmtId="0" fontId="17" fillId="0" borderId="12" xfId="46" applyFont="1" applyBorder="1" applyAlignment="1" applyProtection="1">
      <alignment horizontal="center" vertical="center"/>
      <protection locked="0"/>
    </xf>
    <xf numFmtId="0" fontId="45" fillId="29" borderId="0" xfId="0" applyFont="1" applyFill="1" applyAlignment="1" applyProtection="1">
      <alignment horizontal="center"/>
      <protection locked="0"/>
    </xf>
    <xf numFmtId="0" fontId="14" fillId="29" borderId="0" xfId="46" applyFill="1" applyAlignment="1" applyProtection="1">
      <protection locked="0"/>
    </xf>
    <xf numFmtId="0" fontId="17" fillId="0" borderId="0" xfId="46" applyFont="1" applyAlignment="1" applyProtection="1">
      <alignment horizontal="center" vertical="center"/>
      <protection locked="0"/>
    </xf>
    <xf numFmtId="0" fontId="20" fillId="0" borderId="0" xfId="46" applyFont="1" applyBorder="1" applyAlignment="1" applyProtection="1">
      <alignment horizontal="left"/>
      <protection locked="0"/>
    </xf>
    <xf numFmtId="0" fontId="17" fillId="0" borderId="0" xfId="0" applyFont="1" applyAlignment="1" applyProtection="1">
      <alignment horizontal="center" vertical="center"/>
      <protection locked="0"/>
    </xf>
    <xf numFmtId="0" fontId="17" fillId="0" borderId="0" xfId="0" applyFont="1" applyFill="1" applyAlignment="1" applyProtection="1">
      <alignment horizontal="left" vertical="center" wrapText="1"/>
      <protection locked="0"/>
    </xf>
    <xf numFmtId="0" fontId="14" fillId="29" borderId="0" xfId="0" applyFont="1" applyFill="1" applyBorder="1" applyAlignment="1" applyProtection="1">
      <alignment horizontal="left" vertical="center" wrapText="1"/>
      <protection locked="0"/>
    </xf>
    <xf numFmtId="0" fontId="14" fillId="24" borderId="0" xfId="0" applyFont="1" applyFill="1" applyBorder="1" applyAlignment="1" applyProtection="1">
      <alignment horizontal="left" vertical="center" wrapText="1"/>
      <protection locked="0"/>
    </xf>
    <xf numFmtId="0" fontId="14" fillId="0" borderId="43" xfId="0" applyFont="1" applyBorder="1" applyAlignment="1" applyProtection="1">
      <alignment wrapText="1"/>
      <protection locked="0"/>
    </xf>
    <xf numFmtId="0" fontId="14" fillId="0" borderId="41" xfId="0" applyFont="1" applyBorder="1" applyAlignment="1" applyProtection="1">
      <alignment wrapText="1"/>
      <protection locked="0"/>
    </xf>
    <xf numFmtId="0" fontId="119" fillId="0" borderId="0" xfId="0" applyFont="1" applyFill="1" applyAlignment="1" applyProtection="1">
      <alignment horizontal="center" vertical="center"/>
      <protection locked="0"/>
    </xf>
    <xf numFmtId="9" fontId="14" fillId="29" borderId="29" xfId="42" applyFont="1" applyFill="1" applyBorder="1" applyAlignment="1" applyProtection="1">
      <alignment wrapText="1"/>
      <protection locked="0"/>
    </xf>
    <xf numFmtId="9" fontId="14" fillId="24" borderId="31" xfId="42" applyFont="1" applyFill="1" applyBorder="1" applyAlignment="1" applyProtection="1">
      <alignment wrapText="1"/>
      <protection locked="0"/>
    </xf>
    <xf numFmtId="10" fontId="14" fillId="0" borderId="43" xfId="42" applyNumberFormat="1" applyFont="1" applyBorder="1" applyAlignment="1" applyProtection="1">
      <alignment horizontal="center" vertical="center"/>
      <protection locked="0"/>
    </xf>
    <xf numFmtId="10" fontId="14" fillId="0" borderId="41" xfId="42" applyNumberFormat="1" applyFont="1" applyBorder="1" applyAlignment="1" applyProtection="1">
      <alignment horizontal="center" vertical="center"/>
      <protection locked="0"/>
    </xf>
    <xf numFmtId="0" fontId="20" fillId="0" borderId="0" xfId="0" applyFont="1" applyAlignment="1" applyProtection="1">
      <alignment horizontal="center"/>
      <protection locked="0"/>
    </xf>
    <xf numFmtId="0" fontId="0" fillId="0" borderId="32" xfId="0" applyFill="1" applyBorder="1" applyAlignment="1" applyProtection="1">
      <alignment horizontal="center"/>
      <protection locked="0"/>
    </xf>
    <xf numFmtId="0" fontId="0" fillId="0" borderId="24" xfId="0" applyFill="1" applyBorder="1" applyAlignment="1" applyProtection="1">
      <alignment horizontal="center"/>
      <protection locked="0"/>
    </xf>
    <xf numFmtId="0" fontId="0" fillId="0" borderId="27" xfId="0" applyFill="1" applyBorder="1" applyAlignment="1" applyProtection="1">
      <alignment horizontal="center"/>
      <protection locked="0"/>
    </xf>
    <xf numFmtId="0" fontId="0" fillId="0" borderId="10" xfId="0" applyFill="1" applyBorder="1" applyAlignment="1" applyProtection="1">
      <alignment horizontal="center"/>
      <protection locked="0"/>
    </xf>
    <xf numFmtId="0" fontId="17" fillId="0" borderId="79" xfId="0" applyFont="1" applyFill="1" applyBorder="1" applyAlignment="1" applyProtection="1">
      <alignment horizontal="center"/>
      <protection locked="0"/>
    </xf>
    <xf numFmtId="0" fontId="17" fillId="0" borderId="88" xfId="0" applyFont="1" applyFill="1" applyBorder="1" applyAlignment="1" applyProtection="1">
      <alignment horizontal="center"/>
      <protection locked="0"/>
    </xf>
    <xf numFmtId="0" fontId="17" fillId="0" borderId="50" xfId="0" applyFont="1" applyFill="1" applyBorder="1" applyAlignment="1" applyProtection="1">
      <alignment horizontal="center"/>
      <protection locked="0"/>
    </xf>
    <xf numFmtId="0" fontId="17" fillId="0" borderId="74" xfId="0" applyFont="1" applyFill="1" applyBorder="1" applyAlignment="1" applyProtection="1">
      <alignment horizontal="center" vertical="center" wrapText="1"/>
      <protection locked="0"/>
    </xf>
    <xf numFmtId="0" fontId="0" fillId="0" borderId="64" xfId="0" applyFill="1" applyBorder="1" applyAlignment="1" applyProtection="1">
      <alignment horizontal="center" vertical="center" wrapText="1"/>
      <protection locked="0"/>
    </xf>
    <xf numFmtId="0" fontId="43" fillId="27" borderId="75" xfId="0" applyFont="1" applyFill="1" applyBorder="1" applyAlignment="1" applyProtection="1">
      <alignment horizontal="left"/>
      <protection locked="0"/>
    </xf>
    <xf numFmtId="0" fontId="43" fillId="27" borderId="13" xfId="0" applyFont="1" applyFill="1" applyBorder="1" applyAlignment="1" applyProtection="1">
      <alignment horizontal="left"/>
      <protection locked="0"/>
    </xf>
    <xf numFmtId="0" fontId="43" fillId="27" borderId="51" xfId="0" applyFont="1" applyFill="1" applyBorder="1" applyAlignment="1" applyProtection="1">
      <alignment horizontal="left"/>
      <protection locked="0"/>
    </xf>
    <xf numFmtId="0" fontId="43" fillId="27" borderId="75" xfId="0" applyFont="1" applyFill="1" applyBorder="1" applyAlignment="1" applyProtection="1">
      <alignment horizontal="left" vertical="top" wrapText="1"/>
      <protection locked="0"/>
    </xf>
    <xf numFmtId="0" fontId="43" fillId="27" borderId="13" xfId="0" applyFont="1" applyFill="1" applyBorder="1" applyAlignment="1" applyProtection="1">
      <alignment horizontal="left" vertical="top" wrapText="1"/>
      <protection locked="0"/>
    </xf>
    <xf numFmtId="0" fontId="43" fillId="27" borderId="51" xfId="0" applyFont="1" applyFill="1" applyBorder="1" applyAlignment="1" applyProtection="1">
      <alignment horizontal="left" vertical="top" wrapText="1"/>
      <protection locked="0"/>
    </xf>
    <xf numFmtId="0" fontId="37" fillId="0" borderId="0" xfId="0" applyFont="1" applyAlignment="1" applyProtection="1">
      <alignment vertical="top" wrapText="1"/>
      <protection locked="0"/>
    </xf>
    <xf numFmtId="0" fontId="14" fillId="0" borderId="0" xfId="0" applyFont="1" applyAlignment="1" applyProtection="1">
      <alignment vertical="top" wrapText="1"/>
      <protection locked="0"/>
    </xf>
    <xf numFmtId="0" fontId="37" fillId="0" borderId="0" xfId="0" applyFont="1" applyAlignment="1" applyProtection="1">
      <alignment horizontal="left"/>
      <protection locked="0"/>
    </xf>
    <xf numFmtId="0" fontId="42" fillId="0" borderId="0" xfId="0" applyFont="1" applyAlignment="1" applyProtection="1">
      <alignment horizontal="left"/>
      <protection locked="0"/>
    </xf>
    <xf numFmtId="0" fontId="14" fillId="0" borderId="0" xfId="0" applyFont="1" applyAlignment="1" applyProtection="1">
      <alignment wrapText="1"/>
      <protection locked="0"/>
    </xf>
    <xf numFmtId="0" fontId="43" fillId="0" borderId="0" xfId="0" applyFont="1" applyAlignment="1" applyProtection="1">
      <alignment vertical="top" wrapText="1"/>
      <protection locked="0"/>
    </xf>
    <xf numFmtId="0" fontId="42" fillId="0" borderId="0" xfId="0" applyFont="1" applyAlignment="1" applyProtection="1">
      <alignment vertical="top" wrapText="1"/>
      <protection locked="0"/>
    </xf>
    <xf numFmtId="0" fontId="14" fillId="0" borderId="54" xfId="46" applyBorder="1" applyAlignment="1" applyProtection="1">
      <alignment horizontal="left" wrapText="1"/>
      <protection locked="0"/>
    </xf>
    <xf numFmtId="0" fontId="14" fillId="0" borderId="13" xfId="46" applyBorder="1" applyAlignment="1" applyProtection="1">
      <alignment horizontal="left" wrapText="1"/>
      <protection locked="0"/>
    </xf>
    <xf numFmtId="0" fontId="14" fillId="0" borderId="51" xfId="46" applyBorder="1" applyAlignment="1" applyProtection="1">
      <alignment horizontal="left" wrapText="1"/>
      <protection locked="0"/>
    </xf>
    <xf numFmtId="166" fontId="14" fillId="29" borderId="54" xfId="29" applyNumberFormat="1" applyFill="1" applyBorder="1" applyAlignment="1" applyProtection="1">
      <protection locked="0"/>
    </xf>
    <xf numFmtId="0" fontId="14" fillId="29" borderId="13" xfId="46" applyFill="1" applyBorder="1" applyAlignment="1" applyProtection="1">
      <protection locked="0"/>
    </xf>
    <xf numFmtId="0" fontId="14" fillId="29" borderId="51" xfId="46" applyFill="1" applyBorder="1" applyAlignment="1" applyProtection="1">
      <protection locked="0"/>
    </xf>
    <xf numFmtId="0" fontId="14" fillId="0" borderId="48" xfId="46" applyBorder="1" applyAlignment="1" applyProtection="1">
      <alignment horizontal="left" wrapText="1"/>
      <protection locked="0"/>
    </xf>
    <xf numFmtId="0" fontId="14" fillId="0" borderId="0" xfId="46" applyBorder="1" applyAlignment="1" applyProtection="1">
      <alignment horizontal="left" wrapText="1"/>
      <protection locked="0"/>
    </xf>
    <xf numFmtId="0" fontId="14" fillId="0" borderId="29" xfId="46" applyBorder="1" applyAlignment="1" applyProtection="1">
      <alignment horizontal="left" wrapText="1"/>
      <protection locked="0"/>
    </xf>
    <xf numFmtId="0" fontId="14" fillId="29" borderId="89" xfId="46" applyFill="1" applyBorder="1" applyAlignment="1" applyProtection="1">
      <alignment horizontal="left" wrapText="1"/>
      <protection locked="0"/>
    </xf>
    <xf numFmtId="0" fontId="14" fillId="29" borderId="83" xfId="46" applyFill="1" applyBorder="1" applyAlignment="1" applyProtection="1">
      <alignment horizontal="left" wrapText="1"/>
      <protection locked="0"/>
    </xf>
    <xf numFmtId="0" fontId="14" fillId="29" borderId="59" xfId="46" applyFill="1" applyBorder="1" applyAlignment="1" applyProtection="1">
      <alignment horizontal="left" wrapText="1"/>
      <protection locked="0"/>
    </xf>
    <xf numFmtId="166" fontId="14" fillId="29" borderId="89" xfId="29" applyNumberFormat="1" applyFill="1" applyBorder="1" applyAlignment="1" applyProtection="1">
      <protection locked="0"/>
    </xf>
    <xf numFmtId="0" fontId="14" fillId="29" borderId="83" xfId="46" applyFill="1" applyBorder="1" applyAlignment="1" applyProtection="1">
      <protection locked="0"/>
    </xf>
    <xf numFmtId="0" fontId="14" fillId="29" borderId="59" xfId="46" applyFill="1" applyBorder="1" applyAlignment="1" applyProtection="1">
      <protection locked="0"/>
    </xf>
    <xf numFmtId="0" fontId="17" fillId="0" borderId="61" xfId="46" applyFont="1" applyBorder="1" applyAlignment="1" applyProtection="1">
      <alignment horizontal="left"/>
      <protection locked="0"/>
    </xf>
    <xf numFmtId="0" fontId="17" fillId="0" borderId="107" xfId="46" applyFont="1" applyBorder="1" applyAlignment="1" applyProtection="1">
      <alignment horizontal="left"/>
      <protection locked="0"/>
    </xf>
    <xf numFmtId="0" fontId="17" fillId="0" borderId="108" xfId="46" applyFont="1" applyBorder="1" applyAlignment="1" applyProtection="1">
      <alignment horizontal="left"/>
      <protection locked="0"/>
    </xf>
    <xf numFmtId="166" fontId="14" fillId="29" borderId="61" xfId="29" applyNumberFormat="1" applyFill="1" applyBorder="1" applyAlignment="1" applyProtection="1">
      <protection locked="0"/>
    </xf>
    <xf numFmtId="0" fontId="14" fillId="29" borderId="107" xfId="46" applyFill="1" applyBorder="1" applyAlignment="1" applyProtection="1">
      <protection locked="0"/>
    </xf>
    <xf numFmtId="0" fontId="14" fillId="29" borderId="108" xfId="46" applyFill="1" applyBorder="1" applyAlignment="1" applyProtection="1">
      <protection locked="0"/>
    </xf>
    <xf numFmtId="0" fontId="14" fillId="0" borderId="89" xfId="46" applyBorder="1" applyAlignment="1" applyProtection="1">
      <alignment horizontal="left" wrapText="1"/>
      <protection locked="0"/>
    </xf>
    <xf numFmtId="0" fontId="14" fillId="0" borderId="83" xfId="46" applyBorder="1" applyAlignment="1" applyProtection="1">
      <alignment horizontal="left" wrapText="1"/>
      <protection locked="0"/>
    </xf>
    <xf numFmtId="0" fontId="14" fillId="0" borderId="59" xfId="46" applyBorder="1" applyAlignment="1" applyProtection="1">
      <alignment horizontal="left" wrapText="1"/>
      <protection locked="0"/>
    </xf>
    <xf numFmtId="0" fontId="17" fillId="0" borderId="54" xfId="46" applyFont="1" applyBorder="1" applyAlignment="1" applyProtection="1">
      <alignment horizontal="left" wrapText="1"/>
      <protection locked="0"/>
    </xf>
    <xf numFmtId="0" fontId="17" fillId="0" borderId="13" xfId="46" applyFont="1" applyBorder="1" applyAlignment="1" applyProtection="1">
      <alignment horizontal="left" wrapText="1"/>
      <protection locked="0"/>
    </xf>
    <xf numFmtId="0" fontId="17" fillId="0" borderId="51" xfId="46" applyFont="1" applyBorder="1" applyAlignment="1" applyProtection="1">
      <alignment horizontal="left" wrapText="1"/>
      <protection locked="0"/>
    </xf>
    <xf numFmtId="0" fontId="14" fillId="0" borderId="53" xfId="46" applyFont="1" applyFill="1" applyBorder="1" applyAlignment="1" applyProtection="1">
      <alignment horizontal="left" vertical="center" wrapText="1"/>
      <protection locked="0"/>
    </xf>
    <xf numFmtId="0" fontId="14" fillId="0" borderId="12" xfId="46" applyFont="1" applyFill="1" applyBorder="1" applyAlignment="1" applyProtection="1">
      <alignment horizontal="left" vertical="center" wrapText="1"/>
      <protection locked="0"/>
    </xf>
    <xf numFmtId="0" fontId="14" fillId="0" borderId="55" xfId="46" applyFont="1" applyFill="1" applyBorder="1" applyAlignment="1" applyProtection="1">
      <alignment horizontal="left" vertical="center" wrapText="1"/>
      <protection locked="0"/>
    </xf>
    <xf numFmtId="166" fontId="14" fillId="29" borderId="13" xfId="29" applyNumberFormat="1" applyFill="1" applyBorder="1" applyAlignment="1" applyProtection="1">
      <protection locked="0"/>
    </xf>
    <xf numFmtId="0" fontId="14" fillId="0" borderId="52" xfId="46" applyBorder="1" applyAlignment="1" applyProtection="1">
      <alignment horizontal="left" wrapText="1"/>
      <protection locked="0"/>
    </xf>
    <xf numFmtId="0" fontId="14" fillId="0" borderId="120" xfId="46" applyBorder="1" applyAlignment="1" applyProtection="1">
      <alignment horizontal="left" wrapText="1"/>
      <protection locked="0"/>
    </xf>
    <xf numFmtId="0" fontId="14" fillId="0" borderId="56" xfId="46" applyBorder="1" applyAlignment="1" applyProtection="1">
      <alignment horizontal="left" wrapText="1"/>
      <protection locked="0"/>
    </xf>
    <xf numFmtId="166" fontId="14" fillId="0" borderId="52" xfId="29" applyNumberFormat="1" applyFill="1" applyBorder="1" applyAlignment="1" applyProtection="1">
      <protection locked="0"/>
    </xf>
    <xf numFmtId="0" fontId="14" fillId="0" borderId="120" xfId="46" applyFill="1" applyBorder="1" applyAlignment="1" applyProtection="1">
      <protection locked="0"/>
    </xf>
    <xf numFmtId="0" fontId="14" fillId="0" borderId="56" xfId="46" applyFill="1" applyBorder="1" applyAlignment="1" applyProtection="1">
      <protection locked="0"/>
    </xf>
    <xf numFmtId="0" fontId="14" fillId="0" borderId="129" xfId="46" applyBorder="1" applyAlignment="1" applyProtection="1">
      <alignment horizontal="left" wrapText="1"/>
      <protection locked="0"/>
    </xf>
    <xf numFmtId="0" fontId="14" fillId="0" borderId="130" xfId="46" applyBorder="1" applyAlignment="1" applyProtection="1">
      <alignment horizontal="left" wrapText="1"/>
      <protection locked="0"/>
    </xf>
    <xf numFmtId="0" fontId="14" fillId="0" borderId="131" xfId="46" applyBorder="1" applyAlignment="1" applyProtection="1">
      <alignment horizontal="left" wrapText="1"/>
      <protection locked="0"/>
    </xf>
    <xf numFmtId="0" fontId="14" fillId="0" borderId="48" xfId="46" applyFont="1" applyFill="1" applyBorder="1" applyAlignment="1" applyProtection="1">
      <alignment horizontal="left" vertical="center" wrapText="1"/>
      <protection locked="0"/>
    </xf>
    <xf numFmtId="0" fontId="14" fillId="0" borderId="0" xfId="46" applyFont="1" applyFill="1" applyBorder="1" applyAlignment="1" applyProtection="1">
      <alignment horizontal="left" vertical="center" wrapText="1"/>
      <protection locked="0"/>
    </xf>
    <xf numFmtId="0" fontId="14" fillId="0" borderId="29" xfId="46" applyFont="1" applyFill="1" applyBorder="1" applyAlignment="1" applyProtection="1">
      <alignment horizontal="left" vertical="center" wrapText="1"/>
      <protection locked="0"/>
    </xf>
    <xf numFmtId="166" fontId="14" fillId="29" borderId="53" xfId="29" applyNumberFormat="1" applyFill="1" applyBorder="1" applyAlignment="1" applyProtection="1">
      <protection locked="0"/>
    </xf>
    <xf numFmtId="0" fontId="14" fillId="29" borderId="12" xfId="46" applyFill="1" applyBorder="1" applyAlignment="1" applyProtection="1">
      <protection locked="0"/>
    </xf>
    <xf numFmtId="0" fontId="14" fillId="29" borderId="55" xfId="46" applyFill="1" applyBorder="1" applyAlignment="1" applyProtection="1">
      <protection locked="0"/>
    </xf>
    <xf numFmtId="0" fontId="14" fillId="0" borderId="89" xfId="46" applyFont="1" applyFill="1" applyBorder="1" applyAlignment="1" applyProtection="1">
      <alignment horizontal="left" vertical="center" wrapText="1"/>
      <protection locked="0"/>
    </xf>
    <xf numFmtId="0" fontId="14" fillId="0" borderId="83" xfId="46" applyFont="1" applyFill="1" applyBorder="1" applyAlignment="1" applyProtection="1">
      <alignment horizontal="left" vertical="center" wrapText="1"/>
      <protection locked="0"/>
    </xf>
    <xf numFmtId="0" fontId="14" fillId="0" borderId="59" xfId="46" applyFont="1" applyFill="1" applyBorder="1" applyAlignment="1" applyProtection="1">
      <alignment horizontal="left" vertical="center" wrapText="1"/>
      <protection locked="0"/>
    </xf>
    <xf numFmtId="0" fontId="14" fillId="0" borderId="54" xfId="46" applyFont="1" applyFill="1" applyBorder="1" applyAlignment="1" applyProtection="1">
      <alignment horizontal="left" vertical="center" wrapText="1"/>
      <protection locked="0"/>
    </xf>
    <xf numFmtId="0" fontId="14" fillId="0" borderId="13" xfId="46" applyFont="1" applyFill="1" applyBorder="1" applyAlignment="1" applyProtection="1">
      <alignment horizontal="left" vertical="center" wrapText="1"/>
      <protection locked="0"/>
    </xf>
    <xf numFmtId="0" fontId="14" fillId="0" borderId="51" xfId="46" applyFont="1" applyFill="1" applyBorder="1" applyAlignment="1" applyProtection="1">
      <alignment horizontal="left" vertical="center" wrapText="1"/>
      <protection locked="0"/>
    </xf>
    <xf numFmtId="0" fontId="17" fillId="0" borderId="71" xfId="46" applyFont="1" applyFill="1" applyBorder="1" applyAlignment="1" applyProtection="1">
      <alignment vertical="center" wrapText="1"/>
      <protection locked="0"/>
    </xf>
    <xf numFmtId="0" fontId="17" fillId="0" borderId="45" xfId="46" applyFont="1" applyFill="1" applyBorder="1" applyAlignment="1" applyProtection="1">
      <alignment vertical="center" wrapText="1"/>
      <protection locked="0"/>
    </xf>
    <xf numFmtId="0" fontId="17" fillId="0" borderId="0" xfId="46" applyFont="1" applyFill="1" applyBorder="1" applyAlignment="1" applyProtection="1">
      <alignment vertical="center" wrapText="1"/>
      <protection locked="0"/>
    </xf>
    <xf numFmtId="0" fontId="17" fillId="0" borderId="29" xfId="46" applyFont="1" applyFill="1" applyBorder="1" applyAlignment="1" applyProtection="1">
      <alignment vertical="center" wrapText="1"/>
      <protection locked="0"/>
    </xf>
    <xf numFmtId="0" fontId="17" fillId="0" borderId="46" xfId="46" applyFont="1" applyFill="1" applyBorder="1" applyAlignment="1" applyProtection="1">
      <alignment vertical="center" wrapText="1"/>
      <protection locked="0"/>
    </xf>
    <xf numFmtId="0" fontId="17" fillId="0" borderId="30" xfId="46" applyFont="1" applyFill="1" applyBorder="1" applyAlignment="1" applyProtection="1">
      <alignment vertical="center" wrapText="1"/>
      <protection locked="0"/>
    </xf>
    <xf numFmtId="0" fontId="17" fillId="0" borderId="31" xfId="46" applyFont="1" applyFill="1" applyBorder="1" applyAlignment="1" applyProtection="1">
      <alignment vertical="center" wrapText="1"/>
      <protection locked="0"/>
    </xf>
    <xf numFmtId="0" fontId="17" fillId="0" borderId="70" xfId="46" applyFont="1" applyFill="1" applyBorder="1" applyAlignment="1" applyProtection="1">
      <alignment horizontal="center"/>
      <protection locked="0"/>
    </xf>
    <xf numFmtId="0" fontId="14" fillId="0" borderId="71" xfId="46" applyFill="1" applyBorder="1" applyAlignment="1" applyProtection="1">
      <protection locked="0"/>
    </xf>
    <xf numFmtId="0" fontId="14" fillId="0" borderId="45" xfId="46" applyFill="1" applyBorder="1" applyAlignment="1" applyProtection="1">
      <protection locked="0"/>
    </xf>
    <xf numFmtId="0" fontId="17" fillId="0" borderId="48" xfId="46" applyFont="1" applyFill="1" applyBorder="1" applyAlignment="1" applyProtection="1">
      <alignment horizontal="center"/>
      <protection locked="0"/>
    </xf>
    <xf numFmtId="0" fontId="14" fillId="0" borderId="0" xfId="46" applyFill="1" applyBorder="1" applyAlignment="1" applyProtection="1">
      <protection locked="0"/>
    </xf>
    <xf numFmtId="0" fontId="14" fillId="0" borderId="29" xfId="46" applyFill="1" applyBorder="1" applyAlignment="1" applyProtection="1">
      <protection locked="0"/>
    </xf>
    <xf numFmtId="0" fontId="14" fillId="0" borderId="0" xfId="46" applyFont="1" applyAlignment="1" applyProtection="1">
      <alignment horizontal="center" wrapText="1"/>
      <protection locked="0"/>
    </xf>
    <xf numFmtId="0" fontId="14" fillId="29" borderId="0" xfId="46" applyFill="1" applyAlignment="1" applyProtection="1">
      <alignment horizontal="left" vertical="top"/>
      <protection locked="0"/>
    </xf>
    <xf numFmtId="0" fontId="17" fillId="0" borderId="46" xfId="46" applyFont="1" applyBorder="1" applyAlignment="1" applyProtection="1">
      <alignment horizontal="left" wrapText="1"/>
      <protection locked="0"/>
    </xf>
    <xf numFmtId="0" fontId="17" fillId="0" borderId="30" xfId="46" applyFont="1" applyBorder="1" applyAlignment="1" applyProtection="1">
      <alignment horizontal="left" wrapText="1"/>
      <protection locked="0"/>
    </xf>
    <xf numFmtId="0" fontId="17" fillId="0" borderId="39" xfId="46" applyFont="1" applyBorder="1" applyAlignment="1" applyProtection="1">
      <alignment horizontal="left" wrapText="1"/>
      <protection locked="0"/>
    </xf>
    <xf numFmtId="0" fontId="14" fillId="0" borderId="54" xfId="46" applyBorder="1" applyAlignment="1" applyProtection="1">
      <alignment horizontal="left" vertical="center" wrapText="1"/>
      <protection locked="0"/>
    </xf>
    <xf numFmtId="0" fontId="14" fillId="0" borderId="48" xfId="46" applyBorder="1" applyAlignment="1" applyProtection="1">
      <alignment horizontal="left" vertical="center" wrapText="1"/>
      <protection locked="0"/>
    </xf>
    <xf numFmtId="0" fontId="14" fillId="0" borderId="0" xfId="46" applyBorder="1" applyAlignment="1" applyProtection="1">
      <alignment horizontal="left" vertical="center" wrapText="1"/>
      <protection locked="0"/>
    </xf>
    <xf numFmtId="0" fontId="14" fillId="0" borderId="15" xfId="46" applyBorder="1" applyAlignment="1" applyProtection="1">
      <alignment horizontal="left" vertical="center" wrapText="1"/>
      <protection locked="0"/>
    </xf>
    <xf numFmtId="0" fontId="14" fillId="0" borderId="89" xfId="46" applyBorder="1" applyAlignment="1" applyProtection="1">
      <alignment horizontal="left" vertical="center" wrapText="1"/>
      <protection locked="0"/>
    </xf>
    <xf numFmtId="0" fontId="14" fillId="0" borderId="83" xfId="46" applyBorder="1" applyAlignment="1" applyProtection="1">
      <alignment horizontal="left" vertical="center" wrapText="1"/>
      <protection locked="0"/>
    </xf>
    <xf numFmtId="0" fontId="14" fillId="0" borderId="18" xfId="46" applyBorder="1" applyAlignment="1" applyProtection="1">
      <alignment horizontal="left" vertical="center" wrapText="1"/>
      <protection locked="0"/>
    </xf>
    <xf numFmtId="0" fontId="14" fillId="29" borderId="48" xfId="46" applyFill="1" applyBorder="1" applyAlignment="1" applyProtection="1">
      <alignment horizontal="left" wrapText="1"/>
      <protection locked="0"/>
    </xf>
    <xf numFmtId="0" fontId="14" fillId="29" borderId="0" xfId="46" applyFill="1" applyBorder="1" applyAlignment="1" applyProtection="1">
      <alignment horizontal="left" wrapText="1"/>
      <protection locked="0"/>
    </xf>
    <xf numFmtId="0" fontId="14" fillId="29" borderId="15" xfId="46" applyFill="1" applyBorder="1" applyAlignment="1" applyProtection="1">
      <alignment horizontal="left" wrapText="1"/>
      <protection locked="0"/>
    </xf>
    <xf numFmtId="0" fontId="14" fillId="29" borderId="18" xfId="46" applyFill="1" applyBorder="1" applyAlignment="1" applyProtection="1">
      <alignment horizontal="left" wrapText="1"/>
      <protection locked="0"/>
    </xf>
    <xf numFmtId="0" fontId="14" fillId="0" borderId="33" xfId="46" applyBorder="1" applyAlignment="1" applyProtection="1">
      <alignment horizontal="left" wrapText="1"/>
      <protection locked="0"/>
    </xf>
    <xf numFmtId="0" fontId="14" fillId="29" borderId="58" xfId="46" applyFill="1" applyBorder="1" applyAlignment="1" applyProtection="1">
      <alignment horizontal="left" wrapText="1"/>
      <protection locked="0"/>
    </xf>
    <xf numFmtId="0" fontId="14" fillId="29" borderId="14" xfId="46" applyFill="1" applyBorder="1" applyAlignment="1" applyProtection="1">
      <alignment horizontal="left" wrapText="1"/>
      <protection locked="0"/>
    </xf>
    <xf numFmtId="0" fontId="14" fillId="29" borderId="86" xfId="46" applyFill="1" applyBorder="1" applyAlignment="1" applyProtection="1">
      <alignment horizontal="left" wrapText="1"/>
      <protection locked="0"/>
    </xf>
    <xf numFmtId="0" fontId="17" fillId="0" borderId="32" xfId="46" applyFont="1" applyFill="1" applyBorder="1" applyAlignment="1" applyProtection="1">
      <alignment vertical="center" wrapText="1"/>
      <protection locked="0"/>
    </xf>
    <xf numFmtId="0" fontId="17" fillId="0" borderId="24" xfId="46" applyFont="1" applyFill="1" applyBorder="1" applyAlignment="1" applyProtection="1">
      <alignment vertical="center" wrapText="1"/>
      <protection locked="0"/>
    </xf>
    <xf numFmtId="0" fontId="17" fillId="0" borderId="27" xfId="46" applyFont="1" applyFill="1" applyBorder="1" applyAlignment="1" applyProtection="1">
      <alignment vertical="center" wrapText="1"/>
      <protection locked="0"/>
    </xf>
    <xf numFmtId="0" fontId="17" fillId="0" borderId="10" xfId="46" applyFont="1" applyFill="1" applyBorder="1" applyAlignment="1" applyProtection="1">
      <alignment vertical="center" wrapText="1"/>
      <protection locked="0"/>
    </xf>
    <xf numFmtId="0" fontId="17" fillId="64" borderId="43" xfId="46" applyFont="1" applyFill="1" applyBorder="1" applyAlignment="1" applyProtection="1">
      <alignment horizontal="center" vertical="center" wrapText="1"/>
      <protection locked="0"/>
    </xf>
    <xf numFmtId="0" fontId="14" fillId="64" borderId="40" xfId="46" applyFill="1" applyBorder="1" applyAlignment="1" applyProtection="1">
      <alignment horizontal="center" vertical="center" wrapText="1"/>
      <protection locked="0"/>
    </xf>
    <xf numFmtId="0" fontId="14" fillId="64" borderId="92" xfId="46" applyFill="1" applyBorder="1" applyAlignment="1" applyProtection="1">
      <alignment horizontal="center" vertical="center" wrapText="1"/>
      <protection locked="0"/>
    </xf>
    <xf numFmtId="0" fontId="17" fillId="64" borderId="43" xfId="46" applyFont="1" applyFill="1" applyBorder="1" applyAlignment="1" applyProtection="1">
      <alignment horizontal="center" vertical="center"/>
      <protection locked="0"/>
    </xf>
    <xf numFmtId="0" fontId="17" fillId="64" borderId="40" xfId="46" applyFont="1" applyFill="1" applyBorder="1" applyAlignment="1" applyProtection="1">
      <alignment horizontal="center" vertical="center"/>
      <protection locked="0"/>
    </xf>
    <xf numFmtId="0" fontId="17" fillId="64" borderId="43" xfId="46" applyFont="1" applyFill="1" applyBorder="1" applyAlignment="1" applyProtection="1">
      <alignment horizontal="center" wrapText="1"/>
      <protection locked="0"/>
    </xf>
    <xf numFmtId="0" fontId="17" fillId="64" borderId="40" xfId="46" applyFont="1" applyFill="1" applyBorder="1" applyAlignment="1" applyProtection="1">
      <alignment horizontal="center" wrapText="1"/>
      <protection locked="0"/>
    </xf>
    <xf numFmtId="0" fontId="17" fillId="64" borderId="92" xfId="46" applyFont="1" applyFill="1" applyBorder="1" applyAlignment="1" applyProtection="1">
      <alignment horizontal="center" wrapText="1"/>
      <protection locked="0"/>
    </xf>
    <xf numFmtId="0" fontId="17" fillId="64" borderId="40" xfId="46" applyFont="1" applyFill="1" applyBorder="1" applyAlignment="1" applyProtection="1">
      <alignment horizontal="center" vertical="center" wrapText="1"/>
      <protection locked="0"/>
    </xf>
    <xf numFmtId="0" fontId="17" fillId="64" borderId="92" xfId="46" applyFont="1" applyFill="1" applyBorder="1" applyAlignment="1" applyProtection="1">
      <alignment horizontal="center" vertical="center" wrapText="1"/>
      <protection locked="0"/>
    </xf>
  </cellXfs>
  <cellStyles count="130">
    <cellStyle name="$" xfId="103"/>
    <cellStyle name="$.00" xfId="104"/>
    <cellStyle name="$_9. Rev2Cost_GDPIPI" xfId="105"/>
    <cellStyle name="$_lists" xfId="106"/>
    <cellStyle name="$_lists_4. Current Monthly Fixed Charge" xfId="107"/>
    <cellStyle name="$_Sheet4" xfId="108"/>
    <cellStyle name="$M" xfId="109"/>
    <cellStyle name="$M.00" xfId="110"/>
    <cellStyle name="$M_9. Rev2Cost_GDPIPI" xfId="111"/>
    <cellStyle name="20% - Accent1" xfId="1" builtinId="30" customBuiltin="1"/>
    <cellStyle name="20% - Accent1 2" xfId="67"/>
    <cellStyle name="20% - Accent2" xfId="2" builtinId="34" customBuiltin="1"/>
    <cellStyle name="20% - Accent2 2" xfId="71"/>
    <cellStyle name="20% - Accent3" xfId="3" builtinId="38" customBuiltin="1"/>
    <cellStyle name="20% - Accent3 2" xfId="75"/>
    <cellStyle name="20% - Accent4" xfId="4" builtinId="42" customBuiltin="1"/>
    <cellStyle name="20% - Accent4 2" xfId="79"/>
    <cellStyle name="20% - Accent5" xfId="5" builtinId="46" customBuiltin="1"/>
    <cellStyle name="20% - Accent5 2" xfId="83"/>
    <cellStyle name="20% - Accent6" xfId="6" builtinId="50" customBuiltin="1"/>
    <cellStyle name="20% - Accent6 2" xfId="87"/>
    <cellStyle name="40% - Accent1" xfId="7" builtinId="31" customBuiltin="1"/>
    <cellStyle name="40% - Accent1 2" xfId="68"/>
    <cellStyle name="40% - Accent2" xfId="8" builtinId="35" customBuiltin="1"/>
    <cellStyle name="40% - Accent2 2" xfId="72"/>
    <cellStyle name="40% - Accent3" xfId="9" builtinId="39" customBuiltin="1"/>
    <cellStyle name="40% - Accent3 2" xfId="76"/>
    <cellStyle name="40% - Accent4" xfId="10" builtinId="43" customBuiltin="1"/>
    <cellStyle name="40% - Accent4 2" xfId="80"/>
    <cellStyle name="40% - Accent5" xfId="11" builtinId="47" customBuiltin="1"/>
    <cellStyle name="40% - Accent5 2" xfId="84"/>
    <cellStyle name="40% - Accent6" xfId="12" builtinId="51" customBuiltin="1"/>
    <cellStyle name="40% - Accent6 2" xfId="88"/>
    <cellStyle name="60% - Accent1" xfId="13" builtinId="32" customBuiltin="1"/>
    <cellStyle name="60% - Accent1 2" xfId="69"/>
    <cellStyle name="60% - Accent2" xfId="14" builtinId="36" customBuiltin="1"/>
    <cellStyle name="60% - Accent2 2" xfId="73"/>
    <cellStyle name="60% - Accent3" xfId="15" builtinId="40" customBuiltin="1"/>
    <cellStyle name="60% - Accent3 2" xfId="77"/>
    <cellStyle name="60% - Accent4" xfId="16" builtinId="44" customBuiltin="1"/>
    <cellStyle name="60% - Accent4 2" xfId="81"/>
    <cellStyle name="60% - Accent5" xfId="17" builtinId="48" customBuiltin="1"/>
    <cellStyle name="60% - Accent5 2" xfId="85"/>
    <cellStyle name="60% - Accent6" xfId="18" builtinId="52" customBuiltin="1"/>
    <cellStyle name="60% - Accent6 2" xfId="89"/>
    <cellStyle name="Accent1" xfId="19" builtinId="29" customBuiltin="1"/>
    <cellStyle name="Accent1 2" xfId="66"/>
    <cellStyle name="Accent2" xfId="20" builtinId="33" customBuiltin="1"/>
    <cellStyle name="Accent2 2" xfId="70"/>
    <cellStyle name="Accent3" xfId="21" builtinId="37" customBuiltin="1"/>
    <cellStyle name="Accent3 2" xfId="74"/>
    <cellStyle name="Accent4" xfId="22" builtinId="41" customBuiltin="1"/>
    <cellStyle name="Accent4 2" xfId="78"/>
    <cellStyle name="Accent5" xfId="23" builtinId="45" customBuiltin="1"/>
    <cellStyle name="Accent5 2" xfId="82"/>
    <cellStyle name="Accent6" xfId="24" builtinId="49" customBuiltin="1"/>
    <cellStyle name="Accent6 2" xfId="86"/>
    <cellStyle name="Bad" xfId="25" builtinId="27" customBuiltin="1"/>
    <cellStyle name="Bad 2" xfId="55"/>
    <cellStyle name="Calculation" xfId="26" builtinId="22" customBuiltin="1"/>
    <cellStyle name="Calculation 2" xfId="59"/>
    <cellStyle name="Check Cell" xfId="27" builtinId="23" customBuiltin="1"/>
    <cellStyle name="Check Cell 2" xfId="61"/>
    <cellStyle name="Comma" xfId="28" builtinId="3"/>
    <cellStyle name="Comma 2" xfId="91"/>
    <cellStyle name="Comma 3" xfId="94"/>
    <cellStyle name="Comma 3 2" xfId="127"/>
    <cellStyle name="Comma 4" xfId="102"/>
    <cellStyle name="Comma0" xfId="112"/>
    <cellStyle name="Currency" xfId="29" builtinId="4"/>
    <cellStyle name="Currency 2" xfId="101"/>
    <cellStyle name="Currency 3" xfId="129"/>
    <cellStyle name="Currency0" xfId="113"/>
    <cellStyle name="Date" xfId="114"/>
    <cellStyle name="Explanatory Text" xfId="30" builtinId="53" customBuiltin="1"/>
    <cellStyle name="Explanatory Text 2" xfId="64"/>
    <cellStyle name="Fixed" xfId="115"/>
    <cellStyle name="Good" xfId="31" builtinId="26" customBuiltin="1"/>
    <cellStyle name="Good 2" xfId="54"/>
    <cellStyle name="Grey" xfId="116"/>
    <cellStyle name="Heading 1" xfId="32" builtinId="16" customBuiltin="1"/>
    <cellStyle name="Heading 1 2" xfId="50"/>
    <cellStyle name="Heading 2" xfId="33" builtinId="17" customBuiltin="1"/>
    <cellStyle name="Heading 2 2" xfId="49"/>
    <cellStyle name="Heading 3" xfId="34" builtinId="18" customBuiltin="1"/>
    <cellStyle name="Heading 3 2" xfId="52"/>
    <cellStyle name="Heading 4" xfId="35" builtinId="19" customBuiltin="1"/>
    <cellStyle name="Heading 4 2" xfId="53"/>
    <cellStyle name="Hyperlink" xfId="36" builtinId="8"/>
    <cellStyle name="Input" xfId="37" builtinId="20" customBuiltin="1"/>
    <cellStyle name="Input [yellow]" xfId="117"/>
    <cellStyle name="Input 2" xfId="57"/>
    <cellStyle name="Linked Cell" xfId="38" builtinId="24" customBuiltin="1"/>
    <cellStyle name="Linked Cell 2" xfId="60"/>
    <cellStyle name="M" xfId="118"/>
    <cellStyle name="M.00" xfId="119"/>
    <cellStyle name="M_9. Rev2Cost_GDPIPI" xfId="120"/>
    <cellStyle name="M_lists" xfId="121"/>
    <cellStyle name="M_lists_4. Current Monthly Fixed Charge" xfId="122"/>
    <cellStyle name="M_Sheet4" xfId="123"/>
    <cellStyle name="Neutral" xfId="39" builtinId="28" customBuiltin="1"/>
    <cellStyle name="Neutral 2" xfId="56"/>
    <cellStyle name="Normal" xfId="0" builtinId="0"/>
    <cellStyle name="Normal - Style1" xfId="124"/>
    <cellStyle name="Normal 2" xfId="46"/>
    <cellStyle name="Normal 3" xfId="51"/>
    <cellStyle name="Normal 4" xfId="90"/>
    <cellStyle name="Normal 5" xfId="93"/>
    <cellStyle name="Normal 5 2" xfId="126"/>
    <cellStyle name="Normal 6" xfId="99"/>
    <cellStyle name="Normal_PPE Deferral Account Schedule for 2013 MIFRS CoS applications (2)" xfId="47"/>
    <cellStyle name="Normal_Service Quality" xfId="96"/>
    <cellStyle name="Normal_Sheet2" xfId="97"/>
    <cellStyle name="Normal_Sheet3" xfId="98"/>
    <cellStyle name="Note" xfId="40" builtinId="10" customBuiltin="1"/>
    <cellStyle name="Note 2" xfId="63"/>
    <cellStyle name="Output" xfId="41" builtinId="21" customBuiltin="1"/>
    <cellStyle name="Output 2" xfId="58"/>
    <cellStyle name="Percent" xfId="42" builtinId="5"/>
    <cellStyle name="Percent [2]" xfId="125"/>
    <cellStyle name="Percent 2" xfId="92"/>
    <cellStyle name="Percent 3" xfId="95"/>
    <cellStyle name="Percent 3 2" xfId="128"/>
    <cellStyle name="Percent 4" xfId="100"/>
    <cellStyle name="Title" xfId="43" builtinId="15" customBuiltin="1"/>
    <cellStyle name="Title 2" xfId="48"/>
    <cellStyle name="Total" xfId="44" builtinId="25" customBuiltin="1"/>
    <cellStyle name="Total 2" xfId="65"/>
    <cellStyle name="Warning Text" xfId="45" builtinId="11" customBuiltin="1"/>
    <cellStyle name="Warning Text 2" xfId="62"/>
  </cellStyles>
  <dxfs count="398">
    <dxf>
      <fill>
        <patternFill>
          <bgColor theme="4" tint="0.79998168889431442"/>
        </patternFill>
      </fill>
    </dxf>
    <dxf>
      <fill>
        <patternFill>
          <bgColor theme="6" tint="0.79998168889431442"/>
        </patternFill>
      </fill>
    </dxf>
    <dxf>
      <fill>
        <patternFill>
          <bgColor theme="8" tint="0.79998168889431442"/>
        </patternFill>
      </fill>
    </dxf>
    <dxf>
      <fill>
        <patternFill>
          <bgColor theme="4" tint="0.79998168889431442"/>
        </patternFill>
      </fill>
    </dxf>
    <dxf>
      <fill>
        <patternFill>
          <bgColor theme="6" tint="0.79998168889431442"/>
        </patternFill>
      </fill>
    </dxf>
    <dxf>
      <fill>
        <patternFill>
          <bgColor theme="8" tint="0.79998168889431442"/>
        </patternFill>
      </fill>
    </dxf>
    <dxf>
      <fill>
        <patternFill>
          <bgColor theme="4" tint="0.79998168889431442"/>
        </patternFill>
      </fill>
    </dxf>
    <dxf>
      <fill>
        <patternFill>
          <bgColor theme="6" tint="0.79998168889431442"/>
        </patternFill>
      </fill>
    </dxf>
    <dxf>
      <fill>
        <patternFill>
          <bgColor theme="8" tint="0.79998168889431442"/>
        </patternFill>
      </fill>
    </dxf>
    <dxf>
      <fill>
        <patternFill>
          <bgColor theme="4" tint="0.79998168889431442"/>
        </patternFill>
      </fill>
    </dxf>
    <dxf>
      <fill>
        <patternFill>
          <bgColor theme="6" tint="0.79998168889431442"/>
        </patternFill>
      </fill>
    </dxf>
    <dxf>
      <fill>
        <patternFill>
          <bgColor theme="8" tint="0.79998168889431442"/>
        </patternFill>
      </fill>
    </dxf>
    <dxf>
      <fill>
        <patternFill>
          <bgColor theme="4" tint="0.79998168889431442"/>
        </patternFill>
      </fill>
    </dxf>
    <dxf>
      <fill>
        <patternFill>
          <bgColor theme="6" tint="0.79998168889431442"/>
        </patternFill>
      </fill>
    </dxf>
    <dxf>
      <fill>
        <patternFill>
          <bgColor theme="8" tint="0.79998168889431442"/>
        </patternFill>
      </fill>
    </dxf>
    <dxf>
      <fill>
        <patternFill>
          <bgColor theme="4" tint="0.79998168889431442"/>
        </patternFill>
      </fill>
    </dxf>
    <dxf>
      <fill>
        <patternFill>
          <bgColor theme="6" tint="0.79998168889431442"/>
        </patternFill>
      </fill>
    </dxf>
    <dxf>
      <fill>
        <patternFill>
          <bgColor theme="8" tint="0.79998168889431442"/>
        </patternFill>
      </fill>
    </dxf>
    <dxf>
      <fill>
        <patternFill>
          <bgColor theme="4" tint="0.79998168889431442"/>
        </patternFill>
      </fill>
    </dxf>
    <dxf>
      <fill>
        <patternFill>
          <bgColor theme="6" tint="0.79998168889431442"/>
        </patternFill>
      </fill>
    </dxf>
    <dxf>
      <fill>
        <patternFill>
          <bgColor theme="8" tint="0.79998168889431442"/>
        </patternFill>
      </fill>
    </dxf>
    <dxf>
      <fill>
        <patternFill>
          <bgColor theme="4" tint="0.79998168889431442"/>
        </patternFill>
      </fill>
    </dxf>
    <dxf>
      <fill>
        <patternFill>
          <bgColor theme="6" tint="0.79998168889431442"/>
        </patternFill>
      </fill>
    </dxf>
    <dxf>
      <fill>
        <patternFill>
          <bgColor theme="8" tint="0.79998168889431442"/>
        </patternFill>
      </fill>
    </dxf>
    <dxf>
      <fill>
        <patternFill>
          <bgColor theme="4" tint="0.79998168889431442"/>
        </patternFill>
      </fill>
    </dxf>
    <dxf>
      <fill>
        <patternFill>
          <bgColor theme="6" tint="0.79998168889431442"/>
        </patternFill>
      </fill>
    </dxf>
    <dxf>
      <fill>
        <patternFill>
          <bgColor theme="8" tint="0.79998168889431442"/>
        </patternFill>
      </fill>
    </dxf>
    <dxf>
      <fill>
        <patternFill>
          <bgColor theme="4" tint="0.79998168889431442"/>
        </patternFill>
      </fill>
    </dxf>
    <dxf>
      <fill>
        <patternFill>
          <bgColor theme="6" tint="0.79998168889431442"/>
        </patternFill>
      </fill>
    </dxf>
    <dxf>
      <fill>
        <patternFill>
          <bgColor theme="8" tint="0.79998168889431442"/>
        </patternFill>
      </fill>
    </dxf>
    <dxf>
      <fill>
        <patternFill>
          <bgColor theme="4" tint="0.79998168889431442"/>
        </patternFill>
      </fill>
    </dxf>
    <dxf>
      <fill>
        <patternFill>
          <bgColor theme="6" tint="0.79998168889431442"/>
        </patternFill>
      </fill>
    </dxf>
    <dxf>
      <fill>
        <patternFill>
          <bgColor theme="8" tint="0.79998168889431442"/>
        </patternFill>
      </fill>
    </dxf>
    <dxf>
      <fill>
        <patternFill>
          <bgColor theme="4" tint="0.79998168889431442"/>
        </patternFill>
      </fill>
    </dxf>
    <dxf>
      <fill>
        <patternFill>
          <bgColor theme="6" tint="0.79998168889431442"/>
        </patternFill>
      </fill>
    </dxf>
    <dxf>
      <fill>
        <patternFill>
          <bgColor theme="8" tint="0.79998168889431442"/>
        </patternFill>
      </fill>
    </dxf>
    <dxf>
      <fill>
        <patternFill>
          <bgColor theme="4" tint="0.79998168889431442"/>
        </patternFill>
      </fill>
    </dxf>
    <dxf>
      <fill>
        <patternFill>
          <bgColor theme="6" tint="0.79998168889431442"/>
        </patternFill>
      </fill>
    </dxf>
    <dxf>
      <fill>
        <patternFill>
          <bgColor theme="8" tint="0.79998168889431442"/>
        </patternFill>
      </fill>
    </dxf>
    <dxf>
      <fill>
        <patternFill>
          <bgColor theme="4" tint="0.79998168889431442"/>
        </patternFill>
      </fill>
    </dxf>
    <dxf>
      <fill>
        <patternFill>
          <bgColor theme="6" tint="0.79998168889431442"/>
        </patternFill>
      </fill>
    </dxf>
    <dxf>
      <fill>
        <patternFill>
          <bgColor theme="8" tint="0.79998168889431442"/>
        </patternFill>
      </fill>
    </dxf>
    <dxf>
      <fill>
        <patternFill>
          <bgColor theme="4" tint="0.79998168889431442"/>
        </patternFill>
      </fill>
    </dxf>
    <dxf>
      <fill>
        <patternFill>
          <bgColor theme="6" tint="0.79998168889431442"/>
        </patternFill>
      </fill>
    </dxf>
    <dxf>
      <fill>
        <patternFill>
          <bgColor theme="8" tint="0.79998168889431442"/>
        </patternFill>
      </fill>
    </dxf>
    <dxf>
      <fill>
        <patternFill>
          <bgColor theme="4" tint="0.79998168889431442"/>
        </patternFill>
      </fill>
    </dxf>
    <dxf>
      <fill>
        <patternFill>
          <bgColor theme="6" tint="0.79998168889431442"/>
        </patternFill>
      </fill>
    </dxf>
    <dxf>
      <fill>
        <patternFill>
          <bgColor theme="8" tint="0.79998168889431442"/>
        </patternFill>
      </fill>
    </dxf>
    <dxf>
      <fill>
        <patternFill>
          <bgColor theme="4" tint="0.79998168889431442"/>
        </patternFill>
      </fill>
    </dxf>
    <dxf>
      <fill>
        <patternFill>
          <bgColor theme="6" tint="0.79998168889431442"/>
        </patternFill>
      </fill>
    </dxf>
    <dxf>
      <fill>
        <patternFill>
          <bgColor theme="8" tint="0.79998168889431442"/>
        </patternFill>
      </fill>
    </dxf>
    <dxf>
      <fill>
        <patternFill>
          <bgColor theme="4" tint="0.79998168889431442"/>
        </patternFill>
      </fill>
    </dxf>
    <dxf>
      <fill>
        <patternFill>
          <bgColor theme="6" tint="0.79998168889431442"/>
        </patternFill>
      </fill>
    </dxf>
    <dxf>
      <fill>
        <patternFill>
          <bgColor theme="8" tint="0.79998168889431442"/>
        </patternFill>
      </fill>
    </dxf>
    <dxf>
      <fill>
        <patternFill>
          <bgColor theme="4" tint="0.79998168889431442"/>
        </patternFill>
      </fill>
    </dxf>
    <dxf>
      <fill>
        <patternFill>
          <bgColor theme="6" tint="0.79998168889431442"/>
        </patternFill>
      </fill>
    </dxf>
    <dxf>
      <fill>
        <patternFill>
          <bgColor theme="8" tint="0.79998168889431442"/>
        </patternFill>
      </fill>
    </dxf>
    <dxf>
      <fill>
        <patternFill>
          <bgColor theme="4" tint="0.79998168889431442"/>
        </patternFill>
      </fill>
    </dxf>
    <dxf>
      <fill>
        <patternFill>
          <bgColor theme="6" tint="0.79998168889431442"/>
        </patternFill>
      </fill>
    </dxf>
    <dxf>
      <fill>
        <patternFill>
          <bgColor theme="8" tint="0.79998168889431442"/>
        </patternFill>
      </fill>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ill>
        <patternFill>
          <bgColor theme="6" tint="0.79998168889431442"/>
        </patternFill>
      </fill>
    </dxf>
    <dxf>
      <fill>
        <patternFill>
          <bgColor theme="6" tint="0.79998168889431442"/>
        </patternFill>
      </fill>
    </dxf>
    <dxf>
      <fill>
        <patternFill>
          <bgColor theme="6" tint="0.79998168889431442"/>
        </patternFill>
      </fill>
    </dxf>
    <dxf>
      <fill>
        <patternFill>
          <bgColor theme="6" tint="0.79998168889431442"/>
        </patternFill>
      </fill>
    </dxf>
    <dxf>
      <fill>
        <patternFill>
          <bgColor theme="6" tint="0.79998168889431442"/>
        </patternFill>
      </fill>
    </dxf>
    <dxf>
      <fill>
        <patternFill>
          <bgColor theme="6" tint="0.79998168889431442"/>
        </patternFill>
      </fill>
    </dxf>
    <dxf>
      <fill>
        <patternFill>
          <bgColor theme="6" tint="0.79998168889431442"/>
        </patternFill>
      </fill>
    </dxf>
    <dxf>
      <fill>
        <patternFill>
          <bgColor theme="6" tint="0.79998168889431442"/>
        </patternFill>
      </fill>
    </dxf>
    <dxf>
      <fill>
        <patternFill>
          <bgColor theme="6" tint="0.79998168889431442"/>
        </patternFill>
      </fill>
    </dxf>
    <dxf>
      <fill>
        <patternFill>
          <bgColor theme="6" tint="0.79998168889431442"/>
        </patternFill>
      </fill>
    </dxf>
    <dxf>
      <fill>
        <patternFill>
          <bgColor theme="6" tint="0.79998168889431442"/>
        </patternFill>
      </fill>
    </dxf>
    <dxf>
      <fill>
        <patternFill>
          <bgColor theme="6" tint="0.79998168889431442"/>
        </patternFill>
      </fill>
    </dxf>
    <dxf>
      <fill>
        <patternFill>
          <bgColor theme="6" tint="0.79998168889431442"/>
        </patternFill>
      </fill>
    </dxf>
    <dxf>
      <fill>
        <patternFill>
          <bgColor theme="6" tint="0.79998168889431442"/>
        </patternFill>
      </fill>
    </dxf>
    <dxf>
      <fill>
        <patternFill>
          <bgColor theme="6" tint="0.79998168889431442"/>
        </patternFill>
      </fill>
    </dxf>
    <dxf>
      <fill>
        <patternFill>
          <bgColor theme="6" tint="0.79998168889431442"/>
        </patternFill>
      </fill>
    </dxf>
    <dxf>
      <fill>
        <patternFill>
          <bgColor theme="6" tint="0.79998168889431442"/>
        </patternFill>
      </fill>
    </dxf>
    <dxf>
      <fill>
        <patternFill>
          <bgColor theme="6" tint="0.79998168889431442"/>
        </patternFill>
      </fill>
    </dxf>
    <dxf>
      <fill>
        <patternFill>
          <bgColor theme="6" tint="0.79998168889431442"/>
        </patternFill>
      </fill>
    </dxf>
    <dxf>
      <fill>
        <patternFill>
          <bgColor theme="6" tint="0.79998168889431442"/>
        </patternFill>
      </fill>
    </dxf>
    <dxf>
      <fill>
        <patternFill>
          <bgColor theme="6" tint="0.79998168889431442"/>
        </patternFill>
      </fill>
    </dxf>
    <dxf>
      <fill>
        <patternFill>
          <bgColor theme="6" tint="0.79998168889431442"/>
        </patternFill>
      </fill>
    </dxf>
    <dxf>
      <fill>
        <patternFill>
          <bgColor theme="6" tint="0.79998168889431442"/>
        </patternFill>
      </fill>
    </dxf>
    <dxf>
      <fill>
        <patternFill>
          <bgColor theme="6" tint="0.79998168889431442"/>
        </patternFill>
      </fill>
    </dxf>
    <dxf>
      <fill>
        <patternFill>
          <bgColor theme="0" tint="-0.24994659260841701"/>
        </patternFill>
      </fill>
    </dxf>
    <dxf>
      <fill>
        <patternFill>
          <bgColor theme="6" tint="0.79998168889431442"/>
        </patternFill>
      </fill>
    </dxf>
    <dxf>
      <fill>
        <patternFill>
          <bgColor theme="6" tint="0.79998168889431442"/>
        </patternFill>
      </fill>
    </dxf>
    <dxf>
      <fill>
        <patternFill>
          <bgColor theme="6" tint="0.79998168889431442"/>
        </patternFill>
      </fill>
    </dxf>
    <dxf>
      <fill>
        <patternFill>
          <bgColor theme="6" tint="0.79998168889431442"/>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6" tint="0.79998168889431442"/>
        </patternFill>
      </fill>
    </dxf>
    <dxf>
      <fill>
        <patternFill>
          <bgColor theme="6" tint="0.79998168889431442"/>
        </patternFill>
      </fill>
    </dxf>
    <dxf>
      <fill>
        <patternFill>
          <bgColor theme="6" tint="0.79998168889431442"/>
        </patternFill>
      </fill>
    </dxf>
    <dxf>
      <fill>
        <patternFill>
          <bgColor theme="6" tint="0.79998168889431442"/>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6" tint="0.79998168889431442"/>
        </patternFill>
      </fill>
    </dxf>
    <dxf>
      <fill>
        <patternFill>
          <bgColor theme="6" tint="0.79998168889431442"/>
        </patternFill>
      </fill>
    </dxf>
    <dxf>
      <fill>
        <patternFill>
          <bgColor theme="6" tint="0.79998168889431442"/>
        </patternFill>
      </fill>
    </dxf>
    <dxf>
      <fill>
        <patternFill>
          <bgColor theme="6" tint="0.79998168889431442"/>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6" tint="0.79998168889431442"/>
        </patternFill>
      </fill>
    </dxf>
    <dxf>
      <fill>
        <patternFill>
          <bgColor theme="6" tint="0.79998168889431442"/>
        </patternFill>
      </fill>
    </dxf>
    <dxf>
      <fill>
        <patternFill>
          <bgColor theme="6" tint="0.79998168889431442"/>
        </patternFill>
      </fill>
    </dxf>
    <dxf>
      <fill>
        <patternFill>
          <bgColor theme="6" tint="0.79998168889431442"/>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6" tint="0.79998168889431442"/>
        </patternFill>
      </fill>
    </dxf>
    <dxf>
      <fill>
        <patternFill>
          <bgColor theme="6" tint="0.79998168889431442"/>
        </patternFill>
      </fill>
    </dxf>
    <dxf>
      <fill>
        <patternFill>
          <bgColor theme="6" tint="0.79998168889431442"/>
        </patternFill>
      </fill>
    </dxf>
    <dxf>
      <fill>
        <patternFill>
          <bgColor theme="6" tint="0.79998168889431442"/>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6" tint="0.79998168889431442"/>
        </patternFill>
      </fill>
    </dxf>
    <dxf>
      <fill>
        <patternFill>
          <bgColor theme="6" tint="0.79998168889431442"/>
        </patternFill>
      </fill>
    </dxf>
    <dxf>
      <fill>
        <patternFill>
          <bgColor theme="6" tint="0.79998168889431442"/>
        </patternFill>
      </fill>
    </dxf>
    <dxf>
      <fill>
        <patternFill>
          <bgColor theme="6" tint="0.79998168889431442"/>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6" tint="0.79998168889431442"/>
        </patternFill>
      </fill>
    </dxf>
    <dxf>
      <fill>
        <patternFill>
          <bgColor theme="6" tint="0.79998168889431442"/>
        </patternFill>
      </fill>
    </dxf>
    <dxf>
      <fill>
        <patternFill>
          <bgColor theme="6" tint="0.79998168889431442"/>
        </patternFill>
      </fill>
    </dxf>
    <dxf>
      <fill>
        <patternFill>
          <bgColor theme="6" tint="0.79998168889431442"/>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6" tint="0.79998168889431442"/>
        </patternFill>
      </fill>
    </dxf>
    <dxf>
      <fill>
        <patternFill>
          <bgColor theme="6" tint="0.79998168889431442"/>
        </patternFill>
      </fill>
    </dxf>
    <dxf>
      <fill>
        <patternFill>
          <bgColor theme="6" tint="0.79998168889431442"/>
        </patternFill>
      </fill>
    </dxf>
    <dxf>
      <fill>
        <patternFill>
          <bgColor theme="6" tint="0.79998168889431442"/>
        </patternFill>
      </fill>
    </dxf>
    <dxf>
      <fill>
        <patternFill>
          <bgColor theme="6" tint="0.79998168889431442"/>
        </patternFill>
      </fill>
    </dxf>
    <dxf>
      <fill>
        <patternFill>
          <bgColor theme="6" tint="0.79998168889431442"/>
        </patternFill>
      </fill>
    </dxf>
    <dxf>
      <fill>
        <patternFill>
          <bgColor theme="6" tint="0.79998168889431442"/>
        </patternFill>
      </fill>
    </dxf>
    <dxf>
      <fill>
        <patternFill>
          <bgColor theme="6" tint="0.79998168889431442"/>
        </patternFill>
      </fill>
    </dxf>
    <dxf>
      <fill>
        <patternFill>
          <bgColor theme="6" tint="0.79998168889431442"/>
        </patternFill>
      </fill>
    </dxf>
    <dxf>
      <fill>
        <patternFill>
          <bgColor theme="6" tint="0.79998168889431442"/>
        </patternFill>
      </fill>
    </dxf>
    <dxf>
      <fill>
        <patternFill>
          <bgColor theme="6" tint="0.79998168889431442"/>
        </patternFill>
      </fill>
    </dxf>
    <dxf>
      <fill>
        <patternFill>
          <bgColor theme="6" tint="0.79998168889431442"/>
        </patternFill>
      </fill>
    </dxf>
    <dxf>
      <fill>
        <patternFill>
          <bgColor theme="6" tint="0.79998168889431442"/>
        </patternFill>
      </fill>
    </dxf>
    <dxf>
      <fill>
        <patternFill>
          <bgColor theme="6" tint="0.79998168889431442"/>
        </patternFill>
      </fill>
    </dxf>
    <dxf>
      <fill>
        <patternFill>
          <bgColor theme="6" tint="0.79998168889431442"/>
        </patternFill>
      </fill>
    </dxf>
    <dxf>
      <fill>
        <patternFill>
          <bgColor theme="6" tint="0.79998168889431442"/>
        </patternFill>
      </fill>
    </dxf>
    <dxf>
      <fill>
        <patternFill>
          <bgColor theme="6" tint="0.79998168889431442"/>
        </patternFill>
      </fill>
    </dxf>
    <dxf>
      <fill>
        <patternFill>
          <bgColor theme="6" tint="0.79998168889431442"/>
        </patternFill>
      </fill>
    </dxf>
    <dxf>
      <fill>
        <patternFill>
          <bgColor theme="6" tint="0.79998168889431442"/>
        </patternFill>
      </fill>
    </dxf>
    <dxf>
      <fill>
        <patternFill>
          <bgColor theme="6" tint="0.79998168889431442"/>
        </patternFill>
      </fill>
    </dxf>
    <dxf>
      <fill>
        <patternFill>
          <bgColor theme="6" tint="0.79998168889431442"/>
        </patternFill>
      </fill>
    </dxf>
    <dxf>
      <fill>
        <patternFill>
          <bgColor theme="6" tint="0.79998168889431442"/>
        </patternFill>
      </fill>
    </dxf>
    <dxf>
      <fill>
        <patternFill>
          <bgColor theme="6" tint="0.79998168889431442"/>
        </patternFill>
      </fill>
    </dxf>
    <dxf>
      <fill>
        <patternFill>
          <bgColor theme="6" tint="0.79998168889431442"/>
        </patternFill>
      </fill>
    </dxf>
    <dxf>
      <fill>
        <patternFill>
          <bgColor theme="6" tint="0.79998168889431442"/>
        </patternFill>
      </fill>
    </dxf>
    <dxf>
      <fill>
        <patternFill>
          <bgColor theme="6" tint="0.79998168889431442"/>
        </patternFill>
      </fill>
    </dxf>
    <dxf>
      <fill>
        <patternFill>
          <bgColor theme="6" tint="0.79998168889431442"/>
        </patternFill>
      </fill>
    </dxf>
    <dxf>
      <fill>
        <patternFill>
          <bgColor theme="6" tint="0.79998168889431442"/>
        </patternFill>
      </fill>
    </dxf>
    <dxf>
      <fill>
        <patternFill>
          <bgColor theme="6" tint="0.79998168889431442"/>
        </patternFill>
      </fill>
    </dxf>
    <dxf>
      <fill>
        <patternFill>
          <bgColor theme="6" tint="0.79998168889431442"/>
        </patternFill>
      </fill>
    </dxf>
    <dxf>
      <fill>
        <patternFill>
          <bgColor theme="0" tint="-0.24994659260841701"/>
        </patternFill>
      </fill>
    </dxf>
    <dxf>
      <fill>
        <patternFill>
          <bgColor theme="0" tint="-0.24994659260841701"/>
        </patternFill>
      </fill>
    </dxf>
    <dxf>
      <font>
        <color theme="0"/>
      </font>
      <fill>
        <patternFill>
          <bgColor theme="0"/>
        </patternFill>
      </fill>
      <border>
        <left/>
        <right/>
        <top/>
        <bottom/>
        <vertical/>
        <horizontal/>
      </border>
    </dxf>
    <dxf>
      <fill>
        <patternFill>
          <bgColor theme="6" tint="0.79998168889431442"/>
        </patternFill>
      </fill>
    </dxf>
    <dxf>
      <fill>
        <patternFill>
          <bgColor theme="6" tint="0.79998168889431442"/>
        </patternFill>
      </fill>
    </dxf>
    <dxf>
      <fill>
        <patternFill>
          <bgColor theme="6" tint="0.79998168889431442"/>
        </patternFill>
      </fill>
    </dxf>
    <dxf>
      <fill>
        <patternFill>
          <bgColor theme="6" tint="0.79998168889431442"/>
        </patternFill>
      </fill>
    </dxf>
    <dxf>
      <fill>
        <patternFill>
          <bgColor theme="6" tint="0.79998168889431442"/>
        </patternFill>
      </fill>
    </dxf>
    <dxf>
      <fill>
        <patternFill>
          <bgColor theme="6" tint="0.79998168889431442"/>
        </patternFill>
      </fill>
    </dxf>
    <dxf>
      <fill>
        <patternFill>
          <bgColor theme="6" tint="0.79998168889431442"/>
        </patternFill>
      </fill>
    </dxf>
    <dxf>
      <fill>
        <patternFill>
          <bgColor theme="6" tint="0.79998168889431442"/>
        </patternFill>
      </fill>
    </dxf>
    <dxf>
      <fill>
        <patternFill>
          <bgColor theme="6" tint="0.79998168889431442"/>
        </patternFill>
      </fill>
    </dxf>
    <dxf>
      <fill>
        <patternFill>
          <bgColor theme="6" tint="0.79998168889431442"/>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6" tint="0.79998168889431442"/>
        </patternFill>
      </fill>
    </dxf>
    <dxf>
      <fill>
        <patternFill>
          <bgColor theme="6" tint="0.79998168889431442"/>
        </patternFill>
      </fill>
    </dxf>
    <dxf>
      <fill>
        <patternFill>
          <bgColor theme="6" tint="0.79998168889431442"/>
        </patternFill>
      </fill>
    </dxf>
    <dxf>
      <fill>
        <patternFill>
          <bgColor theme="6" tint="0.79998168889431442"/>
        </patternFill>
      </fill>
    </dxf>
    <dxf>
      <fill>
        <patternFill>
          <bgColor theme="6" tint="0.79998168889431442"/>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6" tint="0.79998168889431442"/>
        </patternFill>
      </fill>
    </dxf>
    <dxf>
      <fill>
        <patternFill>
          <bgColor theme="6" tint="0.79998168889431442"/>
        </patternFill>
      </fill>
    </dxf>
    <dxf>
      <fill>
        <patternFill>
          <bgColor theme="6" tint="0.79998168889431442"/>
        </patternFill>
      </fill>
    </dxf>
    <dxf>
      <fill>
        <patternFill>
          <bgColor theme="6" tint="0.79998168889431442"/>
        </patternFill>
      </fill>
    </dxf>
    <dxf>
      <fill>
        <patternFill>
          <bgColor theme="6" tint="0.79998168889431442"/>
        </patternFill>
      </fill>
    </dxf>
    <dxf>
      <font>
        <color theme="0"/>
      </font>
      <fill>
        <patternFill>
          <bgColor theme="0"/>
        </patternFill>
      </fill>
      <border>
        <left/>
        <right/>
        <top/>
        <bottom/>
        <vertical/>
        <horizontal/>
      </border>
    </dxf>
    <dxf>
      <fill>
        <patternFill>
          <bgColor theme="6" tint="0.79998168889431442"/>
        </patternFill>
      </fill>
    </dxf>
    <dxf>
      <fill>
        <patternFill>
          <bgColor theme="6" tint="0.79998168889431442"/>
        </patternFill>
      </fill>
    </dxf>
    <dxf>
      <fill>
        <patternFill>
          <bgColor theme="6" tint="0.79998168889431442"/>
        </patternFill>
      </fill>
    </dxf>
    <dxf>
      <fill>
        <patternFill>
          <bgColor theme="6" tint="0.79998168889431442"/>
        </patternFill>
      </fill>
    </dxf>
    <dxf>
      <fill>
        <patternFill>
          <bgColor theme="6" tint="0.79998168889431442"/>
        </patternFill>
      </fill>
    </dxf>
    <dxf>
      <fill>
        <patternFill>
          <bgColor theme="6" tint="0.79998168889431442"/>
        </patternFill>
      </fill>
    </dxf>
    <dxf>
      <fill>
        <patternFill>
          <bgColor theme="6" tint="0.79998168889431442"/>
        </patternFill>
      </fill>
    </dxf>
    <dxf>
      <fill>
        <patternFill>
          <bgColor theme="6" tint="0.79998168889431442"/>
        </patternFill>
      </fill>
    </dxf>
    <dxf>
      <fill>
        <patternFill>
          <bgColor theme="6" tint="0.79998168889431442"/>
        </patternFill>
      </fill>
    </dxf>
    <dxf>
      <fill>
        <patternFill>
          <bgColor theme="6" tint="0.79998168889431442"/>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6" tint="0.79998168889431442"/>
        </patternFill>
      </fill>
    </dxf>
    <dxf>
      <fill>
        <patternFill>
          <bgColor theme="6" tint="0.79998168889431442"/>
        </patternFill>
      </fill>
    </dxf>
    <dxf>
      <fill>
        <patternFill>
          <bgColor theme="6" tint="0.79998168889431442"/>
        </patternFill>
      </fill>
    </dxf>
    <dxf>
      <fill>
        <patternFill>
          <bgColor theme="6" tint="0.79998168889431442"/>
        </patternFill>
      </fill>
    </dxf>
    <dxf>
      <fill>
        <patternFill>
          <bgColor theme="6" tint="0.79998168889431442"/>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6" tint="0.79998168889431442"/>
        </patternFill>
      </fill>
    </dxf>
    <dxf>
      <fill>
        <patternFill>
          <bgColor theme="6" tint="0.79998168889431442"/>
        </patternFill>
      </fill>
    </dxf>
    <dxf>
      <fill>
        <patternFill>
          <bgColor theme="6" tint="0.79998168889431442"/>
        </patternFill>
      </fill>
    </dxf>
    <dxf>
      <fill>
        <patternFill>
          <bgColor theme="6" tint="0.79998168889431442"/>
        </patternFill>
      </fill>
    </dxf>
    <dxf>
      <fill>
        <patternFill>
          <bgColor theme="6" tint="0.79998168889431442"/>
        </patternFill>
      </fill>
    </dxf>
    <dxf>
      <font>
        <color theme="0"/>
      </font>
      <fill>
        <patternFill>
          <bgColor theme="0"/>
        </patternFill>
      </fill>
      <border>
        <left/>
        <right/>
        <top/>
        <bottom/>
        <vertical/>
        <horizontal/>
      </border>
    </dxf>
    <dxf>
      <fill>
        <patternFill>
          <bgColor theme="6" tint="0.79998168889431442"/>
        </patternFill>
      </fill>
    </dxf>
    <dxf>
      <fill>
        <patternFill>
          <bgColor theme="6" tint="0.79998168889431442"/>
        </patternFill>
      </fill>
    </dxf>
    <dxf>
      <fill>
        <patternFill>
          <bgColor theme="6" tint="0.79998168889431442"/>
        </patternFill>
      </fill>
    </dxf>
    <dxf>
      <fill>
        <patternFill>
          <bgColor theme="6" tint="0.79998168889431442"/>
        </patternFill>
      </fill>
    </dxf>
    <dxf>
      <fill>
        <patternFill>
          <bgColor theme="6" tint="0.79998168889431442"/>
        </patternFill>
      </fill>
    </dxf>
    <dxf>
      <fill>
        <patternFill>
          <bgColor theme="6" tint="0.79998168889431442"/>
        </patternFill>
      </fill>
    </dxf>
    <dxf>
      <fill>
        <patternFill>
          <bgColor theme="6" tint="0.79998168889431442"/>
        </patternFill>
      </fill>
    </dxf>
    <dxf>
      <fill>
        <patternFill>
          <bgColor theme="6" tint="0.79998168889431442"/>
        </patternFill>
      </fill>
    </dxf>
    <dxf>
      <fill>
        <patternFill>
          <bgColor theme="6" tint="0.79998168889431442"/>
        </patternFill>
      </fill>
    </dxf>
    <dxf>
      <fill>
        <patternFill>
          <bgColor theme="6" tint="0.79998168889431442"/>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6" tint="0.79998168889431442"/>
        </patternFill>
      </fill>
    </dxf>
    <dxf>
      <fill>
        <patternFill>
          <bgColor theme="6" tint="0.79998168889431442"/>
        </patternFill>
      </fill>
    </dxf>
    <dxf>
      <fill>
        <patternFill>
          <bgColor theme="6" tint="0.79998168889431442"/>
        </patternFill>
      </fill>
    </dxf>
    <dxf>
      <fill>
        <patternFill>
          <bgColor theme="6" tint="0.79998168889431442"/>
        </patternFill>
      </fill>
    </dxf>
    <dxf>
      <fill>
        <patternFill>
          <bgColor theme="6" tint="0.79998168889431442"/>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6" tint="0.79998168889431442"/>
        </patternFill>
      </fill>
    </dxf>
    <dxf>
      <fill>
        <patternFill>
          <bgColor theme="6" tint="0.79998168889431442"/>
        </patternFill>
      </fill>
    </dxf>
    <dxf>
      <fill>
        <patternFill>
          <bgColor theme="6" tint="0.79998168889431442"/>
        </patternFill>
      </fill>
    </dxf>
    <dxf>
      <fill>
        <patternFill>
          <bgColor theme="6" tint="0.79998168889431442"/>
        </patternFill>
      </fill>
    </dxf>
    <dxf>
      <fill>
        <patternFill>
          <bgColor theme="6" tint="0.79998168889431442"/>
        </patternFill>
      </fill>
    </dxf>
    <dxf>
      <font>
        <color theme="0"/>
      </font>
      <fill>
        <patternFill>
          <bgColor theme="0"/>
        </patternFill>
      </fill>
      <border>
        <left/>
        <right/>
        <top/>
        <bottom/>
        <vertical/>
        <horizontal/>
      </border>
    </dxf>
    <dxf>
      <fill>
        <patternFill>
          <bgColor theme="6" tint="0.79998168889431442"/>
        </patternFill>
      </fill>
    </dxf>
    <dxf>
      <fill>
        <patternFill>
          <bgColor theme="6" tint="0.79998168889431442"/>
        </patternFill>
      </fill>
    </dxf>
    <dxf>
      <fill>
        <patternFill>
          <bgColor theme="6" tint="0.79998168889431442"/>
        </patternFill>
      </fill>
    </dxf>
    <dxf>
      <fill>
        <patternFill>
          <bgColor theme="6" tint="0.79998168889431442"/>
        </patternFill>
      </fill>
    </dxf>
    <dxf>
      <fill>
        <patternFill>
          <bgColor theme="6" tint="0.79998168889431442"/>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patternFill>
      </fill>
      <border>
        <left/>
        <right/>
        <top/>
        <bottom/>
        <vertical/>
        <horizontal/>
      </border>
    </dxf>
    <dxf>
      <fill>
        <patternFill>
          <bgColor theme="6" tint="0.79998168889431442"/>
        </patternFill>
      </fill>
    </dxf>
    <dxf>
      <fill>
        <patternFill>
          <bgColor theme="6" tint="0.79998168889431442"/>
        </patternFill>
      </fill>
    </dxf>
    <dxf>
      <fill>
        <patternFill>
          <bgColor theme="6" tint="0.79998168889431442"/>
        </patternFill>
      </fill>
    </dxf>
    <dxf>
      <fill>
        <patternFill>
          <bgColor theme="6" tint="0.79998168889431442"/>
        </patternFill>
      </fill>
    </dxf>
    <dxf>
      <fill>
        <patternFill>
          <bgColor theme="6" tint="0.79998168889431442"/>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patternFill>
      </fill>
      <border>
        <left/>
        <right/>
        <top/>
        <bottom/>
        <vertical/>
        <horizontal/>
      </border>
    </dxf>
    <dxf>
      <fill>
        <patternFill>
          <bgColor theme="6" tint="0.79998168889431442"/>
        </patternFill>
      </fill>
    </dxf>
    <dxf>
      <fill>
        <patternFill>
          <bgColor theme="6" tint="0.79998168889431442"/>
        </patternFill>
      </fill>
    </dxf>
    <dxf>
      <fill>
        <patternFill>
          <bgColor theme="6" tint="0.79998168889431442"/>
        </patternFill>
      </fill>
    </dxf>
    <dxf>
      <fill>
        <patternFill>
          <bgColor theme="6" tint="0.79998168889431442"/>
        </patternFill>
      </fill>
    </dxf>
    <dxf>
      <fill>
        <patternFill>
          <bgColor theme="6" tint="0.79998168889431442"/>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patternFill>
      </fill>
      <border>
        <left/>
        <right/>
        <top/>
        <bottom/>
        <vertical/>
        <horizontal/>
      </border>
    </dxf>
    <dxf>
      <fill>
        <patternFill>
          <bgColor theme="6" tint="0.79998168889431442"/>
        </patternFill>
      </fill>
    </dxf>
    <dxf>
      <fill>
        <patternFill>
          <bgColor theme="6" tint="0.79998168889431442"/>
        </patternFill>
      </fill>
    </dxf>
    <dxf>
      <fill>
        <patternFill>
          <bgColor theme="6" tint="0.79998168889431442"/>
        </patternFill>
      </fill>
    </dxf>
    <dxf>
      <fill>
        <patternFill>
          <bgColor theme="6" tint="0.79998168889431442"/>
        </patternFill>
      </fill>
    </dxf>
    <dxf>
      <fill>
        <patternFill>
          <bgColor theme="6" tint="0.79998168889431442"/>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patternFill>
      </fill>
      <border>
        <left/>
        <right/>
        <top/>
        <bottom/>
        <vertical/>
        <horizontal/>
      </border>
    </dxf>
    <dxf>
      <fill>
        <patternFill>
          <bgColor theme="6" tint="0.79998168889431442"/>
        </patternFill>
      </fill>
    </dxf>
    <dxf>
      <fill>
        <patternFill>
          <bgColor theme="6" tint="0.79998168889431442"/>
        </patternFill>
      </fill>
    </dxf>
    <dxf>
      <fill>
        <patternFill>
          <bgColor theme="6" tint="0.79998168889431442"/>
        </patternFill>
      </fill>
    </dxf>
    <dxf>
      <fill>
        <patternFill>
          <bgColor theme="6" tint="0.79998168889431442"/>
        </patternFill>
      </fill>
    </dxf>
    <dxf>
      <fill>
        <patternFill>
          <bgColor theme="6" tint="0.79998168889431442"/>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patternFill>
      </fill>
      <border>
        <left/>
        <right/>
        <top/>
        <bottom/>
        <vertical/>
        <horizontal/>
      </border>
    </dxf>
    <dxf>
      <fill>
        <patternFill>
          <bgColor theme="6" tint="0.79998168889431442"/>
        </patternFill>
      </fill>
    </dxf>
    <dxf>
      <fill>
        <patternFill>
          <bgColor theme="6" tint="0.79998168889431442"/>
        </patternFill>
      </fill>
    </dxf>
    <dxf>
      <fill>
        <patternFill>
          <bgColor theme="6" tint="0.79998168889431442"/>
        </patternFill>
      </fill>
    </dxf>
    <dxf>
      <fill>
        <patternFill>
          <bgColor theme="6" tint="0.79998168889431442"/>
        </patternFill>
      </fill>
    </dxf>
    <dxf>
      <fill>
        <patternFill>
          <bgColor theme="6" tint="0.79998168889431442"/>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6" tint="0.79998168889431442"/>
        </patternFill>
      </fill>
    </dxf>
    <dxf>
      <fill>
        <patternFill>
          <bgColor theme="6" tint="0.79998168889431442"/>
        </patternFill>
      </fill>
    </dxf>
    <dxf>
      <fill>
        <patternFill>
          <bgColor theme="6" tint="0.79998168889431442"/>
        </patternFill>
      </fill>
    </dxf>
    <dxf>
      <fill>
        <patternFill>
          <bgColor theme="6" tint="0.79998168889431442"/>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font>
      <fill>
        <patternFill>
          <bgColor theme="0"/>
        </patternFill>
      </fill>
      <border>
        <left/>
        <right/>
        <top/>
        <bottom/>
        <vertical/>
        <horizontal/>
      </border>
    </dxf>
    <dxf>
      <fill>
        <patternFill>
          <bgColor theme="6" tint="0.79998168889431442"/>
        </patternFill>
      </fill>
    </dxf>
    <dxf>
      <fill>
        <patternFill>
          <bgColor theme="6" tint="0.79998168889431442"/>
        </patternFill>
      </fill>
    </dxf>
    <dxf>
      <fill>
        <patternFill>
          <bgColor theme="6" tint="0.79998168889431442"/>
        </patternFill>
      </fill>
    </dxf>
    <dxf>
      <fill>
        <patternFill>
          <bgColor theme="6" tint="0.79998168889431442"/>
        </patternFill>
      </fill>
    </dxf>
    <dxf>
      <fill>
        <patternFill>
          <bgColor theme="6" tint="0.79998168889431442"/>
        </patternFill>
      </fill>
    </dxf>
    <dxf>
      <fill>
        <patternFill>
          <bgColor theme="6" tint="0.79998168889431442"/>
        </patternFill>
      </fill>
    </dxf>
    <dxf>
      <fill>
        <patternFill>
          <bgColor theme="6" tint="0.79998168889431442"/>
        </patternFill>
      </fill>
    </dxf>
    <dxf>
      <fill>
        <patternFill>
          <bgColor theme="6" tint="0.79998168889431442"/>
        </patternFill>
      </fill>
    </dxf>
    <dxf>
      <fill>
        <patternFill>
          <bgColor theme="6" tint="0.79998168889431442"/>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6" tint="0.79998168889431442"/>
        </patternFill>
      </fill>
    </dxf>
    <dxf>
      <fill>
        <patternFill>
          <bgColor theme="6" tint="0.79998168889431442"/>
        </patternFill>
      </fill>
    </dxf>
    <dxf>
      <fill>
        <patternFill>
          <bgColor theme="6" tint="0.79998168889431442"/>
        </patternFill>
      </fill>
    </dxf>
    <dxf>
      <fill>
        <patternFill>
          <bgColor theme="6" tint="0.79998168889431442"/>
        </patternFill>
      </fill>
    </dxf>
    <dxf>
      <fill>
        <patternFill>
          <bgColor theme="6" tint="0.79998168889431442"/>
        </patternFill>
      </fill>
    </dxf>
    <dxf>
      <font>
        <color theme="0"/>
      </font>
    </dxf>
    <dxf>
      <font>
        <color theme="1"/>
      </font>
    </dxf>
    <dxf>
      <font>
        <color rgb="FFFF0000"/>
      </font>
    </dxf>
    <dxf>
      <font>
        <color theme="0"/>
      </font>
    </dxf>
  </dxfs>
  <tableStyles count="0" defaultTableStyle="TableStyleMedium2" defaultPivotStyle="PivotStyleLight16"/>
  <colors>
    <mruColors>
      <color rgb="FFCCFFCC"/>
      <color rgb="FFFFFF99"/>
      <color rgb="FF003399"/>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externalLink" Target="externalLinks/externalLink1.xml"/><Relationship Id="rId55" Type="http://schemas.openxmlformats.org/officeDocument/2006/relationships/externalLink" Target="externalLinks/externalLink6.xml"/><Relationship Id="rId63" Type="http://schemas.openxmlformats.org/officeDocument/2006/relationships/calcChain" Target="calcChain.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worksheet" Target="worksheets/sheet41.xml"/><Relationship Id="rId54" Type="http://schemas.openxmlformats.org/officeDocument/2006/relationships/externalLink" Target="externalLinks/externalLink5.xml"/><Relationship Id="rId62"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externalLink" Target="externalLinks/externalLink4.xml"/><Relationship Id="rId58" Type="http://schemas.openxmlformats.org/officeDocument/2006/relationships/externalLink" Target="externalLinks/externalLink9.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externalLink" Target="externalLinks/externalLink8.xml"/><Relationship Id="rId61"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externalLink" Target="externalLinks/externalLink3.xml"/><Relationship Id="rId6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externalLink" Target="externalLinks/externalLink7.xml"/><Relationship Id="rId8" Type="http://schemas.openxmlformats.org/officeDocument/2006/relationships/worksheet" Target="worksheets/sheet8.xml"/><Relationship Id="rId51" Type="http://schemas.openxmlformats.org/officeDocument/2006/relationships/externalLink" Target="externalLinks/externalLink2.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externalLink" Target="externalLinks/externalLink10.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drawings/_rels/drawing1.xml.rels><?xml version="1.0" encoding="UTF-8" standalone="yes"?>
<Relationships xmlns="http://schemas.openxmlformats.org/package/2006/relationships"><Relationship Id="rId2" Type="http://schemas.openxmlformats.org/officeDocument/2006/relationships/image" Target="../media/image2.wmf"/><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2.wmf"/><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1" Type="http://schemas.openxmlformats.org/officeDocument/2006/relationships/image" Target="../media/image3.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4.emf"/></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13</xdr:col>
      <xdr:colOff>2532</xdr:colOff>
      <xdr:row>12</xdr:row>
      <xdr:rowOff>123261</xdr:rowOff>
    </xdr:to>
    <xdr:grpSp>
      <xdr:nvGrpSpPr>
        <xdr:cNvPr id="11" name="Group 10"/>
        <xdr:cNvGrpSpPr/>
      </xdr:nvGrpSpPr>
      <xdr:grpSpPr>
        <a:xfrm>
          <a:off x="0" y="0"/>
          <a:ext cx="8841732" cy="2066361"/>
          <a:chOff x="10970559" y="5479676"/>
          <a:chExt cx="8857420" cy="2005849"/>
        </a:xfrm>
      </xdr:grpSpPr>
      <xdr:pic>
        <xdr:nvPicPr>
          <xdr:cNvPr id="7" name="Picture 6"/>
          <xdr:cNvPicPr>
            <a:picLocks noChangeAspect="1"/>
          </xdr:cNvPicPr>
        </xdr:nvPicPr>
        <xdr:blipFill>
          <a:blip xmlns:r="http://schemas.openxmlformats.org/officeDocument/2006/relationships" r:embed="rId1" cstate="print">
            <a:duotone>
              <a:schemeClr val="accent1">
                <a:shade val="45000"/>
                <a:satMod val="135000"/>
              </a:schemeClr>
              <a:prstClr val="white"/>
            </a:duotone>
            <a:extLst>
              <a:ext uri="{28A0092B-C50C-407E-A947-70E740481C1C}">
                <a14:useLocalDpi xmlns:a14="http://schemas.microsoft.com/office/drawing/2010/main" val="0"/>
              </a:ext>
            </a:extLst>
          </a:blip>
          <a:stretch>
            <a:fillRect/>
          </a:stretch>
        </xdr:blipFill>
        <xdr:spPr>
          <a:xfrm>
            <a:off x="10970559" y="5479676"/>
            <a:ext cx="8857420" cy="1915766"/>
          </a:xfrm>
          <a:prstGeom prst="rect">
            <a:avLst/>
          </a:prstGeom>
          <a:ln>
            <a:noFill/>
          </a:ln>
          <a:effectLst>
            <a:softEdge rad="112500"/>
          </a:effectLst>
        </xdr:spPr>
      </xdr:pic>
      <xdr:sp macro="" textlink="">
        <xdr:nvSpPr>
          <xdr:cNvPr id="8" name="Rectangle 7"/>
          <xdr:cNvSpPr/>
        </xdr:nvSpPr>
        <xdr:spPr>
          <a:xfrm>
            <a:off x="11107770" y="5755409"/>
            <a:ext cx="8566570" cy="1730116"/>
          </a:xfrm>
          <a:prstGeom prst="rect">
            <a:avLst/>
          </a:prstGeom>
          <a:noFill/>
        </xdr:spPr>
        <xdr:txBody>
          <a:bodyPr wrap="none" lIns="91440" tIns="45720" rIns="91440" bIns="45720">
            <a:noAutofit/>
            <a:scene3d>
              <a:camera prst="orthographicFront"/>
              <a:lightRig rig="flat" dir="tl">
                <a:rot lat="0" lon="0" rev="6600000"/>
              </a:lightRig>
            </a:scene3d>
            <a:sp3d extrusionH="25400" contourW="8890">
              <a:bevelT w="38100" h="31750"/>
              <a:contourClr>
                <a:schemeClr val="tx1"/>
              </a:contourClr>
            </a:sp3d>
          </a:bodyPr>
          <a:lstStyle/>
          <a:p>
            <a:pPr algn="ctr" rtl="0"/>
            <a:r>
              <a:rPr lang="en-CA" sz="2900" b="1" i="0" cap="none" spc="0" baseline="0">
                <a:ln w="11430">
                  <a:solidFill>
                    <a:schemeClr val="tx1">
                      <a:lumMod val="95000"/>
                      <a:lumOff val="5000"/>
                    </a:schemeClr>
                  </a:solidFill>
                </a:ln>
                <a:solidFill>
                  <a:schemeClr val="tx1"/>
                </a:solidFill>
                <a:effectLst>
                  <a:outerShdw blurRad="60007" dist="200025" dir="15000000" sy="30000" kx="-1800000" algn="bl" rotWithShape="0">
                    <a:prstClr val="black">
                      <a:alpha val="32000"/>
                    </a:prstClr>
                  </a:outerShdw>
                </a:effectLst>
                <a:latin typeface="+mn-lt"/>
                <a:ea typeface="+mn-ea"/>
                <a:cs typeface="+mn-cs"/>
              </a:rPr>
              <a:t>Chapter 2 Appendices</a:t>
            </a:r>
          </a:p>
          <a:p>
            <a:pPr algn="ctr" rtl="0"/>
            <a:r>
              <a:rPr lang="en-CA" sz="2900" b="1" i="0" cap="none" spc="0" baseline="0">
                <a:ln w="11430">
                  <a:solidFill>
                    <a:schemeClr val="tx1">
                      <a:lumMod val="95000"/>
                      <a:lumOff val="5000"/>
                    </a:schemeClr>
                  </a:solidFill>
                </a:ln>
                <a:solidFill>
                  <a:schemeClr val="tx1"/>
                </a:solidFill>
                <a:effectLst>
                  <a:outerShdw blurRad="60007" dist="200025" dir="15000000" sy="30000" kx="-1800000" algn="bl" rotWithShape="0">
                    <a:prstClr val="black">
                      <a:alpha val="32000"/>
                    </a:prstClr>
                  </a:outerShdw>
                </a:effectLst>
                <a:latin typeface="+mn-lt"/>
                <a:ea typeface="+mn-ea"/>
                <a:cs typeface="+mn-cs"/>
              </a:rPr>
              <a:t>Filing Requirements for Electricity Distribution </a:t>
            </a:r>
          </a:p>
          <a:p>
            <a:pPr algn="ctr" rtl="0"/>
            <a:r>
              <a:rPr lang="en-CA" sz="2900" b="1" i="0" cap="none" spc="0" baseline="0">
                <a:ln w="11430">
                  <a:solidFill>
                    <a:schemeClr val="tx1">
                      <a:lumMod val="95000"/>
                      <a:lumOff val="5000"/>
                    </a:schemeClr>
                  </a:solidFill>
                </a:ln>
                <a:solidFill>
                  <a:schemeClr val="tx1"/>
                </a:solidFill>
                <a:effectLst>
                  <a:outerShdw blurRad="60007" dist="200025" dir="15000000" sy="30000" kx="-1800000" algn="bl" rotWithShape="0">
                    <a:prstClr val="black">
                      <a:alpha val="32000"/>
                    </a:prstClr>
                  </a:outerShdw>
                </a:effectLst>
                <a:latin typeface="+mn-lt"/>
                <a:ea typeface="+mn-ea"/>
                <a:cs typeface="+mn-cs"/>
              </a:rPr>
              <a:t>Rate Applications</a:t>
            </a:r>
            <a:endParaRPr lang="en-CA" sz="2900" b="1" cap="none" spc="0">
              <a:ln w="11430">
                <a:solidFill>
                  <a:schemeClr val="tx1">
                    <a:lumMod val="95000"/>
                    <a:lumOff val="5000"/>
                  </a:schemeClr>
                </a:solidFill>
              </a:ln>
              <a:solidFill>
                <a:schemeClr val="tx1"/>
              </a:solidFill>
              <a:effectLst>
                <a:outerShdw blurRad="60007" dist="200025" dir="15000000" sy="30000" kx="-1800000" algn="bl" rotWithShape="0">
                  <a:prstClr val="black">
                    <a:alpha val="32000"/>
                  </a:prstClr>
                </a:outerShdw>
              </a:effectLst>
            </a:endParaRPr>
          </a:p>
        </xdr:txBody>
      </xdr:sp>
      <xdr:pic>
        <xdr:nvPicPr>
          <xdr:cNvPr id="9" name="Picture 8"/>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2437" t="-1608" r="-2437" b="-1608"/>
          <a:stretch>
            <a:fillRect/>
          </a:stretch>
        </xdr:blipFill>
        <xdr:spPr bwMode="auto">
          <a:xfrm>
            <a:off x="11176383" y="5668151"/>
            <a:ext cx="389282" cy="3781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sp macro="" textlink="">
        <xdr:nvSpPr>
          <xdr:cNvPr id="10" name="Rectangle 9"/>
          <xdr:cNvSpPr/>
        </xdr:nvSpPr>
        <xdr:spPr>
          <a:xfrm>
            <a:off x="11516930" y="5637897"/>
            <a:ext cx="2583214" cy="336250"/>
          </a:xfrm>
          <a:prstGeom prst="rect">
            <a:avLst/>
          </a:prstGeom>
          <a:noFill/>
        </xdr:spPr>
        <xdr:txBody>
          <a:bodyPr wrap="none" lIns="91440" tIns="45720" rIns="91440" bIns="45720">
            <a:noAutofit/>
          </a:bodyPr>
          <a:lstStyle/>
          <a:p>
            <a:pPr algn="l" rtl="0"/>
            <a:r>
              <a:rPr lang="en-CA" sz="1800" b="0" i="0" cap="none" spc="0" baseline="0">
                <a:ln w="18415" cmpd="sng">
                  <a:noFill/>
                  <a:prstDash val="solid"/>
                </a:ln>
                <a:solidFill>
                  <a:schemeClr val="tx1"/>
                </a:solidFill>
                <a:effectLst>
                  <a:outerShdw blurRad="50800" dist="38100" dir="5400000" algn="t" rotWithShape="0">
                    <a:prstClr val="black">
                      <a:alpha val="40000"/>
                    </a:prstClr>
                  </a:outerShdw>
                </a:effectLst>
                <a:latin typeface="+mn-lt"/>
                <a:ea typeface="+mn-ea"/>
                <a:cs typeface="+mn-cs"/>
              </a:rPr>
              <a:t>Ontario Energy Board</a:t>
            </a:r>
            <a:endParaRPr lang="en-CA" sz="1800" b="0" cap="none" spc="0">
              <a:ln w="18415" cmpd="sng">
                <a:noFill/>
                <a:prstDash val="solid"/>
              </a:ln>
              <a:solidFill>
                <a:schemeClr val="tx1"/>
              </a:solidFill>
              <a:effectLst>
                <a:outerShdw blurRad="50800" dist="38100" dir="5400000" algn="t" rotWithShape="0">
                  <a:prstClr val="black">
                    <a:alpha val="40000"/>
                  </a:prstClr>
                </a:outerShdw>
              </a:effectLst>
            </a:endParaRPr>
          </a:p>
        </xdr:txBody>
      </xdr:sp>
    </xdr:grpSp>
    <xdr:clientData/>
  </xdr:twoCellAnchor>
  <xdr:twoCellAnchor>
    <xdr:from>
      <xdr:col>9</xdr:col>
      <xdr:colOff>314325</xdr:colOff>
      <xdr:row>9</xdr:row>
      <xdr:rowOff>104775</xdr:rowOff>
    </xdr:from>
    <xdr:to>
      <xdr:col>12</xdr:col>
      <xdr:colOff>114301</xdr:colOff>
      <xdr:row>11</xdr:row>
      <xdr:rowOff>28575</xdr:rowOff>
    </xdr:to>
    <xdr:sp macro="" textlink="">
      <xdr:nvSpPr>
        <xdr:cNvPr id="12" name="TextBox 11"/>
        <xdr:cNvSpPr txBox="1"/>
      </xdr:nvSpPr>
      <xdr:spPr>
        <a:xfrm>
          <a:off x="7077075" y="1562100"/>
          <a:ext cx="1628776" cy="2476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r"/>
          <a:r>
            <a:rPr lang="en-CA" sz="1400" b="1" i="0" cap="none" spc="0" baseline="0">
              <a:ln w="11430">
                <a:solidFill>
                  <a:schemeClr val="tx1">
                    <a:lumMod val="95000"/>
                    <a:lumOff val="5000"/>
                  </a:schemeClr>
                </a:solidFill>
              </a:ln>
              <a:solidFill>
                <a:schemeClr val="tx1"/>
              </a:solidFill>
              <a:effectLst>
                <a:outerShdw blurRad="60007" dist="200025" dir="15000000" sy="30000" kx="-1800000" algn="bl" rotWithShape="0">
                  <a:prstClr val="black">
                    <a:alpha val="32000"/>
                  </a:prstClr>
                </a:outerShdw>
              </a:effectLst>
              <a:latin typeface="+mn-lt"/>
              <a:ea typeface="+mn-ea"/>
              <a:cs typeface="+mn-cs"/>
            </a:rPr>
            <a:t>Version   2.3 (2017)</a:t>
          </a:r>
          <a:endParaRPr lang="en-CA" sz="1400"/>
        </a:p>
      </xdr:txBody>
    </xdr:sp>
    <xdr:clientData/>
  </xdr:twoCellAnchor>
  <xdr:twoCellAnchor>
    <xdr:from>
      <xdr:col>0</xdr:col>
      <xdr:colOff>66675</xdr:colOff>
      <xdr:row>57</xdr:row>
      <xdr:rowOff>9526</xdr:rowOff>
    </xdr:from>
    <xdr:to>
      <xdr:col>14</xdr:col>
      <xdr:colOff>600075</xdr:colOff>
      <xdr:row>64</xdr:row>
      <xdr:rowOff>114301</xdr:rowOff>
    </xdr:to>
    <xdr:sp macro="" textlink="">
      <xdr:nvSpPr>
        <xdr:cNvPr id="13" name="Text Box 50"/>
        <xdr:cNvSpPr txBox="1">
          <a:spLocks noChangeArrowheads="1"/>
        </xdr:cNvSpPr>
      </xdr:nvSpPr>
      <xdr:spPr bwMode="auto">
        <a:xfrm>
          <a:off x="66675" y="11144251"/>
          <a:ext cx="9667875" cy="1238250"/>
        </a:xfrm>
        <a:prstGeom prst="rect">
          <a:avLst/>
        </a:prstGeom>
        <a:noFill/>
        <a:ln>
          <a:noFill/>
        </a:ln>
        <a:effectLst>
          <a:softEdge rad="31750"/>
        </a:effectLst>
        <a:extLst/>
      </xdr:spPr>
      <xdr:txBody>
        <a:bodyPr vertOverflow="clip" wrap="square" lIns="27432" tIns="22860" rIns="0" bIns="0" anchor="t" upright="1"/>
        <a:lstStyle/>
        <a:p>
          <a:pPr algn="l" rtl="0">
            <a:defRPr sz="1000"/>
          </a:pPr>
          <a:r>
            <a:rPr lang="en-CA" sz="1000" b="1" i="1" u="none" strike="noStrike" baseline="0">
              <a:solidFill>
                <a:srgbClr val="000000"/>
              </a:solidFill>
              <a:latin typeface="Arial" pitchFamily="34" charset="0"/>
              <a:cs typeface="Arial" pitchFamily="34" charset="0"/>
            </a:rPr>
            <a:t>This Workbook Model is protected by copyright and is being made available to you solely for the purpose of filing your COS application. You may use and copy this model for that purpose, and provide a copy of this model to any person that is advising or assisting you in that regard. Except as indicated above, any copying, reproduction, publication, sale, adaptation, translation, modification, reverse engineering or other use or dissemination of this model without the express written consent of the Ontario Energy Board is prohibited. If you provide a copy of this model to a person that is advising or assisting you in preparing the application or reviewing your draft rate order, you must ensure that the person understands and agrees to the restrictions noted above.</a:t>
          </a:r>
        </a:p>
        <a:p>
          <a:pPr algn="l" rtl="0">
            <a:defRPr sz="1000"/>
          </a:pPr>
          <a:endParaRPr lang="en-CA" sz="1000" b="1" i="1" u="none" strike="noStrike" baseline="0">
            <a:solidFill>
              <a:srgbClr val="000000"/>
            </a:solidFill>
            <a:latin typeface="Arial" pitchFamily="34" charset="0"/>
            <a:cs typeface="Arial" pitchFamily="34" charset="0"/>
          </a:endParaRPr>
        </a:p>
        <a:p>
          <a:pPr marL="0" marR="0" indent="0" algn="l" defTabSz="914400" rtl="0" eaLnBrk="1" fontAlgn="auto" latinLnBrk="0" hangingPunct="1">
            <a:lnSpc>
              <a:spcPct val="100000"/>
            </a:lnSpc>
            <a:spcBef>
              <a:spcPts val="0"/>
            </a:spcBef>
            <a:spcAft>
              <a:spcPts val="0"/>
            </a:spcAft>
            <a:buClrTx/>
            <a:buSzTx/>
            <a:buFontTx/>
            <a:buNone/>
            <a:tabLst/>
            <a:defRPr sz="1000"/>
          </a:pPr>
          <a:r>
            <a:rPr lang="en-CA" sz="1000" b="1" i="1" baseline="0">
              <a:effectLst/>
              <a:latin typeface="Arial" pitchFamily="34" charset="0"/>
              <a:ea typeface="+mn-ea"/>
              <a:cs typeface="Arial" pitchFamily="34" charset="0"/>
            </a:rPr>
            <a:t>While this model has been provided in Excel format and is required to be filed with your application, the onus remains on the applicant to ensure the accuracy of the data and the results.</a:t>
          </a:r>
          <a:endParaRPr lang="en-CA" sz="1000" b="1" i="1" u="none" strike="noStrike" baseline="0">
            <a:solidFill>
              <a:srgbClr val="000000"/>
            </a:solidFill>
            <a:latin typeface="Arial" pitchFamily="34" charset="0"/>
            <a:cs typeface="Arial" pitchFamily="34" charset="0"/>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28575</xdr:colOff>
      <xdr:row>0</xdr:row>
      <xdr:rowOff>28575</xdr:rowOff>
    </xdr:from>
    <xdr:to>
      <xdr:col>5</xdr:col>
      <xdr:colOff>3247195</xdr:colOff>
      <xdr:row>12</xdr:row>
      <xdr:rowOff>24649</xdr:rowOff>
    </xdr:to>
    <xdr:grpSp>
      <xdr:nvGrpSpPr>
        <xdr:cNvPr id="6" name="Group 5"/>
        <xdr:cNvGrpSpPr/>
      </xdr:nvGrpSpPr>
      <xdr:grpSpPr>
        <a:xfrm>
          <a:off x="28575" y="28575"/>
          <a:ext cx="8857420" cy="2005849"/>
          <a:chOff x="10970559" y="5479676"/>
          <a:chExt cx="8857420" cy="2005849"/>
        </a:xfrm>
      </xdr:grpSpPr>
      <xdr:pic>
        <xdr:nvPicPr>
          <xdr:cNvPr id="7" name="Picture 6"/>
          <xdr:cNvPicPr>
            <a:picLocks noChangeAspect="1"/>
          </xdr:cNvPicPr>
        </xdr:nvPicPr>
        <xdr:blipFill>
          <a:blip xmlns:r="http://schemas.openxmlformats.org/officeDocument/2006/relationships" r:embed="rId1" cstate="print">
            <a:duotone>
              <a:schemeClr val="accent1">
                <a:shade val="45000"/>
                <a:satMod val="135000"/>
              </a:schemeClr>
              <a:prstClr val="white"/>
            </a:duotone>
            <a:extLst>
              <a:ext uri="{28A0092B-C50C-407E-A947-70E740481C1C}">
                <a14:useLocalDpi xmlns:a14="http://schemas.microsoft.com/office/drawing/2010/main" val="0"/>
              </a:ext>
            </a:extLst>
          </a:blip>
          <a:stretch>
            <a:fillRect/>
          </a:stretch>
        </xdr:blipFill>
        <xdr:spPr>
          <a:xfrm>
            <a:off x="10970559" y="5479676"/>
            <a:ext cx="8857420" cy="1915766"/>
          </a:xfrm>
          <a:prstGeom prst="rect">
            <a:avLst/>
          </a:prstGeom>
          <a:ln>
            <a:noFill/>
          </a:ln>
          <a:effectLst>
            <a:softEdge rad="112500"/>
          </a:effectLst>
        </xdr:spPr>
      </xdr:pic>
      <xdr:sp macro="" textlink="">
        <xdr:nvSpPr>
          <xdr:cNvPr id="8" name="Rectangle 7"/>
          <xdr:cNvSpPr/>
        </xdr:nvSpPr>
        <xdr:spPr>
          <a:xfrm>
            <a:off x="11107770" y="5755409"/>
            <a:ext cx="8566570" cy="1730116"/>
          </a:xfrm>
          <a:prstGeom prst="rect">
            <a:avLst/>
          </a:prstGeom>
          <a:noFill/>
        </xdr:spPr>
        <xdr:txBody>
          <a:bodyPr wrap="none" lIns="91440" tIns="45720" rIns="91440" bIns="45720">
            <a:noAutofit/>
            <a:scene3d>
              <a:camera prst="orthographicFront"/>
              <a:lightRig rig="flat" dir="tl">
                <a:rot lat="0" lon="0" rev="6600000"/>
              </a:lightRig>
            </a:scene3d>
            <a:sp3d extrusionH="25400" contourW="8890">
              <a:bevelT w="38100" h="31750"/>
              <a:contourClr>
                <a:schemeClr val="tx1"/>
              </a:contourClr>
            </a:sp3d>
          </a:bodyPr>
          <a:lstStyle/>
          <a:p>
            <a:pPr algn="ctr" rtl="0"/>
            <a:r>
              <a:rPr lang="en-CA" sz="2900" b="1" i="0" cap="none" spc="0" baseline="0">
                <a:ln w="11430">
                  <a:solidFill>
                    <a:schemeClr val="tx1">
                      <a:lumMod val="95000"/>
                      <a:lumOff val="5000"/>
                    </a:schemeClr>
                  </a:solidFill>
                </a:ln>
                <a:solidFill>
                  <a:schemeClr val="tx1"/>
                </a:solidFill>
                <a:effectLst>
                  <a:outerShdw blurRad="60007" dist="200025" dir="15000000" sy="30000" kx="-1800000" algn="bl" rotWithShape="0">
                    <a:prstClr val="black">
                      <a:alpha val="32000"/>
                    </a:prstClr>
                  </a:outerShdw>
                </a:effectLst>
                <a:latin typeface="+mn-lt"/>
                <a:ea typeface="+mn-ea"/>
                <a:cs typeface="+mn-cs"/>
              </a:rPr>
              <a:t>Chapter 2 Appendices</a:t>
            </a:r>
          </a:p>
          <a:p>
            <a:pPr algn="ctr" rtl="0"/>
            <a:r>
              <a:rPr lang="en-CA" sz="2900" b="1" i="0" cap="none" spc="0" baseline="0">
                <a:ln w="11430">
                  <a:solidFill>
                    <a:schemeClr val="tx1">
                      <a:lumMod val="95000"/>
                      <a:lumOff val="5000"/>
                    </a:schemeClr>
                  </a:solidFill>
                </a:ln>
                <a:solidFill>
                  <a:schemeClr val="tx1"/>
                </a:solidFill>
                <a:effectLst>
                  <a:outerShdw blurRad="60007" dist="200025" dir="15000000" sy="30000" kx="-1800000" algn="bl" rotWithShape="0">
                    <a:prstClr val="black">
                      <a:alpha val="32000"/>
                    </a:prstClr>
                  </a:outerShdw>
                </a:effectLst>
                <a:latin typeface="+mn-lt"/>
                <a:ea typeface="+mn-ea"/>
                <a:cs typeface="+mn-cs"/>
              </a:rPr>
              <a:t>Filing Requirements for Electricity Distribution </a:t>
            </a:r>
          </a:p>
          <a:p>
            <a:pPr algn="ctr" rtl="0"/>
            <a:r>
              <a:rPr lang="en-CA" sz="2900" b="1" i="0" cap="none" spc="0" baseline="0">
                <a:ln w="11430">
                  <a:solidFill>
                    <a:schemeClr val="tx1">
                      <a:lumMod val="95000"/>
                      <a:lumOff val="5000"/>
                    </a:schemeClr>
                  </a:solidFill>
                </a:ln>
                <a:solidFill>
                  <a:schemeClr val="tx1"/>
                </a:solidFill>
                <a:effectLst>
                  <a:outerShdw blurRad="60007" dist="200025" dir="15000000" sy="30000" kx="-1800000" algn="bl" rotWithShape="0">
                    <a:prstClr val="black">
                      <a:alpha val="32000"/>
                    </a:prstClr>
                  </a:outerShdw>
                </a:effectLst>
                <a:latin typeface="+mn-lt"/>
                <a:ea typeface="+mn-ea"/>
                <a:cs typeface="+mn-cs"/>
              </a:rPr>
              <a:t>Rate Applications</a:t>
            </a:r>
            <a:endParaRPr lang="en-CA" sz="2900" b="1" cap="none" spc="0">
              <a:ln w="11430">
                <a:solidFill>
                  <a:schemeClr val="tx1">
                    <a:lumMod val="95000"/>
                    <a:lumOff val="5000"/>
                  </a:schemeClr>
                </a:solidFill>
              </a:ln>
              <a:solidFill>
                <a:schemeClr val="tx1"/>
              </a:solidFill>
              <a:effectLst>
                <a:outerShdw blurRad="60007" dist="200025" dir="15000000" sy="30000" kx="-1800000" algn="bl" rotWithShape="0">
                  <a:prstClr val="black">
                    <a:alpha val="32000"/>
                  </a:prstClr>
                </a:outerShdw>
              </a:effectLst>
            </a:endParaRPr>
          </a:p>
        </xdr:txBody>
      </xdr:sp>
      <xdr:pic>
        <xdr:nvPicPr>
          <xdr:cNvPr id="13" name="Picture 12"/>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2437" t="-1608" r="-2437" b="-1608"/>
          <a:stretch>
            <a:fillRect/>
          </a:stretch>
        </xdr:blipFill>
        <xdr:spPr bwMode="auto">
          <a:xfrm>
            <a:off x="11176383" y="5668151"/>
            <a:ext cx="389282" cy="3781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sp macro="" textlink="">
        <xdr:nvSpPr>
          <xdr:cNvPr id="14" name="Rectangle 13"/>
          <xdr:cNvSpPr/>
        </xdr:nvSpPr>
        <xdr:spPr>
          <a:xfrm>
            <a:off x="11516930" y="5637897"/>
            <a:ext cx="2583214" cy="336250"/>
          </a:xfrm>
          <a:prstGeom prst="rect">
            <a:avLst/>
          </a:prstGeom>
          <a:noFill/>
        </xdr:spPr>
        <xdr:txBody>
          <a:bodyPr wrap="none" lIns="91440" tIns="45720" rIns="91440" bIns="45720">
            <a:noAutofit/>
          </a:bodyPr>
          <a:lstStyle/>
          <a:p>
            <a:pPr algn="l" rtl="0"/>
            <a:r>
              <a:rPr lang="en-CA" sz="1800" b="0" i="0" cap="none" spc="0" baseline="0">
                <a:ln w="18415" cmpd="sng">
                  <a:noFill/>
                  <a:prstDash val="solid"/>
                </a:ln>
                <a:solidFill>
                  <a:schemeClr val="tx1"/>
                </a:solidFill>
                <a:effectLst>
                  <a:outerShdw blurRad="50800" dist="38100" dir="5400000" algn="t" rotWithShape="0">
                    <a:prstClr val="black">
                      <a:alpha val="40000"/>
                    </a:prstClr>
                  </a:outerShdw>
                </a:effectLst>
                <a:latin typeface="+mn-lt"/>
                <a:ea typeface="+mn-ea"/>
                <a:cs typeface="+mn-cs"/>
              </a:rPr>
              <a:t>Ontario Energy Board</a:t>
            </a:r>
            <a:endParaRPr lang="en-CA" sz="1800" b="0" cap="none" spc="0">
              <a:ln w="18415" cmpd="sng">
                <a:noFill/>
                <a:prstDash val="solid"/>
              </a:ln>
              <a:solidFill>
                <a:schemeClr val="tx1"/>
              </a:solidFill>
              <a:effectLst>
                <a:outerShdw blurRad="50800" dist="38100" dir="5400000" algn="t" rotWithShape="0">
                  <a:prstClr val="black">
                    <a:alpha val="40000"/>
                  </a:prstClr>
                </a:outerShdw>
              </a:effectLst>
            </a:endParaRPr>
          </a:p>
        </xdr:txBody>
      </xdr:sp>
    </xdr:grpSp>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161925</xdr:colOff>
      <xdr:row>7</xdr:row>
      <xdr:rowOff>0</xdr:rowOff>
    </xdr:from>
    <xdr:to>
      <xdr:col>6</xdr:col>
      <xdr:colOff>495300</xdr:colOff>
      <xdr:row>38</xdr:row>
      <xdr:rowOff>114300</xdr:rowOff>
    </xdr:to>
    <xdr:pic>
      <xdr:nvPicPr>
        <xdr:cNvPr id="4098" name="Picture 1"/>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42900" y="1752600"/>
          <a:ext cx="8467725" cy="5133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3</xdr:col>
          <xdr:colOff>466725</xdr:colOff>
          <xdr:row>4</xdr:row>
          <xdr:rowOff>638175</xdr:rowOff>
        </xdr:from>
        <xdr:to>
          <xdr:col>7</xdr:col>
          <xdr:colOff>66675</xdr:colOff>
          <xdr:row>12</xdr:row>
          <xdr:rowOff>171450</xdr:rowOff>
        </xdr:to>
        <xdr:sp macro="" textlink="">
          <xdr:nvSpPr>
            <xdr:cNvPr id="140295" name="Object 7" hidden="1">
              <a:extLst>
                <a:ext uri="{63B3BB69-23CF-44E3-9099-C40C66FF867C}">
                  <a14:compatExt spid="_x0000_s140295"/>
                </a:ext>
              </a:extLst>
            </xdr:cNvPr>
            <xdr:cNvSpPr/>
          </xdr:nvSpPr>
          <xdr:spPr>
            <a:xfrm>
              <a:off x="0" y="0"/>
              <a:ext cx="0" cy="0"/>
            </a:xfrm>
            <a:prstGeom prst="rect">
              <a:avLst/>
            </a:prstGeom>
          </xdr:spPr>
        </xdr:sp>
        <xdr:clientData/>
      </xdr:twoCellAnchor>
    </mc:Choice>
    <mc:Fallback/>
  </mc:AlternateContent>
</xdr:wsDr>
</file>

<file path=xl/drawings/drawing5.xml><?xml version="1.0" encoding="utf-8"?>
<xdr:wsDr xmlns:xdr="http://schemas.openxmlformats.org/drawingml/2006/spreadsheetDrawing" xmlns:a="http://schemas.openxmlformats.org/drawingml/2006/main">
  <xdr:twoCellAnchor>
    <xdr:from>
      <xdr:col>1</xdr:col>
      <xdr:colOff>95252</xdr:colOff>
      <xdr:row>10</xdr:row>
      <xdr:rowOff>9525</xdr:rowOff>
    </xdr:from>
    <xdr:to>
      <xdr:col>1</xdr:col>
      <xdr:colOff>276226</xdr:colOff>
      <xdr:row>16</xdr:row>
      <xdr:rowOff>28575</xdr:rowOff>
    </xdr:to>
    <xdr:sp macro="" textlink="">
      <xdr:nvSpPr>
        <xdr:cNvPr id="5" name="Right Brace 4"/>
        <xdr:cNvSpPr/>
      </xdr:nvSpPr>
      <xdr:spPr>
        <a:xfrm>
          <a:off x="1057277" y="2447925"/>
          <a:ext cx="180974" cy="1076325"/>
        </a:xfrm>
        <a:prstGeom prst="rightBrace">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lang="en-CA" sz="1100"/>
        </a:p>
      </xdr:txBody>
    </xdr:sp>
    <xdr:clientData/>
  </xdr:twoCellAnchor>
</xdr:wsDr>
</file>

<file path=xl/drawings/drawing6.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323850</xdr:colOff>
          <xdr:row>13</xdr:row>
          <xdr:rowOff>104775</xdr:rowOff>
        </xdr:from>
        <xdr:to>
          <xdr:col>0</xdr:col>
          <xdr:colOff>590550</xdr:colOff>
          <xdr:row>13</xdr:row>
          <xdr:rowOff>523875</xdr:rowOff>
        </xdr:to>
        <xdr:sp macro="" textlink="">
          <xdr:nvSpPr>
            <xdr:cNvPr id="194563" name="Check Box 3" hidden="1">
              <a:extLst>
                <a:ext uri="{63B3BB69-23CF-44E3-9099-C40C66FF867C}">
                  <a14:compatExt spid="_x0000_s194563"/>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304800</xdr:colOff>
          <xdr:row>14</xdr:row>
          <xdr:rowOff>47625</xdr:rowOff>
        </xdr:from>
        <xdr:to>
          <xdr:col>0</xdr:col>
          <xdr:colOff>571500</xdr:colOff>
          <xdr:row>14</xdr:row>
          <xdr:rowOff>466725</xdr:rowOff>
        </xdr:to>
        <xdr:sp macro="" textlink="">
          <xdr:nvSpPr>
            <xdr:cNvPr id="194564" name="Check Box 4" hidden="1">
              <a:extLst>
                <a:ext uri="{63B3BB69-23CF-44E3-9099-C40C66FF867C}">
                  <a14:compatExt spid="_x0000_s194564"/>
                </a:ext>
              </a:extLst>
            </xdr:cNvPr>
            <xdr:cNvSpPr/>
          </xdr:nvSpPr>
          <xdr:spPr>
            <a:xfrm>
              <a:off x="0" y="0"/>
              <a:ext cx="0" cy="0"/>
            </a:xfrm>
            <a:prstGeom prst="rect">
              <a:avLst/>
            </a:prstGeom>
          </xdr:spPr>
        </xdr:sp>
        <xdr:clientData/>
      </xdr:twoCellAnchor>
    </mc:Choice>
    <mc:Fallback/>
  </mc:AlternateContent>
</xdr:wsDr>
</file>

<file path=xl/drawings/drawing7.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323850</xdr:colOff>
          <xdr:row>13</xdr:row>
          <xdr:rowOff>76200</xdr:rowOff>
        </xdr:from>
        <xdr:to>
          <xdr:col>0</xdr:col>
          <xdr:colOff>590550</xdr:colOff>
          <xdr:row>13</xdr:row>
          <xdr:rowOff>495300</xdr:rowOff>
        </xdr:to>
        <xdr:sp macro="" textlink="">
          <xdr:nvSpPr>
            <xdr:cNvPr id="200711" name="Check Box 7" hidden="1">
              <a:extLst>
                <a:ext uri="{63B3BB69-23CF-44E3-9099-C40C66FF867C}">
                  <a14:compatExt spid="_x0000_s200711"/>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304800</xdr:colOff>
          <xdr:row>14</xdr:row>
          <xdr:rowOff>47625</xdr:rowOff>
        </xdr:from>
        <xdr:to>
          <xdr:col>0</xdr:col>
          <xdr:colOff>571500</xdr:colOff>
          <xdr:row>14</xdr:row>
          <xdr:rowOff>466725</xdr:rowOff>
        </xdr:to>
        <xdr:sp macro="" textlink="">
          <xdr:nvSpPr>
            <xdr:cNvPr id="200712" name="Check Box 8" hidden="1">
              <a:extLst>
                <a:ext uri="{63B3BB69-23CF-44E3-9099-C40C66FF867C}">
                  <a14:compatExt spid="_x0000_s200712"/>
                </a:ext>
              </a:extLst>
            </xdr:cNvPr>
            <xdr:cNvSpPr/>
          </xdr:nvSpPr>
          <xdr:spPr>
            <a:xfrm>
              <a:off x="0" y="0"/>
              <a:ext cx="0" cy="0"/>
            </a:xfrm>
            <a:prstGeom prst="rect">
              <a:avLst/>
            </a:prstGeom>
          </xdr:spPr>
        </xdr:sp>
        <xdr:clientData/>
      </xdr:twoCellAnchor>
    </mc:Choice>
    <mc:Fallback/>
  </mc:AlternateContent>
</xdr:wsDr>
</file>

<file path=xl/drawings/drawing8.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323850</xdr:colOff>
          <xdr:row>13</xdr:row>
          <xdr:rowOff>47625</xdr:rowOff>
        </xdr:from>
        <xdr:to>
          <xdr:col>0</xdr:col>
          <xdr:colOff>590550</xdr:colOff>
          <xdr:row>13</xdr:row>
          <xdr:rowOff>447675</xdr:rowOff>
        </xdr:to>
        <xdr:sp macro="" textlink="">
          <xdr:nvSpPr>
            <xdr:cNvPr id="201733" name="Check Box 5" hidden="1">
              <a:extLst>
                <a:ext uri="{63B3BB69-23CF-44E3-9099-C40C66FF867C}">
                  <a14:compatExt spid="_x0000_s201733"/>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304800</xdr:colOff>
          <xdr:row>14</xdr:row>
          <xdr:rowOff>38100</xdr:rowOff>
        </xdr:from>
        <xdr:to>
          <xdr:col>0</xdr:col>
          <xdr:colOff>571500</xdr:colOff>
          <xdr:row>14</xdr:row>
          <xdr:rowOff>457200</xdr:rowOff>
        </xdr:to>
        <xdr:sp macro="" textlink="">
          <xdr:nvSpPr>
            <xdr:cNvPr id="201734" name="Check Box 6" hidden="1">
              <a:extLst>
                <a:ext uri="{63B3BB69-23CF-44E3-9099-C40C66FF867C}">
                  <a14:compatExt spid="_x0000_s201734"/>
                </a:ext>
              </a:extLst>
            </xdr:cNvPr>
            <xdr:cNvSpPr/>
          </xdr:nvSpPr>
          <xdr:spPr>
            <a:xfrm>
              <a:off x="0" y="0"/>
              <a:ext cx="0" cy="0"/>
            </a:xfrm>
            <a:prstGeom prst="rect">
              <a:avLst/>
            </a:prstGeom>
          </xdr:spPr>
        </xdr:sp>
        <xdr:clientData/>
      </xdr:twoCellAnchor>
    </mc:Choice>
    <mc:Fallback/>
  </mc:AlternateContent>
</xdr:wsDr>
</file>

<file path=xl/drawings/drawing9.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323850</xdr:colOff>
          <xdr:row>13</xdr:row>
          <xdr:rowOff>47625</xdr:rowOff>
        </xdr:from>
        <xdr:to>
          <xdr:col>0</xdr:col>
          <xdr:colOff>590550</xdr:colOff>
          <xdr:row>13</xdr:row>
          <xdr:rowOff>447675</xdr:rowOff>
        </xdr:to>
        <xdr:sp macro="" textlink="">
          <xdr:nvSpPr>
            <xdr:cNvPr id="202760" name="Check Box 8" hidden="1">
              <a:extLst>
                <a:ext uri="{63B3BB69-23CF-44E3-9099-C40C66FF867C}">
                  <a14:compatExt spid="_x0000_s202760"/>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304800</xdr:colOff>
          <xdr:row>14</xdr:row>
          <xdr:rowOff>47625</xdr:rowOff>
        </xdr:from>
        <xdr:to>
          <xdr:col>0</xdr:col>
          <xdr:colOff>571500</xdr:colOff>
          <xdr:row>14</xdr:row>
          <xdr:rowOff>466725</xdr:rowOff>
        </xdr:to>
        <xdr:sp macro="" textlink="">
          <xdr:nvSpPr>
            <xdr:cNvPr id="202761" name="Check Box 9" hidden="1">
              <a:extLst>
                <a:ext uri="{63B3BB69-23CF-44E3-9099-C40C66FF867C}">
                  <a14:compatExt spid="_x0000_s202761"/>
                </a:ext>
              </a:extLst>
            </xdr:cNvPr>
            <xdr:cNvSpPr/>
          </xdr:nvSpPr>
          <xdr:spPr>
            <a:xfrm>
              <a:off x="0" y="0"/>
              <a:ext cx="0" cy="0"/>
            </a:xfrm>
            <a:prstGeom prst="rect">
              <a:avLst/>
            </a:prstGeom>
          </xdr:spPr>
        </xdr:sp>
        <xdr:clientData/>
      </xdr:twoCellAnchor>
    </mc:Choice>
    <mc:Fallback/>
  </mc:AlternateContent>
</xdr:wsDr>
</file>

<file path=xl/drawings/drawing10.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323850</xdr:colOff>
          <xdr:row>13</xdr:row>
          <xdr:rowOff>47625</xdr:rowOff>
        </xdr:from>
        <xdr:to>
          <xdr:col>0</xdr:col>
          <xdr:colOff>590550</xdr:colOff>
          <xdr:row>13</xdr:row>
          <xdr:rowOff>504825</xdr:rowOff>
        </xdr:to>
        <xdr:sp macro="" textlink="">
          <xdr:nvSpPr>
            <xdr:cNvPr id="203779" name="Check Box 3" hidden="1">
              <a:extLst>
                <a:ext uri="{63B3BB69-23CF-44E3-9099-C40C66FF867C}">
                  <a14:compatExt spid="_x0000_s203779"/>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304800</xdr:colOff>
          <xdr:row>14</xdr:row>
          <xdr:rowOff>28575</xdr:rowOff>
        </xdr:from>
        <xdr:to>
          <xdr:col>0</xdr:col>
          <xdr:colOff>571500</xdr:colOff>
          <xdr:row>14</xdr:row>
          <xdr:rowOff>447675</xdr:rowOff>
        </xdr:to>
        <xdr:sp macro="" textlink="">
          <xdr:nvSpPr>
            <xdr:cNvPr id="203780" name="Check Box 4" hidden="1">
              <a:extLst>
                <a:ext uri="{63B3BB69-23CF-44E3-9099-C40C66FF867C}">
                  <a14:compatExt spid="_x0000_s203780"/>
                </a:ext>
              </a:extLst>
            </xdr:cNvPr>
            <xdr:cNvSpPr/>
          </xdr:nvSpPr>
          <xdr:spPr>
            <a:xfrm>
              <a:off x="0" y="0"/>
              <a:ext cx="0" cy="0"/>
            </a:xfrm>
            <a:prstGeom prst="rect">
              <a:avLst/>
            </a:prstGeom>
          </xdr:spPr>
        </xdr:sp>
        <xdr:clientData/>
      </xdr:twoCellAnchor>
    </mc:Choice>
    <mc:Fallback/>
  </mc:AlternateContent>
</xdr:wsDr>
</file>

<file path=xl/drawings/drawing1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323850</xdr:colOff>
          <xdr:row>13</xdr:row>
          <xdr:rowOff>47625</xdr:rowOff>
        </xdr:from>
        <xdr:to>
          <xdr:col>0</xdr:col>
          <xdr:colOff>590550</xdr:colOff>
          <xdr:row>13</xdr:row>
          <xdr:rowOff>485775</xdr:rowOff>
        </xdr:to>
        <xdr:sp macro="" textlink="">
          <xdr:nvSpPr>
            <xdr:cNvPr id="204803" name="Check Box 3" hidden="1">
              <a:extLst>
                <a:ext uri="{63B3BB69-23CF-44E3-9099-C40C66FF867C}">
                  <a14:compatExt spid="_x0000_s204803"/>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304800</xdr:colOff>
          <xdr:row>14</xdr:row>
          <xdr:rowOff>47625</xdr:rowOff>
        </xdr:from>
        <xdr:to>
          <xdr:col>0</xdr:col>
          <xdr:colOff>571500</xdr:colOff>
          <xdr:row>15</xdr:row>
          <xdr:rowOff>0</xdr:rowOff>
        </xdr:to>
        <xdr:sp macro="" textlink="">
          <xdr:nvSpPr>
            <xdr:cNvPr id="204804" name="Check Box 4" hidden="1">
              <a:extLst>
                <a:ext uri="{63B3BB69-23CF-44E3-9099-C40C66FF867C}">
                  <a14:compatExt spid="_x0000_s204804"/>
                </a:ext>
              </a:extLst>
            </xdr:cNvPr>
            <xdr:cNvSpPr/>
          </xdr:nvSpPr>
          <xdr:spPr>
            <a:xfrm>
              <a:off x="0" y="0"/>
              <a:ext cx="0" cy="0"/>
            </a:xfrm>
            <a:prstGeom prst="rect">
              <a:avLst/>
            </a:prstGeom>
          </xdr:spPr>
        </xdr:sp>
        <xdr:clientData/>
      </xdr:twoCellAnchor>
    </mc:Choice>
    <mc:Fallback/>
  </mc:AlternateContent>
</xdr:wsDr>
</file>

<file path=xl/drawings/drawing1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323850</xdr:colOff>
          <xdr:row>13</xdr:row>
          <xdr:rowOff>47625</xdr:rowOff>
        </xdr:from>
        <xdr:to>
          <xdr:col>0</xdr:col>
          <xdr:colOff>590550</xdr:colOff>
          <xdr:row>13</xdr:row>
          <xdr:rowOff>485775</xdr:rowOff>
        </xdr:to>
        <xdr:sp macro="" textlink="">
          <xdr:nvSpPr>
            <xdr:cNvPr id="217090" name="Check Box 2" hidden="1">
              <a:extLst>
                <a:ext uri="{63B3BB69-23CF-44E3-9099-C40C66FF867C}">
                  <a14:compatExt spid="_x0000_s217090"/>
                </a:ext>
              </a:extLst>
            </xdr:cNvPr>
            <xdr:cNvSpPr/>
          </xdr:nvSpPr>
          <xdr:spPr>
            <a:xfrm>
              <a:off x="0" y="0"/>
              <a:ext cx="0" cy="0"/>
            </a:xfrm>
            <a:prstGeom prst="rect">
              <a:avLst/>
            </a:prstGeom>
          </xdr:spPr>
        </xdr:sp>
        <xdr:clientData/>
      </xdr:twoCellAnchor>
    </mc:Choice>
    <mc:Fallback/>
  </mc:AlternateContent>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Applications%20Department/Department%20Applications/Application%20Review%20Process/Rec%20%231%20-%20Application%20Filing%20Requirements/Testing%20Protocols%20for%20Models%20and%20Appendices/2014%20IRM%20Rate%20Generator_V2.3_FOR%20TESTING.xlsm"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www.ontarioenergyboard.ca/oeb/_Documents/2015EDR/2015%20Filing%20Requirements/Filing_Requirements_Chapter2_Appendices_for%202014_unprotected.v1.xlsm"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Users/ritchike/AppData/Local/Microsoft/Windows/Temporary%20Internet%20Files/Content.Outlook/IMG9R824/Appendices_removed.xlsm"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nts1\amar$\My%20Documents\EXCEL\COSA\COSA_Unbundling%20(MEA)\Mea_UCA_test.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http://www.ontarioenergyboard.ca/Applications%20Department/Department%20Applications/Rates/2013%20Electricity%20Rates/$Models/Final%202013%20IRM%20RG.xlsm"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Applications%20Department/Department%20Applications/Rates/2013%20Electricity%20Rates/$Models/Final%202013%20IRM%20RG.xlsm"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Users/kwando/AppData/Local/Microsoft/Windows/Temporary%20Internet%20Files/Content.Outlook/2LI0QYVT/Recent%20Drafts/Filing_Requirements_Chapter2_Appendices%20-%20Excel%20(May%2031).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http://www.ontarioenergyboard.ca/Home/Market%20Operations/Department%20Applications/Reports/Rates/Electricity%20Rates%20-%20Billing%20Determinants%20Database/2012%20IRM%20DEVELOPMENT/2012%20IRM%20MODEL%20(2ND%20AND%203RD).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Home/Market%20Operations/Department%20Applications/Reports/Rates/Electricity%20Rates%20-%20Billing%20Determinants%20Database/2012%20IRM%20DEVELOPMENT/2012%20IRM%20MODEL%20(2ND%20AND%203RD).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nts1\eichsteller$\My%20Documents\EXCEL\COSA\COSA_Unbundling%20(MEA)\Mea_UCA_test.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1. Information Sheet"/>
      <sheetName val="2. Table of Contents"/>
      <sheetName val="3. Rate Class Selection"/>
      <sheetName val="4. Current Tariff Schedule"/>
      <sheetName val="4. Hidden"/>
      <sheetName val="5. 2014 Continuity Schedule"/>
      <sheetName val="6. Billing Det. for Def-Var"/>
      <sheetName val="6. hidden"/>
      <sheetName val="7. Allocating Def-Var Balances"/>
      <sheetName val="8. Calculation of Def-Var RR"/>
      <sheetName val="9. Rev2Cost_GDPIPI"/>
      <sheetName val="9. hidden"/>
      <sheetName val="10. Other Charges &amp; LF"/>
      <sheetName val="11. Proposed Rates"/>
      <sheetName val="11. Hidden"/>
      <sheetName val="12. Summary Sheet"/>
      <sheetName val="13. Final Tariff Schedule"/>
      <sheetName val="14. Bill Impacts"/>
      <sheetName val="14. Bill Impacts1"/>
      <sheetName val="lists"/>
      <sheetName val="2016 List"/>
    </sheetNames>
    <sheetDataSet>
      <sheetData sheetId="0"/>
      <sheetData sheetId="1"/>
      <sheetData sheetId="2">
        <row r="19">
          <cell r="B19" t="str">
            <v>UNMETERED SCATTERED LOAD</v>
          </cell>
        </row>
        <row r="20">
          <cell r="B20" t="str">
            <v>RESIDENTIAL URBAN</v>
          </cell>
        </row>
        <row r="21">
          <cell r="B21" t="str">
            <v>microFIT</v>
          </cell>
        </row>
      </sheetData>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LDC Info"/>
      <sheetName val="Table of Contents"/>
      <sheetName val="COS Flowchart"/>
      <sheetName val="List of Key References"/>
      <sheetName val="App.2-AA_Capital Projects"/>
      <sheetName val="App.2-AB_Capital Expenditures"/>
      <sheetName val="App.2-BA Fix Asset Cont."/>
      <sheetName val="Appendix 2-BB Service Life Comp"/>
      <sheetName val="Instruction for App. 2-C MIFRS"/>
      <sheetName val="App.2-CA_CGAAP_DepExp_2011"/>
      <sheetName val="App.2-CB_MIFRS_DepExp_2011"/>
      <sheetName val="App.2-CC_MIFRS_DepExp_2012"/>
      <sheetName val="App.2-CD_MIFRS_DepExp_2013"/>
      <sheetName val="App.2-CE_MIFRS_DepExp_2014"/>
      <sheetName val="App.2-CF_CGAAP_DepExp_2012"/>
      <sheetName val="App.2-CG_MIFRS_DepExp_2012"/>
      <sheetName val="App.2-CH_MIFRS_DepExp_2013"/>
      <sheetName val="App.2-CI_MIFRS_DepExp_2014"/>
      <sheetName val="App.2-CJ_CGAAP_DepExp_2012"/>
      <sheetName val="App.2-CK_CGAAP_DepExp_2013"/>
      <sheetName val="App.2-CL_MIFRS_DepExp_2013"/>
      <sheetName val="App.2-CM_MIFRS_DepExp_2014"/>
      <sheetName val="Instruction for App. 2-C CGAAP"/>
      <sheetName val="App.2-CA_OldCGAAP_DepExp_2012"/>
      <sheetName val="App.2-CB_NewCGAAP_DepExp_2012"/>
      <sheetName val="App.2-CC_NewCGAAP_DepExp_2013"/>
      <sheetName val="App.2-CD NewCGAAP_DepExp_2014"/>
      <sheetName val="App.2-CE MIFRS_DepExp_2015"/>
      <sheetName val="App.2-CF_OldCGAAP_DepExp_2013"/>
      <sheetName val="App.2-CG_NewCGAAP_DepExp_2013"/>
      <sheetName val="App.2-CH_NewCGAAP_DepExp_2014"/>
      <sheetName val="App.2-CI MIFRS_DepExp_2015"/>
      <sheetName val="App.2-CR_OldCGAAP_DepExp_2012"/>
      <sheetName val="App.2-CS_OldCGAAP_DepExp_2013"/>
      <sheetName val="App.2-CT_NewCGAAP_DepExp_2013"/>
      <sheetName val="App.2-CU_NewCGAAP_DepExp_2014"/>
      <sheetName val="App.2-CV_USGAAP_DepExp"/>
      <sheetName val="App.2-DA_Overhead"/>
      <sheetName val="App.2-DB_Overhead"/>
      <sheetName val="App.2-EA_PP&amp;E Deferral Account"/>
      <sheetName val="App.2-EB_PP&amp;E Deferral Account"/>
      <sheetName val="App.2-EC_PP&amp;E Deferral Account"/>
      <sheetName val="App.2-ED_Account 1576 (2012)"/>
      <sheetName val="App.2-EE_Account 1576 (2013)"/>
      <sheetName val="App.2-FA Proposed REG Invest."/>
      <sheetName val="App.2-FB Calc of REG Improvemnt"/>
      <sheetName val="App.2-FC Calc of REG Expansion"/>
      <sheetName val="App.2-G SQI"/>
      <sheetName val="App.2-H_Other_Oper_Rev"/>
      <sheetName val="App.2-I LF_CDM_WF"/>
      <sheetName val="App.2-JA_OM&amp;A_Summary_Analys"/>
      <sheetName val="App.2-JB_OM&amp;A_Cost _Drivers"/>
      <sheetName val="App.2-JC_OMA Programs"/>
      <sheetName val="App.2-K_Employee Costs"/>
      <sheetName val="App.2-L_OM&amp;A_per_Cust_FTEE"/>
      <sheetName val="App.2-M_Regulatory_Costs"/>
      <sheetName val="App.2-N_Corp_Cost_Allocation"/>
      <sheetName val="App.2-OA Capital Structure"/>
      <sheetName val="App.2-OB_Debt Instruments"/>
      <sheetName val="App.2-P_Cost_Allocation"/>
      <sheetName val="App.2-Q_Cost of Serv. Emb. Dx"/>
      <sheetName val="App.2-R_Loss Factors"/>
      <sheetName val="App.2-S_Stranded Meters"/>
      <sheetName val="App.2-TA_1592_Tax_Variance"/>
      <sheetName val="App.2-TB_1592_HST-OVAT"/>
      <sheetName val="App.2-U_IFRS Transition Costs"/>
      <sheetName val="App.2-V_Rev_Reconciliation"/>
      <sheetName val="App.2-W_Bill Impacts"/>
      <sheetName val="App.2-YA_MIFRS Summary Impacts"/>
      <sheetName val="App. 2-YB_CGAAP Summary Impacts"/>
      <sheetName val="App. 2-Z_Tariff"/>
      <sheetName val="lists"/>
      <sheetName val="lists2"/>
      <sheetName val="Sheet19"/>
    </sheetNames>
    <sheetDataSet>
      <sheetData sheetId="0">
        <row r="24">
          <cell r="E24">
            <v>2014</v>
          </cell>
        </row>
        <row r="26">
          <cell r="E26">
            <v>2013</v>
          </cell>
        </row>
        <row r="28">
          <cell r="E28">
            <v>2009</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ow r="1">
          <cell r="A1" t="str">
            <v>DISTRIBUTED GENERATION [DGEN]</v>
          </cell>
          <cell r="I1" t="str">
            <v>Distribution Volumetric Rate</v>
          </cell>
          <cell r="Z1" t="str">
            <v>Account History</v>
          </cell>
          <cell r="AA1" t="str">
            <v>Account set up charge/change of occupancy charge (plus credit agency costs if applicable)</v>
          </cell>
        </row>
        <row r="2">
          <cell r="A2" t="str">
            <v>EMBEDDED DISTRIBUTOR</v>
          </cell>
          <cell r="I2" t="str">
            <v>Distribution Volumetric Rate - $/kW of contracted amount</v>
          </cell>
          <cell r="L2" t="str">
            <v>Total Loss Factor – Primary Metered Customer</v>
          </cell>
          <cell r="N2" t="str">
            <v>$</v>
          </cell>
          <cell r="Z2" t="str">
            <v>Account set up charge/change of occupancy charge</v>
          </cell>
          <cell r="AA2" t="str">
            <v>Administrative Billing Charge</v>
          </cell>
        </row>
        <row r="3">
          <cell r="A3" t="str">
            <v>EMBEDDED DISTRIBUTOR</v>
          </cell>
          <cell r="I3" t="str">
            <v>Distribution Wheeling Service Rate</v>
          </cell>
          <cell r="L3" t="str">
            <v>Total Loss Factor – Primary Metered Customer &lt; 5,000 kW</v>
          </cell>
          <cell r="N3" t="str">
            <v>$/kWh</v>
          </cell>
          <cell r="Z3" t="str">
            <v>Account set up charge/change of occupancy charge (plus credit agency costs if applicable – Residential)</v>
          </cell>
          <cell r="AA3" t="str">
            <v>Bell Canada Pole Rentals</v>
          </cell>
        </row>
        <row r="4">
          <cell r="A4" t="str">
            <v>FARMS - SINGLE PHASE ENERGY-BILLED [F1]</v>
          </cell>
          <cell r="I4" t="str">
            <v>General Service 1,500 to 4,999 kW customer</v>
          </cell>
          <cell r="L4" t="str">
            <v>Total Loss Factor – Primary Metered Customer &gt; 5,000 kW</v>
          </cell>
          <cell r="N4" t="str">
            <v>$/kW</v>
          </cell>
          <cell r="Z4" t="str">
            <v>Account set up charge/change of occupancy charge (plus credit agency costs if applicable)</v>
          </cell>
          <cell r="AA4" t="str">
            <v>Clearance Pole Attachment charge $/pole/year</v>
          </cell>
        </row>
        <row r="5">
          <cell r="A5" t="str">
            <v>FARMS - THREE PHASE ENERGY-BILLED [F3]</v>
          </cell>
          <cell r="I5" t="str">
            <v>General Service 50 to 1,499 kW customer</v>
          </cell>
          <cell r="L5" t="str">
            <v>Total Loss Factor – Secondary Metered Customer</v>
          </cell>
          <cell r="N5" t="str">
            <v>$/kVA</v>
          </cell>
          <cell r="Z5" t="str">
            <v>Arrears certificate</v>
          </cell>
          <cell r="AA5" t="str">
            <v>Collection of account charge – no disconnection</v>
          </cell>
        </row>
        <row r="6">
          <cell r="A6" t="str">
            <v>GENERAL SERVICE - COMMERCIAL</v>
          </cell>
          <cell r="I6" t="str">
            <v>General Service Large Use customer</v>
          </cell>
          <cell r="L6" t="str">
            <v>Total Loss Factor – Secondary Metered Customer &lt; 5,000 kW</v>
          </cell>
          <cell r="Z6" t="str">
            <v>Arrears certificate (credit reference)</v>
          </cell>
          <cell r="AA6" t="str">
            <v>Collection of account charge – no disconnection – after regular hours</v>
          </cell>
        </row>
        <row r="7">
          <cell r="A7" t="str">
            <v>GENERAL SERVICE - INSTITUTIONAL</v>
          </cell>
          <cell r="I7" t="str">
            <v>Green Energy Act Plan Funding Adder - effective April 1, 2013 until March 31, 2014</v>
          </cell>
        </row>
        <row r="8">
          <cell r="A8" t="str">
            <v>GENERAL SERVICE 1,000 TO 2,999 KW</v>
          </cell>
          <cell r="I8" t="str">
            <v>Green Energy Act Plan Funding Adder - effective until March 31, 2013</v>
          </cell>
          <cell r="L8" t="str">
            <v>Total Loss Factor – Secondary Metered Customer &gt; 5,000 kW</v>
          </cell>
          <cell r="Z8" t="str">
            <v>Charge to certify cheque</v>
          </cell>
          <cell r="AA8" t="str">
            <v>Collection of account charge – no disconnection - during regular business hours</v>
          </cell>
        </row>
        <row r="9">
          <cell r="A9" t="str">
            <v>GENERAL SERVICE 1,000 TO 4,999 KW - INTERVAL METERS</v>
          </cell>
          <cell r="I9" t="str">
            <v>Low Voltage Service Charge</v>
          </cell>
          <cell r="L9" t="str">
            <v>Distribution Loss Factor - Secondary Metered Customer &lt; 5,000 kW</v>
          </cell>
          <cell r="Z9" t="str">
            <v>Collection of Account Charge – No Disconnection</v>
          </cell>
          <cell r="AA9" t="str">
            <v>Collection of account charge – no disconnection – during regular hours</v>
          </cell>
        </row>
        <row r="10">
          <cell r="A10" t="str">
            <v>GENERAL SERVICE 1,000 TO 4,999 KW (CO-GENERATION)</v>
          </cell>
          <cell r="I10" t="str">
            <v>Low Voltage Service Rate</v>
          </cell>
          <cell r="L10" t="str">
            <v>Distribution Loss Factor - Secondary Metered Customer &gt; 5,000 kW</v>
          </cell>
          <cell r="Z10" t="str">
            <v>Credit Card Convenience Charge</v>
          </cell>
          <cell r="AA10" t="str">
            <v>Collection/Disconnection/Load Limiter/Reconnection – if in Community</v>
          </cell>
        </row>
        <row r="11">
          <cell r="A11" t="str">
            <v>GENERAL SERVICE 1,000 TO 4,999 KW</v>
          </cell>
          <cell r="I11" t="str">
            <v>Low Voltage Volumetric Rate</v>
          </cell>
          <cell r="L11" t="str">
            <v>Distribution Loss Factor - Primary Metered Customer &lt; 5,000 kW</v>
          </cell>
          <cell r="Z11" t="str">
            <v>Credit check (plus credit agency costs)</v>
          </cell>
          <cell r="AA11" t="str">
            <v>Credit Card Convenience Charge</v>
          </cell>
        </row>
        <row r="12">
          <cell r="A12" t="str">
            <v>GENERAL SERVICE 1,500 TO 4,999 KW</v>
          </cell>
          <cell r="I12" t="str">
            <v>Mechanism (SSM) Recovery (2012) - effective until April 30, 2014</v>
          </cell>
          <cell r="L12" t="str">
            <v>Distribution Loss Factor - Primary Metered Customer &gt; 5,000 kW</v>
          </cell>
          <cell r="Z12" t="str">
            <v>Credit reference Letter</v>
          </cell>
          <cell r="AA12" t="str">
            <v>Disconnect/Reconnect at meter – after regular hours</v>
          </cell>
        </row>
        <row r="13">
          <cell r="A13" t="str">
            <v>GENERAL SERVICE 2,500 TO 4,999 KW</v>
          </cell>
          <cell r="I13" t="str">
            <v>Minimum Distribution Charge - per KW of maximum billing demand in the previous 11 months</v>
          </cell>
        </row>
        <row r="14">
          <cell r="A14" t="str">
            <v>GENERAL SERVICE 3,000 TO 4,999 KW - INTERMEDIATE USE</v>
          </cell>
          <cell r="I14" t="str">
            <v>Monthly Distribution Wheeling Service Rate - Dedicated LV Line</v>
          </cell>
          <cell r="L14" t="str">
            <v>Total Loss Factor - Embedded Distributor</v>
          </cell>
          <cell r="Z14" t="str">
            <v>Credit reference/credit check (plus credit agency costs – General Service)</v>
          </cell>
          <cell r="AA14" t="str">
            <v>Disconnect/Reconnect at meter – during regular hours</v>
          </cell>
        </row>
        <row r="15">
          <cell r="A15" t="str">
            <v>GENERAL SERVICE 3,000 TO 4,999 KW - INTERVAL METERED</v>
          </cell>
          <cell r="I15" t="str">
            <v>Monthly Distribution Wheeling Service Rate - Hydro One Networks</v>
          </cell>
          <cell r="L15" t="str">
            <v>Total Loss Factor – Embedded Distributor – Hydro One Networks Inc.</v>
          </cell>
          <cell r="Z15" t="str">
            <v>Credit Reference/credit check (plus credit agency costs)</v>
          </cell>
          <cell r="AA15" t="str">
            <v>Disconnect/Reconnect at pole – after regular hours</v>
          </cell>
        </row>
        <row r="16">
          <cell r="A16" t="str">
            <v>GENERAL SERVICE 3,000 TO 4,999 KW - TIME OF USE</v>
          </cell>
          <cell r="I16" t="str">
            <v>Monthly Distribution Wheeling Service Rate - Shared LV Line</v>
          </cell>
          <cell r="Z16" t="str">
            <v>Dispute Test – Commercial self contained -- MC</v>
          </cell>
          <cell r="AA16" t="str">
            <v>Disconnect/Reconnect at pole – during regular hours</v>
          </cell>
        </row>
        <row r="17">
          <cell r="A17" t="str">
            <v>GENERAL SERVICE 3,000 TO 4,999 KW</v>
          </cell>
          <cell r="I17" t="str">
            <v>Monthly Distribution Wheeling Service Rate - Waterloo North Hydro</v>
          </cell>
          <cell r="Z17" t="str">
            <v>Dispute Test – Commercial TT -- MC</v>
          </cell>
          <cell r="AA17" t="str">
            <v>Disconnect/Reconnect Charge – At Meter – After Hours</v>
          </cell>
        </row>
        <row r="18">
          <cell r="A18" t="str">
            <v>GENERAL SERVICE 50 TO 1,000 KW - INTERVAL METERS</v>
          </cell>
          <cell r="I18" t="str">
            <v>Rate Rider for Application of Tax Change - effective until April 30, 2014</v>
          </cell>
          <cell r="Z18" t="str">
            <v>Dispute Test – Residential</v>
          </cell>
          <cell r="AA18" t="str">
            <v>Disconnect/Reconnect Charge – At Meter – During Regular Hours</v>
          </cell>
        </row>
        <row r="19">
          <cell r="A19" t="str">
            <v>GENERAL SERVICE 50 TO 1,000 KW - NON INTERVAL METERS</v>
          </cell>
          <cell r="I19" t="str">
            <v>Rate Rider for Application of Tax Change - effective until December 31, 2013</v>
          </cell>
          <cell r="Z19" t="str">
            <v>Duplicate Invoices for previous billing</v>
          </cell>
          <cell r="AA19" t="str">
            <v>Disconnect/Reconnect Charge – At Pole – After Hours</v>
          </cell>
        </row>
        <row r="20">
          <cell r="A20" t="str">
            <v>GENERAL SERVICE 50 TO 1,000 KW</v>
          </cell>
          <cell r="I20" t="str">
            <v>Rate Rider for Application of Tax Change - Hydro One Networks - effective until April 30, 2014</v>
          </cell>
          <cell r="Z20" t="str">
            <v>Easement Letter</v>
          </cell>
          <cell r="AA20" t="str">
            <v>Disconnect/Reconnect Charge – At Pole – During Regular Hours</v>
          </cell>
        </row>
        <row r="21">
          <cell r="A21" t="str">
            <v>GENERAL SERVICE 50 TO 1,499 KW - INTERVAL METERED</v>
          </cell>
          <cell r="I21" t="str">
            <v>Rate Rider for Application of Tax Change - Waterloo North Hydro - effective until April 30, 2014</v>
          </cell>
          <cell r="Z21" t="str">
            <v>Income Tax Letter</v>
          </cell>
          <cell r="AA21" t="str">
            <v>Disconnect/Reconnect Charges for non payment of account - At Meter After Hours</v>
          </cell>
        </row>
        <row r="22">
          <cell r="A22" t="str">
            <v>GENERAL SERVICE 50 TO 1,499 KW</v>
          </cell>
          <cell r="I22" t="str">
            <v>Rate Rider for Application of Tax Change (2013) - effective until April 30, 2014</v>
          </cell>
          <cell r="Z22" t="str">
            <v>Interval Meter Interrogation</v>
          </cell>
          <cell r="AA22" t="str">
            <v>Disconnect/Reconnect charges for non payment of account – at meter after regular hours</v>
          </cell>
        </row>
        <row r="23">
          <cell r="A23" t="str">
            <v>GENERAL SERVICE 50 TO 2,499 KW</v>
          </cell>
          <cell r="I23" t="str">
            <v>Rate Rider for Application of Tax Change (per connection) - effective until April 30, 2014</v>
          </cell>
          <cell r="Z23" t="str">
            <v>Interval meter request change</v>
          </cell>
          <cell r="AA23" t="str">
            <v>Disconnect/Reconnect Charges for non payment of account - At Meter During Regular Hours</v>
          </cell>
        </row>
        <row r="24">
          <cell r="A24" t="str">
            <v>GENERAL SERVICE 50 TO 2,999 KW - INTERVAL METERED</v>
          </cell>
          <cell r="I24" t="str">
            <v>Rate Rider for Application of Tax Change Dedicated LV Line - effective until April 30, 2014</v>
          </cell>
          <cell r="Z24" t="str">
            <v>Legal letter</v>
          </cell>
          <cell r="AA24" t="str">
            <v>Disconnect/Reconnect charges for non payment of account – at meter during regular hours</v>
          </cell>
        </row>
        <row r="25">
          <cell r="A25" t="str">
            <v>GENERAL SERVICE 50 TO 2,999 KW - TIME OF USE</v>
          </cell>
          <cell r="I25" t="str">
            <v>Rate Rider for Application of Tax Change Shared LV Line - effective until April 30, 2014</v>
          </cell>
          <cell r="Z25" t="str">
            <v>Legal letter charge</v>
          </cell>
          <cell r="AA25" t="str">
            <v>Disconnect/Reconnect charges for non payment of account – at pole after regular hours</v>
          </cell>
        </row>
        <row r="26">
          <cell r="A26" t="str">
            <v>GENERAL SERVICE 50 TO 2,999 KW</v>
          </cell>
          <cell r="I26" t="str">
            <v>Rate Rider for Deferral/Variance Account (2012) - effective unitl April 30, 2016</v>
          </cell>
          <cell r="Z26" t="str">
            <v>Meter dispute charge plus Measurement Canada fees (if meter found correct)</v>
          </cell>
          <cell r="AA26" t="str">
            <v>Disconnect/Reconnect charges for non payment of account – at pole during regular hours</v>
          </cell>
        </row>
        <row r="27">
          <cell r="A27" t="str">
            <v>GENERAL SERVICE 50 TO 4,999 KW - INTERVAL METERED</v>
          </cell>
          <cell r="I27" t="str">
            <v>Rate Rider for Deferral/Variance Account Disposition (2012) - effective until April 30, 2016</v>
          </cell>
          <cell r="Z27" t="str">
            <v>Notification charge</v>
          </cell>
          <cell r="AA27" t="str">
            <v>Disconnect/Reconnection for &gt;300 volts - after regular hours</v>
          </cell>
        </row>
        <row r="28">
          <cell r="A28" t="str">
            <v>GENERAL SERVICE 50 TO 4,999 KW - TIME OF USE</v>
          </cell>
          <cell r="I28" t="str">
            <v>Rate Rider for Deferral/Variance Account Disposition (2013) - effective until April 30, 2014</v>
          </cell>
          <cell r="Z28" t="str">
            <v>Pulling Post Dated Cheques</v>
          </cell>
          <cell r="AA28" t="str">
            <v>Disconnect/Reconnection for &gt;300 volts - during regular hours</v>
          </cell>
        </row>
        <row r="29">
          <cell r="A29" t="str">
            <v>GENERAL SERVICE 50 TO 4,999 KW (COGENERATION)</v>
          </cell>
          <cell r="I29" t="str">
            <v>Rate Rider for Deferral/Variance Account Dispositon (2012) - effective until April 30, 2016</v>
          </cell>
          <cell r="Z29" t="str">
            <v>Request for other billing information</v>
          </cell>
          <cell r="AA29" t="str">
            <v>Disposal of Concrete Poles</v>
          </cell>
        </row>
        <row r="30">
          <cell r="A30" t="str">
            <v>GENERAL SERVICE 50 TO 4,999 KW (FORMERLY TIME OF USE)</v>
          </cell>
          <cell r="I30" t="str">
            <v>Rate Rider for Disposition of Capital Gain - effective until April 30, 2014</v>
          </cell>
          <cell r="Z30" t="str">
            <v>Returned cheque (plus bank charges)</v>
          </cell>
          <cell r="AA30" t="str">
            <v>Dispute Test – Commercial TT -- MC</v>
          </cell>
        </row>
        <row r="31">
          <cell r="A31" t="str">
            <v>GENERAL SERVICE 50 TO 4,999 KW</v>
          </cell>
          <cell r="I31" t="str">
            <v>Rate Rider for Disposition of Deferral/Variance Accounts - effective until August 31, 2013</v>
          </cell>
          <cell r="Z31" t="str">
            <v>Returned cheque charge (plus bank charges)</v>
          </cell>
          <cell r="AA31" t="str">
            <v>Install/Remove load control device – after regular hours</v>
          </cell>
        </row>
        <row r="32">
          <cell r="A32" t="str">
            <v>GENERAL SERVICE 50 TO 499 KW</v>
          </cell>
          <cell r="I32" t="str">
            <v>Rate Rider for Disposition of Deferral/Variance Accounts (2010) - effective until April 30, 2014</v>
          </cell>
          <cell r="Z32" t="str">
            <v>Special Billing Service (aggregation)</v>
          </cell>
          <cell r="AA32" t="str">
            <v>Install/Remove load control device – during regular hours</v>
          </cell>
        </row>
        <row r="33">
          <cell r="A33" t="str">
            <v>GENERAL SERVICE 50 TO 699 KW</v>
          </cell>
          <cell r="I33" t="str">
            <v>Rate Rider for Disposition of Deferral/Variance Accounts (2011) - effective until April 30, 2014</v>
          </cell>
          <cell r="Z33" t="str">
            <v>Special Billing Service (sub-metering charge per meter)</v>
          </cell>
          <cell r="AA33" t="str">
            <v>Interval Meter Interrogation</v>
          </cell>
        </row>
        <row r="34">
          <cell r="A34" t="str">
            <v>GENERAL SERVICE 50 TO 999 KW - INTERVAL METERED</v>
          </cell>
          <cell r="I34" t="str">
            <v>Rate Rider for Disposition of Deferral/Variance Accounts (2011) - effective until April 30, 2015</v>
          </cell>
          <cell r="Z34" t="str">
            <v>Special meter reads</v>
          </cell>
          <cell r="AA34" t="str">
            <v>Interval Meter Load Management Tool Charge $/month</v>
          </cell>
        </row>
        <row r="35">
          <cell r="A35" t="str">
            <v>GENERAL SERVICE 50 TO 999 KW</v>
          </cell>
          <cell r="I35" t="str">
            <v>Rate Rider for Disposition of Deferral/Variance Accounts (2011) - effective until April 30, 2016</v>
          </cell>
          <cell r="Z35" t="str">
            <v>Statement of Account</v>
          </cell>
          <cell r="AA35" t="str">
            <v>Interval meter request change</v>
          </cell>
        </row>
        <row r="36">
          <cell r="A36" t="str">
            <v>GENERAL SERVICE 500 TO 4,999 KW</v>
          </cell>
          <cell r="I36" t="str">
            <v>Rate Rider for Disposition of Deferral/Variance Accounts (2012) - effective until April 30, 2014</v>
          </cell>
          <cell r="Z36" t="str">
            <v>Unprocessed Payment Charge (plus bank charges)</v>
          </cell>
          <cell r="AA36" t="str">
            <v>Late Payment – per annum</v>
          </cell>
        </row>
        <row r="37">
          <cell r="A37" t="str">
            <v>GENERAL SERVICE 700 TO 4,999 KW</v>
          </cell>
          <cell r="I37" t="str">
            <v>Rate Rider for Disposition of Deferral/Variance Accounts (2012) - effective until April 30, 2015</v>
          </cell>
          <cell r="AA37" t="str">
            <v>Late Payment – per month</v>
          </cell>
        </row>
        <row r="38">
          <cell r="A38" t="str">
            <v>GENERAL SERVICE DEMAND BILLED (50 KW AND ABOVE) [GSD]</v>
          </cell>
          <cell r="I38" t="str">
            <v>Rate Rider for Disposition of Deferral/Variance Accounts (2012) - effective until April 30, 2016</v>
          </cell>
          <cell r="AA38" t="str">
            <v>Layout fees</v>
          </cell>
        </row>
        <row r="39">
          <cell r="A39" t="str">
            <v>GENERAL SERVICE ENERGY BILLED (LESS THAN 50 KW) [GSE-METERED]</v>
          </cell>
          <cell r="I39" t="str">
            <v>Rate Rider for Disposition of Deferral/Variance Accounts (2012) - effective until December 31, 2013</v>
          </cell>
          <cell r="AA39" t="str">
            <v>Meter dispute charge plus Measurement Canada fees (if meter found correct)</v>
          </cell>
        </row>
        <row r="40">
          <cell r="A40" t="str">
            <v>GENERAL SERVICE ENERGY BILLED (LESS THAN TO 50 KW) [GSE-UNMETERED]</v>
          </cell>
          <cell r="I40" t="str">
            <v>Rate Rider for Disposition of Deferral/Variance Accounts (2012) - effective until December 31, 2013 Applicable in the service area excluding the former service area of Clinton Power</v>
          </cell>
          <cell r="AA40" t="str">
            <v>Meter Interrogation Charge</v>
          </cell>
        </row>
        <row r="41">
          <cell r="A41" t="str">
            <v>GENERAL SERVICE EQUAL TO OR GREATER THAN 1,500 KW - INTERVAL METERED</v>
          </cell>
          <cell r="I41" t="str">
            <v>Rate Rider for Disposition of Deferral/Variance Accounts (2012) - effective until December 31, 2013 Applicable in the service area excluding the former service areas of Clinton Power and 
West Perth Power</v>
          </cell>
          <cell r="AA41" t="str">
            <v>Missed Service Appointment</v>
          </cell>
        </row>
        <row r="42">
          <cell r="A42" t="str">
            <v>GENERAL SERVICE EQUAL TO OR GREATER THAN 1,500 KW</v>
          </cell>
          <cell r="I42" t="str">
            <v>Rate Rider for Disposition of Deferral/Variance Accounts (2012) - effective until December 31, 2013 Applicable only in the former service area of West Perth Power</v>
          </cell>
          <cell r="AA42" t="str">
            <v>Norfolk Pole Rentals – Billed</v>
          </cell>
        </row>
        <row r="43">
          <cell r="A43" t="str">
            <v>GENERAL SERVICE GREATER THAN 1,000 KW</v>
          </cell>
          <cell r="I43" t="str">
            <v>Rate Rider for Disposition of Deferral/Variance Accounts (2012) - effective until December 31, 2015</v>
          </cell>
          <cell r="AA43" t="str">
            <v>Optional Interval/TOU Meter charge $/month</v>
          </cell>
        </row>
        <row r="44">
          <cell r="A44" t="str">
            <v>GENERAL SERVICE INTERMEDIATE 1,000 TO 4,999 KW</v>
          </cell>
          <cell r="I44" t="str">
            <v>Rate Rider for Disposition of Deferral/Variance Accounts (2012) - effective until December 31, 2016 Applicable only in the former service area of Clinton Power</v>
          </cell>
          <cell r="AA44" t="str">
            <v>Overtime Locate</v>
          </cell>
        </row>
        <row r="45">
          <cell r="A45" t="str">
            <v>GENERAL SERVICE INTERMEDIATE RATE CLASS 1,000 TO 4,999 KW (FORMERLY GENERAL SERVICE &gt; 50 KW CUSTOMERS)</v>
          </cell>
          <cell r="I45" t="str">
            <v>Rate Rider for Disposition of Deferral/Variance Accounts (2012) - effective until February 28, 2013</v>
          </cell>
          <cell r="AA45" t="str">
            <v>Owner Requested Disconnection/Reconnection – after regular hours</v>
          </cell>
        </row>
        <row r="46">
          <cell r="A46" t="str">
            <v>GENERAL SERVICE INTERMEDIATE RATE CLASS 1,000 TO 4,999 KW (FORMERLY LARGE USE CUSTOMERS)</v>
          </cell>
          <cell r="I46" t="str">
            <v>Rate Rider for Disposition of Deferral/Variance Accounts (2012) - effective until June 30, 2014</v>
          </cell>
          <cell r="AA46" t="str">
            <v>Owner Requested Disconnection/Reconnection – during regular hours</v>
          </cell>
        </row>
        <row r="47">
          <cell r="A47" t="str">
            <v>GENERAL SERVICE LESS THAN 50 KW - SINGLE PHASE ENERGY-BILLED [G1]</v>
          </cell>
          <cell r="I47" t="str">
            <v>Rate Rider for Disposition of Deferral/Variance Accounts (2012) - effective until March 31, 2013</v>
          </cell>
          <cell r="AA47" t="str">
            <v>Returned cheque (plus bank charges)</v>
          </cell>
        </row>
        <row r="48">
          <cell r="A48" t="str">
            <v>GENERAL SERVICE LESS THAN 50 KW - THREE PHASE ENERGY-BILLED [G3]</v>
          </cell>
          <cell r="I48" t="str">
            <v>Rate Rider for Disposition of Deferral/Variance Accounts (2012) - effective until October 31, 2013</v>
          </cell>
          <cell r="AA48" t="str">
            <v>Rural system expansion / line connection fee</v>
          </cell>
        </row>
        <row r="49">
          <cell r="A49" t="str">
            <v>GENERAL SERVICE LESS THAN 50 KW - TRANSMISSION CLASS ENERGY-BILLED [T]</v>
          </cell>
          <cell r="I49" t="str">
            <v>Rate Rider for Disposition of Deferral/Variance Accounts (2013) - effective until April 30, 2014</v>
          </cell>
          <cell r="AA49" t="str">
            <v>Same Day Open Trench</v>
          </cell>
        </row>
        <row r="50">
          <cell r="A50" t="str">
            <v>GENERAL SERVICE LESS THAN 50 KW - URBAN ENERGY-BILLED [UG]</v>
          </cell>
          <cell r="I50" t="str">
            <v>Rate Rider for Disposition of Deferral/Variance Accounts (2013) - effective until April 30, 2015</v>
          </cell>
          <cell r="AA50" t="str">
            <v>Scheduled Day Open Trench</v>
          </cell>
        </row>
        <row r="51">
          <cell r="A51" t="str">
            <v>GENERAL SERVICE LESS THAN 50 KW</v>
          </cell>
          <cell r="I51" t="str">
            <v>Rate Rider for Disposition of Deferral/Variance Accounts (2013) - effective until April 30, 2017</v>
          </cell>
          <cell r="AA51" t="str">
            <v>Service call – after regular hours</v>
          </cell>
        </row>
        <row r="52">
          <cell r="A52" t="str">
            <v>GENERAL SERVICE SINGLE PHASE - G1</v>
          </cell>
          <cell r="I52" t="str">
            <v>Rate Rider for Disposition of Deferral/Variance Accounts (2013) - effective until December 31, 2013</v>
          </cell>
          <cell r="AA52" t="str">
            <v>Service call – customer owned equipment</v>
          </cell>
        </row>
        <row r="53">
          <cell r="A53" t="str">
            <v>GENERAL SERVICE THREE PHASE - G3</v>
          </cell>
          <cell r="I53" t="str">
            <v>Rate Rider for Disposition of Deferred PILs Variance Account 1562 - effective until April 30, 2014</v>
          </cell>
          <cell r="AA53" t="str">
            <v>Service Call – Customer-owned Equipment – After Regular Hours</v>
          </cell>
        </row>
        <row r="54">
          <cell r="A54" t="str">
            <v>INTERMEDIATE USERS</v>
          </cell>
          <cell r="I54" t="str">
            <v>Rate Rider for Disposition of Deferred PILs Variance Account 1562 - effective until December 31, 2013</v>
          </cell>
          <cell r="AA54" t="str">
            <v>Service Call – Customer-owned Equipment – During Regular Hours</v>
          </cell>
        </row>
        <row r="55">
          <cell r="A55" t="str">
            <v>INTERMEDIATE WITH SELF GENERATION</v>
          </cell>
          <cell r="I55" t="str">
            <v>Rate Rider for Disposition of Deferred PILs Variance Account 1562 - effective until March 31, 2016</v>
          </cell>
          <cell r="AA55" t="str">
            <v>Service Charge for onsite interrogation of interval meter due to customer phone line failure - required weekly until line repaired $ 6</v>
          </cell>
        </row>
        <row r="56">
          <cell r="A56" t="str">
            <v>LARGE USE - 3TS</v>
          </cell>
          <cell r="I56" t="str">
            <v>Rate Rider for Disposition of Deferred PILs Variance Account 1562 - effective until November 30, 2013</v>
          </cell>
          <cell r="AA56" t="str">
            <v>Service Layout - Commercial</v>
          </cell>
        </row>
        <row r="57">
          <cell r="A57" t="str">
            <v>LARGE USE - FORD ANNEX</v>
          </cell>
          <cell r="I57" t="str">
            <v>Rate Rider for Disposition of Deferred PILs Variance Account 1562 - effective until October 31, 2013</v>
          </cell>
          <cell r="AA57" t="str">
            <v>Service Layout - ResidentiaI</v>
          </cell>
        </row>
        <row r="58">
          <cell r="A58" t="str">
            <v>LARGE USE - REGULAR</v>
          </cell>
          <cell r="I58" t="str">
            <v>Rate Rider for Disposition of Deferred PILs Variance Account 1562 (2012) - effective until April 30, 2015</v>
          </cell>
          <cell r="AA58" t="str">
            <v>Special Billing Service (sub-metering charge per meter)</v>
          </cell>
        </row>
        <row r="59">
          <cell r="A59" t="str">
            <v>LARGE USE &gt; 5000 KW</v>
          </cell>
          <cell r="I59" t="str">
            <v>Rate Rider for Disposition of Deferred PILs Variance Account 1562 (per connection) (2012) - effective until April 30, 2015</v>
          </cell>
          <cell r="AA59" t="str">
            <v>Special meter reads</v>
          </cell>
        </row>
        <row r="60">
          <cell r="A60" t="str">
            <v>LARGE USE</v>
          </cell>
          <cell r="I60" t="str">
            <v>Rate Rider for Disposition of Global Adjustment Sub-Account - effective until November 30, 2013 
 Applicable only for Non-RPP Customers</v>
          </cell>
          <cell r="AA60" t="str">
            <v>Specific Charge for Access to the Power Poles - $/pole/year</v>
          </cell>
        </row>
        <row r="61">
          <cell r="A61" t="str">
            <v>microFIT</v>
          </cell>
          <cell r="I61" t="str">
            <v>Rate Rider for Disposition of Global Adjustment Sub-Account - effective until November 30, 2013 Applicable only for Non-RPP Customers</v>
          </cell>
          <cell r="AA61" t="str">
            <v>Specific Charge for Bell Canada Access to the Power Poles – per pole/year</v>
          </cell>
        </row>
        <row r="62">
          <cell r="A62" t="str">
            <v>RESIDENTIAL - HENSALL</v>
          </cell>
          <cell r="I62" t="str">
            <v>Rate Rider for Disposition of Global Adjustment Sub-Account (2010) - effective until April 30, 2014 Applicable only for Non-RPP Customers</v>
          </cell>
          <cell r="AA62" t="str">
            <v>Switching for company maintenance – Charge based on Time and Materials</v>
          </cell>
        </row>
        <row r="63">
          <cell r="A63" t="str">
            <v>RESIDENTIAL - HIGH DENSITY [R1]</v>
          </cell>
          <cell r="I63" t="str">
            <v>Rate Rider for Disposition of Global Adjustment Sub-Account (2011) - effective until April 30, 2014 Applicable only for Non-RPP Customers</v>
          </cell>
          <cell r="AA63" t="str">
            <v>Temporary Service – Install &amp; remove – overhead – no transformer</v>
          </cell>
        </row>
        <row r="64">
          <cell r="A64" t="str">
            <v>RESIDENTIAL - LOW DENSITY [R2]</v>
          </cell>
          <cell r="I64" t="str">
            <v>Rate Rider for Disposition of Global Adjustment Sub-Account (2011) - effective until April 30, 2015 Applicable only for Non-RPP Customers</v>
          </cell>
          <cell r="AA64" t="str">
            <v>Temporary Service – Install &amp; remove – overhead – with transformer</v>
          </cell>
        </row>
        <row r="65">
          <cell r="A65" t="str">
            <v>RESIDENTIAL - MEDIUM DENSITY [R1]</v>
          </cell>
          <cell r="I65" t="str">
            <v>Rate Rider for Disposition of Global Adjustment Sub-Account (2011) - effective until April 30, 2016 Applicable only for Non-RPP Customers</v>
          </cell>
          <cell r="AA65" t="str">
            <v>Temporary Service – Install &amp; remove – underground – no transformer</v>
          </cell>
        </row>
        <row r="66">
          <cell r="A66" t="str">
            <v>RESIDENTIAL - NORMAL DENSITY [R2]</v>
          </cell>
          <cell r="I66" t="str">
            <v>Rate Rider for Disposition of Global Adjustment Sub-Account (2012) - effective until April 30, 2014 Applicable only for Non-RPP Customers</v>
          </cell>
          <cell r="AA66" t="str">
            <v>Temporary service install &amp; remove – overhead – no transformer</v>
          </cell>
        </row>
        <row r="67">
          <cell r="A67" t="str">
            <v>RESIDENTIAL - TIME OF USE</v>
          </cell>
          <cell r="I67" t="str">
            <v>Rate Rider for Disposition of Global Adjustment Sub-Account (2012) - effective until April 30, 2015 Applicable only for Non-RPP Customers</v>
          </cell>
          <cell r="AA67" t="str">
            <v>Temporary Service Install &amp; Remove – Overhead – With Transformer</v>
          </cell>
        </row>
        <row r="68">
          <cell r="A68" t="str">
            <v>RESIDENTIAL - URBAN [UR]</v>
          </cell>
          <cell r="I68" t="str">
            <v>Rate Rider for Disposition of Global Adjustment Sub-Account (2012) - effective until April 30, 2015 Applicatble only for Non-RPP Customers</v>
          </cell>
          <cell r="AA68" t="str">
            <v>Temporary Service Install &amp; Remove – Underground – No Transformer</v>
          </cell>
        </row>
        <row r="69">
          <cell r="A69" t="str">
            <v>RESIDENTIAL REGULAR</v>
          </cell>
          <cell r="I69" t="str">
            <v>Rate Rider for Disposition of Global Adjustment Sub-Account (2012) - effective until April 30, 2016 Applicable only for Non-RPP Customers</v>
          </cell>
          <cell r="AA69" t="str">
            <v>Temporary service installation and removal – overhead – no transformer</v>
          </cell>
        </row>
        <row r="70">
          <cell r="A70" t="str">
            <v>RESIDENTIAL</v>
          </cell>
          <cell r="I70" t="str">
            <v>Rate Rider for Disposition of Global Adjustment Sub-Account (2012) - effective until December 31, 2013 Applicable only for Non-RPP Customers in the former service area of Clinton Power</v>
          </cell>
          <cell r="AA70" t="str">
            <v>Temporary service installation and removal – overhead – with transformer</v>
          </cell>
        </row>
        <row r="71">
          <cell r="A71" t="str">
            <v>RESIDENTIAL SUBURBAN SEASONAL</v>
          </cell>
          <cell r="I71" t="str">
            <v>Rate Rider for Disposition of Global Adjustment Sub-Account (2012) - effective until December 31, 2013 Applicable only for Non-RPP Customers in the former service area of West Perth Power</v>
          </cell>
          <cell r="AA71" t="str">
            <v>Temporary service installation and removal – underground – no transformer</v>
          </cell>
        </row>
        <row r="72">
          <cell r="A72" t="str">
            <v>RESIDENTIAL SUBURBAN</v>
          </cell>
          <cell r="I72" t="str">
            <v>Rate Rider for Disposition of Global Adjustment Sub-Account (2012) - effective until December 31, 2013 Applicable only for Non-RPP Customers in the service area excluding the former service areas of Clinton Power and West Perth Power</v>
          </cell>
        </row>
        <row r="73">
          <cell r="A73" t="str">
            <v>RESIDENTIAL SUBURBAN YEAR ROUND</v>
          </cell>
          <cell r="I73" t="str">
            <v>Rate Rider for Disposition of Global Adjustment Sub-Account (2012) - effective until February 28, 2013 Applicable only for Non-RPP Customers</v>
          </cell>
        </row>
        <row r="74">
          <cell r="A74" t="str">
            <v>RESIDENTIAL URBAN</v>
          </cell>
          <cell r="I74" t="str">
            <v>Rate Rider for Disposition of Global Adjustment Sub-Account (2012) - effective until June 30, 2014 Applicable only for Non-RPP Customers</v>
          </cell>
        </row>
        <row r="75">
          <cell r="A75" t="str">
            <v>RESIDENTIAL URBAN YEAR-ROUND</v>
          </cell>
          <cell r="I75" t="str">
            <v>Rate Rider for Disposition of Global Adjustment Sub-Account (2012) - effective until March 31, 2013 Applicable only for Non-RPP Customers</v>
          </cell>
        </row>
        <row r="76">
          <cell r="A76" t="str">
            <v>SEASONAL RESIDENTIAL - HIGH DENSITY [R3]</v>
          </cell>
          <cell r="I76" t="str">
            <v>Rate Rider for Disposition of Global Adjustment Sub-Account (2012) - effective until October 31, 2013 Applicable only for Non-RPP Customers</v>
          </cell>
        </row>
        <row r="77">
          <cell r="A77" t="str">
            <v>SEASONAL RESIDENTIAL - NORMAL DENSITY [R4]</v>
          </cell>
          <cell r="I77" t="str">
            <v>Rate Rider for Disposition of Global Adjustment Sub-Account (2013) - effective until April 30, 2014 Applicable only for Non-RPP Customers</v>
          </cell>
        </row>
        <row r="78">
          <cell r="A78" t="str">
            <v>SEASONAL RESIDENTIAL</v>
          </cell>
          <cell r="I78" t="str">
            <v>Rate Rider for Disposition of Global Adjustment Sub-Account (2013) - effective until April 30, 2015 Applicable only for Non-RPP Customers</v>
          </cell>
        </row>
        <row r="79">
          <cell r="A79" t="str">
            <v>SENTINEL LIGHTING</v>
          </cell>
          <cell r="I79" t="str">
            <v>Rate Rider for Disposition of Global Adjustment Sub-Account (2013) - effective until April 30, 2017 Applicable only for Non-RPP Customers</v>
          </cell>
        </row>
        <row r="80">
          <cell r="A80" t="str">
            <v>SMALL COMMERCIAL AND USL - PER CONNECTION</v>
          </cell>
          <cell r="I80" t="str">
            <v>Rate Rider for Disposition of Global Adjustment Sub-Account (2013) - effective until December 31, 2013 Applicable only for Non-RPP Customers</v>
          </cell>
        </row>
        <row r="81">
          <cell r="A81" t="str">
            <v>SMALL COMMERCIAL AND USL - PER METER</v>
          </cell>
          <cell r="I81" t="str">
            <v>Rate Rider for Disposition of Post Retirement Actuarial Gain - effective until March 31, 2025</v>
          </cell>
        </row>
        <row r="82">
          <cell r="A82" t="str">
            <v>STANDARD A GENERAL SERVICE AIR ACCESS</v>
          </cell>
          <cell r="I82" t="str">
            <v>Rate Rider for Disposition of Residual Hisotrical Smart Meter Costs - effective until April 30, 2015</v>
          </cell>
        </row>
        <row r="83">
          <cell r="A83" t="str">
            <v>STANDARD A GENERAL SERVICE ROAD/RAIL</v>
          </cell>
          <cell r="I83" t="str">
            <v>Rate Rider for Disposition of Residual Historical Smart Meter Costs - effective until April 30, 2013</v>
          </cell>
        </row>
        <row r="84">
          <cell r="A84" t="str">
            <v>STANDARD A RESIDENTIAL AIR ACCESS</v>
          </cell>
          <cell r="I84" t="str">
            <v>Rate Rider for Disposition of Residual Historical Smart Meter Costs - effective until April 30, 2014</v>
          </cell>
        </row>
        <row r="85">
          <cell r="A85" t="str">
            <v>STANDARD A RESIDENTIAL ROAD/RAIL</v>
          </cell>
          <cell r="I85" t="str">
            <v>Rate Rider for Disposition of Residual Historical Smart Meter Costs - effective until April 30, 2016</v>
          </cell>
        </row>
        <row r="86">
          <cell r="A86" t="str">
            <v>STANDBY - GENERAL SERVICE 1,000 - 5,000 KW</v>
          </cell>
          <cell r="I86" t="str">
            <v>Rate Rider for Disposition of Residual Historical Smart Meter Costs - effective until August 31, 2013</v>
          </cell>
        </row>
        <row r="87">
          <cell r="A87" t="str">
            <v>STANDBY - GENERAL SERVICE 50 - 1,000 KW</v>
          </cell>
          <cell r="I87" t="str">
            <v>Rate Rider for Disposition of Residual Historical Smart Meter Costs - effective until August 31, 2015</v>
          </cell>
        </row>
        <row r="88">
          <cell r="A88" t="str">
            <v>STANDBY - LARGE USE</v>
          </cell>
          <cell r="I88" t="str">
            <v>Rate Rider for Disposition of Residual Historical Smart Meter Costs - effective until December 31, 2013</v>
          </cell>
        </row>
        <row r="89">
          <cell r="A89" t="str">
            <v>STANDBY DISTRIBUTION SERVICE</v>
          </cell>
          <cell r="I89" t="str">
            <v>Rate Rider for Disposition of Residual Historical Smart Meter Costs - effective until December 31, 2014</v>
          </cell>
        </row>
        <row r="90">
          <cell r="A90" t="str">
            <v>STANDBY POWER - APPROVED ON AN INTERIM BASIS</v>
          </cell>
          <cell r="I90" t="str">
            <v>Rate Rider for Disposition of Residual Historical Smart Meter Costs - effective until December 31, 2015</v>
          </cell>
        </row>
        <row r="91">
          <cell r="A91" t="str">
            <v>STANDBY POWER GENERAL SERVICE 1,500 TO 4,999 KW</v>
          </cell>
          <cell r="I91" t="str">
            <v>Rate Rider for Disposition of Residual Historical Smart Meter Costs - effective until March 31, 2013</v>
          </cell>
        </row>
        <row r="92">
          <cell r="A92" t="str">
            <v>STANDBY POWER GENERAL SERVICE 50 TO 1,499 KW</v>
          </cell>
          <cell r="I92" t="str">
            <v>Rate Rider for Disposition of Residual Historical Smart Meter Costs - effective until November 30, 2013</v>
          </cell>
        </row>
        <row r="93">
          <cell r="A93" t="str">
            <v>STANDBY POWER GENERAL SERVICE LARGE USE</v>
          </cell>
          <cell r="I93" t="str">
            <v>Rate Rider for Disposition of Residual Historical Smart Meter Costs - effective until October 31, 2013</v>
          </cell>
        </row>
        <row r="94">
          <cell r="A94" t="str">
            <v>STANDBY POWER</v>
          </cell>
          <cell r="I94" t="str">
            <v>Rate Rider for Disposition of Residual Historical Smart Meter Costs - effective until September 30, 2014</v>
          </cell>
        </row>
        <row r="95">
          <cell r="A95" t="str">
            <v>STREET LIGHTING</v>
          </cell>
          <cell r="I95" t="str">
            <v>Rate Rider for Disposition of Residual Historical Smart Meter Costs - Non-Interval Metered 
 - effective until April 30, 2014</v>
          </cell>
        </row>
        <row r="96">
          <cell r="A96" t="str">
            <v>SUB TRANSMISSION [ST]</v>
          </cell>
          <cell r="I96" t="str">
            <v>Rate Rider for Disposition of Residual Historical Smart Meter Costs 2 - in effect until the effective 
 date of the next cost of service-based rate order</v>
          </cell>
        </row>
        <row r="97">
          <cell r="A97" t="str">
            <v>UNMETERED SCATTERED LOAD</v>
          </cell>
          <cell r="I97" t="str">
            <v>Rate Rider for Disposition of Residual Historical Smart Meter Costs 3 - in effect until the effective 
 date of the next cost of service-based rate order</v>
          </cell>
        </row>
        <row r="98">
          <cell r="A98" t="str">
            <v>URBAN GENERAL SERVICE DEMAND BILLED (50 KW AND ABOVE) [UGD]</v>
          </cell>
          <cell r="I98" t="str">
            <v>Rate Rider for Disposition of Residual Incremental Historical Smart Meter Costs - 
 effective until August 31, 2015</v>
          </cell>
        </row>
        <row r="99">
          <cell r="A99" t="str">
            <v>URBAN GENERAL SERVICE ENERGY BILLED (LESS THAN 50 KW) [UGE]</v>
          </cell>
          <cell r="I99" t="str">
            <v>Rate Rider for Disposition of Stranded Meter Costs - effective until April 30, 2016</v>
          </cell>
        </row>
        <row r="100">
          <cell r="A100" t="str">
            <v>WESTPORT SEWAGE TREATMENT PLANT</v>
          </cell>
          <cell r="I100" t="str">
            <v>Rate Rider for Global Adjustment Sub Account Disposition - effective until April 30, 2016 Applicable only for Non RPP Customers</v>
          </cell>
        </row>
        <row r="101">
          <cell r="A101" t="str">
            <v>YEAR-ROUND RESIDENTIAL - R2</v>
          </cell>
          <cell r="I101" t="str">
            <v>Rate Rider for Incremental Capital (2012) - effective until April 30, 2015</v>
          </cell>
        </row>
        <row r="102">
          <cell r="I102" t="str">
            <v>Rate Rider for Lost Revenue Adjustment (LRAM) Recovery/Shared Savings Mechanism Recovery 
 (2011) - effective until April 30, 2014</v>
          </cell>
        </row>
        <row r="103">
          <cell r="I103" t="str">
            <v>Rate Rider for Lost Revenue Adjustment Mechanism Variance Account (LRAMVA) (2011) – effective until April 30, 2014</v>
          </cell>
        </row>
        <row r="104">
          <cell r="I104" t="str">
            <v>Rate Rider for Lost Revenue Adjustment Mechanism Variance Account (LRAMVA) Recovery 
 (2011 CDM Activities) - effective until April 30, 2014</v>
          </cell>
        </row>
        <row r="105">
          <cell r="I105" t="str">
            <v>Rate Rider for Recover of Residual Historical Smart Meter Costs - effective until June 30, 2014</v>
          </cell>
        </row>
        <row r="106">
          <cell r="I106" t="str">
            <v>Rate Rider for Recovery of Deferred Revenue - effective until December 31, 2013</v>
          </cell>
        </row>
        <row r="107">
          <cell r="I107" t="str">
            <v>Rate Rider for Recovery of Forgone Revenue - effective until April 30, 2014</v>
          </cell>
        </row>
        <row r="108">
          <cell r="I108" t="str">
            <v>Rate Rider for Recovery of Green Energy Act related costs - effective until December 31, 2013</v>
          </cell>
        </row>
        <row r="109">
          <cell r="I109" t="str">
            <v>Rate Rider for Recovery of Incremental Capital (2013) - in effect until the effective date of the
 next cost of service-based rate order</v>
          </cell>
        </row>
        <row r="110">
          <cell r="I110" t="str">
            <v>Rate Rider for Recovery of Incremental Capital (2013) (per connection) - in effect until the effective date of 
 the next cost of service-based rate order</v>
          </cell>
        </row>
        <row r="111">
          <cell r="I111" t="str">
            <v>Rate Rider for Recovery of Incremental Capital Costs</v>
          </cell>
        </row>
        <row r="112">
          <cell r="I112" t="str">
            <v>Rate Rider for Recovery of Incremental Capital Costs - effective until April 30, 2014</v>
          </cell>
        </row>
        <row r="113">
          <cell r="I113" t="str">
            <v>Rate Rider for Recovery of Incremental Capital Costs - effective until April 30, 2015</v>
          </cell>
        </row>
        <row r="114">
          <cell r="I114" t="str">
            <v>Rate Rider for Recovery of Lost Revenue Adjustment Mechanism (LRAM) - effective until April 30, 2014</v>
          </cell>
        </row>
        <row r="115">
          <cell r="I115" t="str">
            <v>Rate Rider for Recovery of Lost Revenue Adjustment Mechanism (LRAM) - effective until April 30, 2016</v>
          </cell>
        </row>
        <row r="116">
          <cell r="I116" t="str">
            <v>Rate Rider for Recovery of Lost Revenue Adjustment Mechanism (LRAM) - effective until August 31, 2013</v>
          </cell>
        </row>
        <row r="117">
          <cell r="I117" t="str">
            <v>Rate Rider for Recovery of Lost Revenue Adjustment Mechanism (LRAM) - effective until December 31, 2013</v>
          </cell>
        </row>
        <row r="118">
          <cell r="I118" t="str">
            <v>Rate Rider for Recovery of Lost Revenue Adjustment Mechanism (LRAM) - effective until June 30, 2013</v>
          </cell>
        </row>
        <row r="119">
          <cell r="I119" t="str">
            <v>Rate Rider for Recovery of Lost Revenue Adjustment Mechanism (LRAM) - effective until November 30, 2013</v>
          </cell>
        </row>
        <row r="120">
          <cell r="I120" t="str">
            <v>Rate Rider for Recovery of Lost Revenue Adjustment Mechanism (LRAM) (2012) - effective until April 30, 2014</v>
          </cell>
        </row>
        <row r="121">
          <cell r="I121" t="str">
            <v>Rate Rider for Recovery of Lost Revenue Adjustment Mechanism (LRAM) (2012) - effective until February 28, 2013</v>
          </cell>
        </row>
        <row r="122">
          <cell r="I122" t="str">
            <v>Rate Rider for Recovery of Lost Revenue Adjustment Mechanism (LRAM) (2013) - effective until December 31, 2013</v>
          </cell>
        </row>
        <row r="123">
          <cell r="I123" t="str">
            <v>Rate Rider for Recovery of Lost Revenue Adjustment Mechanism (LRAM) (pre-2011 CDM Activities) - effective until April 30, 2014</v>
          </cell>
        </row>
        <row r="124">
          <cell r="I124" t="str">
            <v>Rate Rider for Recovery of Lost Revenue Adjustment Mechanism (LRAM)/Shared Savings</v>
          </cell>
        </row>
        <row r="125">
          <cell r="I125" t="str">
            <v>Rate Rider for Recovery of Lost Revenue Adjustment Mechanism (LRAM)/Shared Savings Mechanism (SSM) - effective until April 30, 2014</v>
          </cell>
        </row>
        <row r="126">
          <cell r="I126" t="str">
            <v>Rate Rider for Recovery of Lost Revenue Adjustment Mechanism (LRAM)/Shared Savings Mechanism (SSM) - effective until December 31, 2014 and applicable in the service area excluding the former service area of Clinton Power</v>
          </cell>
        </row>
        <row r="127">
          <cell r="I127" t="str">
            <v>Rate Rider for Recovery of Lost Revenue Adjustment Mechanism (LRAM)/Shared Savings Mechanism (SSM) - effective until December 31, 2014 and applicable in the service area excluding the former service areas of Clinton Power and West Perth Power</v>
          </cell>
        </row>
        <row r="128">
          <cell r="I128" t="str">
            <v>Rate Rider for Recovery of Lost Revenue Adjustment Mechanism (LRAM)/Shared Savings Mechanism (SSM) - effective until December 31, 2014 and applicable only in the former service area of Clinton Power</v>
          </cell>
        </row>
        <row r="129">
          <cell r="I129" t="str">
            <v>Rate Rider for Recovery of Lost Revenue Adjustment Mechanism (LRAM)/Shared Savings Mechanism (SSM) - effective until December 31, 2014 and applicable only in the former service area of West Perth Power</v>
          </cell>
        </row>
        <row r="130">
          <cell r="I130" t="str">
            <v>Rate Rider for Recovery of Lost Revenue Adjustment Mechanism (LRAM)/Shared Savings Mechanism (SSM) - effective until March 31, 2016</v>
          </cell>
        </row>
        <row r="131">
          <cell r="I131" t="str">
            <v>Rate Rider for Recovery of Lost Revenue Adjustment Mechanism (LRAM)/Shared Savings Mechanism (SSM) Recovery - effective until April 30, 2014</v>
          </cell>
        </row>
        <row r="132">
          <cell r="I132" t="str">
            <v>Rate Rider for Recovery of Lost Revenue Adjustment Mechanism (LRAM)/Shared Savings Mechanism (SSM) Recovery - effective until April 30, 2015</v>
          </cell>
        </row>
        <row r="133">
          <cell r="I133" t="str">
            <v>Rate Rider for Recovery of Lost Revenue Adjustment Mechanism (LRAM)/Shared Savings Mechanism (SSM) Recovery (2010) - effective until April 30, 2014</v>
          </cell>
        </row>
        <row r="134">
          <cell r="I134" t="str">
            <v>Rate Rider for Recovery of Lost Revenue Adjustment Mechanism (LRAM)/Shared Savings Mechanism (SSM) Recovery (2012) - effective until April 30, 2014</v>
          </cell>
        </row>
        <row r="135">
          <cell r="I135" t="str">
            <v>Rate Rider for Recovery of Lost Revenue Adjustment Mechanism (LRAM)/Shared Savings Mechanism (SSM) Recovery (2012) - effective until October 31, 2013</v>
          </cell>
        </row>
        <row r="136">
          <cell r="I136" t="str">
            <v>Rate Rider for Recovery of Residual Historical Smart Meter Costs - effective July 1, 2012 - April 30, 2016</v>
          </cell>
        </row>
        <row r="137">
          <cell r="I137" t="str">
            <v>Rate Rider for Recovery of Smart Meter Incremental Revenue Requirement - effective until the date of the next cost of service-based rate order</v>
          </cell>
        </row>
        <row r="138">
          <cell r="I138" t="str">
            <v>Rate Rider for Recovery of Smart Meter Incremental Revenue Requirement - in effect until the effective date of the next cost of service-based rate order</v>
          </cell>
        </row>
        <row r="139">
          <cell r="I139" t="str">
            <v>Rate Rider for Recovery of Smart Meter Incremental Revenue Requirement - Non-Interval Metered - in effect until the effective date of the next cost of service-based rate order</v>
          </cell>
        </row>
        <row r="140">
          <cell r="I140" t="str">
            <v>Rate Rider for Recovery of Smart Meter Incremental Revenue Requirements - in effect until the effective date of the next cost of service application</v>
          </cell>
        </row>
        <row r="141">
          <cell r="I141" t="str">
            <v>Rate Rider for Recovery of Smart Meter Stranded Assets - effective until April 30, 2016</v>
          </cell>
        </row>
        <row r="142">
          <cell r="I142" t="str">
            <v>Rate Rider for Recovery of Stranded Assets - effective until April 30, 2016</v>
          </cell>
        </row>
        <row r="143">
          <cell r="I143" t="str">
            <v>Rate Rider for Recovery of Stranded Meter Assets - effective July 1, 2012 - April 30, 2016</v>
          </cell>
        </row>
        <row r="144">
          <cell r="I144" t="str">
            <v>Rate Rider for Recovery of Stranded Meter Assets - effective until April 30, 2014</v>
          </cell>
        </row>
        <row r="145">
          <cell r="I145" t="str">
            <v>Rate Rider for Recovery of Stranded Meter Assets – effective until April 30, 2015</v>
          </cell>
        </row>
        <row r="146">
          <cell r="I146" t="str">
            <v>Rate Rider for Recovery of Stranded Meter Assets - effective until April 30, 2016</v>
          </cell>
        </row>
        <row r="147">
          <cell r="I147" t="str">
            <v>Rate Rider for Recovery of Stranded Meter Assets - effective until August 31, 2013</v>
          </cell>
        </row>
        <row r="148">
          <cell r="I148" t="str">
            <v>Rate Rider for Recovery of Stranded Meter Assets - effective until August 31, 2015</v>
          </cell>
        </row>
        <row r="149">
          <cell r="I149" t="str">
            <v>Rate Rider for Recovery of Stranded Meter Assets - effective until December 31, 2014</v>
          </cell>
        </row>
        <row r="150">
          <cell r="I150" t="str">
            <v>Rate Rider for Recovery of Stranded Meter Assets - effective until December 31, 2015</v>
          </cell>
        </row>
        <row r="151">
          <cell r="I151" t="str">
            <v>Rate Rider for Recovery of Stranded Meter Assets - effective until June 30, 2016</v>
          </cell>
        </row>
        <row r="152">
          <cell r="I152" t="str">
            <v>Rate Rider for Recovery of Stranded Meter Assets - effective until March 31, 2016</v>
          </cell>
        </row>
        <row r="153">
          <cell r="I153" t="str">
            <v>Rate Rider for Recovery of Stranded Meter Assets - effective until November 30, 2013</v>
          </cell>
        </row>
        <row r="154">
          <cell r="I154" t="str">
            <v>Rate Rider for Reversal of Deferral/Variance Account Disposition (2011) - effective until April 30, 2015</v>
          </cell>
        </row>
        <row r="155">
          <cell r="I155" t="str">
            <v>Rate Rider for Smart Meter Disposition - effective until October 31, 2013</v>
          </cell>
        </row>
        <row r="156">
          <cell r="I156" t="str">
            <v>Rate Rider for Smart Meter Incremental Revenue Requirement - in effect until the effective date of the next cost of service-based rate order</v>
          </cell>
        </row>
        <row r="157">
          <cell r="I157" t="str">
            <v>Rate Rider for Smart Metering Entity Charge - effective until October 31, 2018</v>
          </cell>
        </row>
        <row r="158">
          <cell r="I158" t="str">
            <v>Rate Rider for the disposition of Deferral/Variance Accounts Disposition (2013) - effective on an interim basis until April 30, 2014</v>
          </cell>
        </row>
        <row r="159">
          <cell r="I159" t="str">
            <v>Rate Rider for the disposition of Global Adjustment Sub-Account Disposition (2013) - effective on an interim basis until April 30, 2014 Applicable only for Non-RPP Customers</v>
          </cell>
        </row>
        <row r="160">
          <cell r="I160" t="str">
            <v>Retail Transmission Rate - Line and Transformation Connection Service Rate</v>
          </cell>
        </row>
        <row r="161">
          <cell r="I161" t="str">
            <v>Retail Transmission Rate - Line and Transformation Connection Service Rate - (less than 1,000 kW)</v>
          </cell>
        </row>
        <row r="162">
          <cell r="I162" t="str">
            <v>Retail Transmission Rate - Line and Transformation Connection Service Rate - Interval Metered</v>
          </cell>
        </row>
        <row r="163">
          <cell r="I163" t="str">
            <v>Retail Transmission Rate - Line and Transformation Connection Service Rate - Interval Metered (1,000 to 4,999 kW)</v>
          </cell>
        </row>
        <row r="164">
          <cell r="I164" t="str">
            <v>Retail Transmission Rate - Line and Transformation Connection Service Rate - Interval Metered (less than 1,000 kW)</v>
          </cell>
        </row>
        <row r="165">
          <cell r="I165" t="str">
            <v>Retail Transmission Rate - Line and Transformation Connection Service Rate - Interval Metered &lt; 1,000 kW</v>
          </cell>
        </row>
        <row r="166">
          <cell r="I166" t="str">
            <v>Retail Transmission Rate - Line and Transformation Connection Service Rate - Interval Metered &gt; 1,000 kW</v>
          </cell>
        </row>
        <row r="167">
          <cell r="I167" t="str">
            <v>Retail Transmission Rate - Line and Transformation Connection Service Rate FOR ALL SERVICE AREAS EXCEPT HENSALL</v>
          </cell>
        </row>
        <row r="168">
          <cell r="I168" t="str">
            <v>Retail Transmission Rate - Line Connection Service Rate</v>
          </cell>
        </row>
        <row r="169">
          <cell r="I169" t="str">
            <v>Retail Transmission Rate - Network Service Rate</v>
          </cell>
        </row>
        <row r="170">
          <cell r="I170" t="str">
            <v>Retail Transmission Rate - Network Service Rate - (less than 1,000 kW)</v>
          </cell>
        </row>
        <row r="171">
          <cell r="I171" t="str">
            <v>Retail Transmission Rate - Network Service Rate - Interval Metered</v>
          </cell>
        </row>
        <row r="172">
          <cell r="I172" t="str">
            <v>Retail Transmission Rate - Network Service Rate - Interval Metered (1,000 to 4,999 kW)</v>
          </cell>
        </row>
        <row r="173">
          <cell r="I173" t="str">
            <v>Retail Transmission Rate - Network Service Rate - Interval Metered (less than 1,000 kW)</v>
          </cell>
        </row>
        <row r="174">
          <cell r="I174" t="str">
            <v>Retail Transmission Rate - Network Service Rate - Interval Metered &gt; 1,000 kW</v>
          </cell>
        </row>
        <row r="175">
          <cell r="I175" t="str">
            <v>Retail Transmission Rate - Transformation Connection Service Rate</v>
          </cell>
        </row>
        <row r="176">
          <cell r="I176" t="str">
            <v>Rider for Global Adjustment Sub-Account Disposition (2012) - effective until April 30, 2016 Applicable only for Non-RPP Customers</v>
          </cell>
        </row>
        <row r="177">
          <cell r="I177" t="str">
            <v>Rural Rate Protection Charge</v>
          </cell>
        </row>
        <row r="178">
          <cell r="I178" t="str">
            <v>Sentinel lights (dusk-to-dawn) connected to unmetered wires will have a flat rate monthly energy charge added to the regular customer bill. Further servicing details are available in the distributor’s Conditions of Service.</v>
          </cell>
        </row>
        <row r="179">
          <cell r="I179" t="str">
            <v>Service Charge</v>
          </cell>
        </row>
        <row r="180">
          <cell r="I180" t="str">
            <v>Service Charge (per connection)</v>
          </cell>
        </row>
        <row r="181">
          <cell r="I181" t="str">
            <v>Service Charge (per customer)</v>
          </cell>
        </row>
        <row r="182">
          <cell r="I182" t="str">
            <v>Standard Supply Service - Administrative Charge (if applicable)</v>
          </cell>
        </row>
        <row r="183">
          <cell r="I183" t="str">
            <v>Standby Charge - for a month where standby power is not provided. The charge is applied to the amount of reserved load transfer capacity contracted or the amount of monthly peak load displaced by a generating facility</v>
          </cell>
        </row>
        <row r="184">
          <cell r="I184" t="str">
            <v>Standby Charge - for a month where standby power is not provided. The charge is applied to the contracted amount (e.g. nameplate rating of the generation facility).</v>
          </cell>
        </row>
        <row r="185">
          <cell r="I185" t="str">
            <v>Wholesale Market Service Rate</v>
          </cell>
        </row>
      </sheetData>
      <sheetData sheetId="72" refreshError="1"/>
      <sheetData sheetId="73"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1"/>
      <sheetName val="App.2-IB_Load_Forecast"/>
      <sheetName val="App.2-P_Cost_Allocation"/>
      <sheetName val="App.2-PA_Res_Rate_Design"/>
      <sheetName val="App.2-V_Rev_Reconciliation"/>
      <sheetName val="App. 2-TS_Tariff"/>
      <sheetName val="App.2-W_Bill Impacts"/>
      <sheetName val="App.2-W_Bill Impacts_hidden"/>
      <sheetName val="lists"/>
      <sheetName val="lists2"/>
    </sheetNames>
    <sheetDataSet>
      <sheetData sheetId="0"/>
      <sheetData sheetId="1"/>
      <sheetData sheetId="2"/>
      <sheetData sheetId="3"/>
      <sheetData sheetId="4"/>
      <sheetData sheetId="5"/>
      <sheetData sheetId="6"/>
      <sheetData sheetId="7"/>
      <sheetData sheetId="8">
        <row r="1">
          <cell r="I1" t="str">
            <v>A Standby Service Charge will be applied for a month where standby power is not provided. The applicable rate is the approved Distribution Volumetric Rate of the applicable service class and is applied to gross metered demand or contracted amount, whichever is greater. A monthly administration charge of $200, for simple metering arrangements, or $500, for complex metering arrangements, will also be applied.</v>
          </cell>
          <cell r="Z1" t="str">
            <v>Account History</v>
          </cell>
          <cell r="AA1" t="str">
            <v>Account set up charge/change of occupancy charge (plus credit agency costs if applicable)</v>
          </cell>
          <cell r="AL1" t="str">
            <v>Algoma Power Inc.</v>
          </cell>
        </row>
        <row r="2">
          <cell r="A2" t="str">
            <v>DISTRIBUTED GENERATION [DGEN]</v>
          </cell>
          <cell r="I2" t="str">
            <v>Distribution Volumetric Rate</v>
          </cell>
          <cell r="L2" t="str">
            <v>Total Loss Factor – Primary Metered Customer</v>
          </cell>
          <cell r="N2" t="str">
            <v>$</v>
          </cell>
          <cell r="O2" t="str">
            <v>$/kWh</v>
          </cell>
          <cell r="P2" t="str">
            <v>$</v>
          </cell>
          <cell r="Z2" t="str">
            <v>Account set up charge/change of occupancy charge</v>
          </cell>
          <cell r="AA2" t="str">
            <v>Administrative Billing Charge</v>
          </cell>
          <cell r="AL2" t="str">
            <v>Atikokan Hydro Inc.</v>
          </cell>
        </row>
        <row r="3">
          <cell r="A3" t="str">
            <v>EMBEDDED DISTRIBUTOR</v>
          </cell>
          <cell r="I3" t="str">
            <v>Distribution Volumetric Rate - $/kW of contracted amount</v>
          </cell>
          <cell r="L3" t="str">
            <v>Total Loss Factor – Primary Metered Customer &lt; 5,000 kW</v>
          </cell>
          <cell r="N3" t="str">
            <v>$/kWh</v>
          </cell>
          <cell r="O3" t="str">
            <v>$/kW</v>
          </cell>
          <cell r="P3" t="str">
            <v>%</v>
          </cell>
          <cell r="Z3" t="str">
            <v>Account set up charge/change of occupancy charge (plus credit agency costs if applicable – Residential)</v>
          </cell>
          <cell r="AA3" t="str">
            <v>Bell Canada Pole Rentals</v>
          </cell>
          <cell r="AL3" t="str">
            <v xml:space="preserve">Attawapiskat Power Corp. </v>
          </cell>
        </row>
        <row r="4">
          <cell r="A4" t="str">
            <v>EMBEDDED DISTRIBUTOR</v>
          </cell>
          <cell r="I4" t="str">
            <v>Distribution Wheeling Service Rate</v>
          </cell>
          <cell r="L4" t="str">
            <v>Total Loss Factor – Primary Metered Customer &gt; 5,000 kW</v>
          </cell>
          <cell r="N4" t="str">
            <v>$/kW</v>
          </cell>
          <cell r="O4" t="str">
            <v>$/kVA</v>
          </cell>
          <cell r="Z4" t="str">
            <v>Account set up charge/change of occupancy charge (plus credit agency costs if applicable)</v>
          </cell>
          <cell r="AA4" t="str">
            <v>Clearance Pole Attachment charge $/pole/year</v>
          </cell>
          <cell r="AL4" t="str">
            <v>Bluewater Power Distribution Corporation</v>
          </cell>
        </row>
        <row r="5">
          <cell r="A5" t="str">
            <v>FARMS - SINGLE PHASE ENERGY-BILLED [F1]</v>
          </cell>
          <cell r="I5" t="str">
            <v>Electricity Rate</v>
          </cell>
          <cell r="L5" t="str">
            <v>Total Loss Factor – Secondary Metered Customer</v>
          </cell>
          <cell r="N5" t="str">
            <v>$/kVA</v>
          </cell>
          <cell r="Z5" t="str">
            <v>Arrears certificate</v>
          </cell>
          <cell r="AA5" t="str">
            <v>Collection of account charge – no disconnection</v>
          </cell>
          <cell r="AL5" t="str">
            <v>Brant County Power Inc.</v>
          </cell>
        </row>
        <row r="6">
          <cell r="A6" t="str">
            <v>FARMS - THREE PHASE ENERGY-BILLED [F3]</v>
          </cell>
          <cell r="I6" t="str">
            <v>Electricity Rate - All Additional kWh</v>
          </cell>
          <cell r="L6" t="str">
            <v>Total Loss Factor – Secondary Metered Customer &lt; 5,000 kW</v>
          </cell>
          <cell r="Z6" t="str">
            <v>Arrears certificate (credit reference)</v>
          </cell>
          <cell r="AA6" t="str">
            <v>Collection of account charge – no disconnection – after regular hours</v>
          </cell>
          <cell r="AL6" t="str">
            <v>Brantford Power Inc.</v>
          </cell>
        </row>
        <row r="7">
          <cell r="A7" t="str">
            <v>GENERAL SERVICE - COMMERCIAL</v>
          </cell>
          <cell r="I7" t="str">
            <v>Electricity Rate - First 250 kWh</v>
          </cell>
          <cell r="L7">
            <v>0</v>
          </cell>
          <cell r="Z7">
            <v>0</v>
          </cell>
          <cell r="AA7">
            <v>0</v>
          </cell>
          <cell r="AL7" t="str">
            <v>Burlington Hydro Inc.</v>
          </cell>
        </row>
        <row r="8">
          <cell r="A8" t="str">
            <v>GENERAL SERVICE - INSTITUTIONAL</v>
          </cell>
          <cell r="I8" t="str">
            <v>Electricity Rate -All Additional kWh</v>
          </cell>
          <cell r="L8" t="str">
            <v>Total Loss Factor – Secondary Metered Customer &gt; 5,000 kW</v>
          </cell>
          <cell r="Z8" t="str">
            <v>Charge to certify cheque</v>
          </cell>
          <cell r="AA8" t="str">
            <v>Collection of account charge – no disconnection - during regular business hours</v>
          </cell>
          <cell r="AL8" t="str">
            <v>Cambridge and North Dumfries Hydro Inc.</v>
          </cell>
        </row>
        <row r="9">
          <cell r="A9" t="str">
            <v>GENERAL SERVICE 1,000 TO 2,999 KW</v>
          </cell>
          <cell r="I9" t="str">
            <v>Electricity Rate First 1,000 kWh</v>
          </cell>
          <cell r="L9" t="str">
            <v>Distribution Loss Factor - Secondary Metered Customer &lt; 5,000 kW</v>
          </cell>
          <cell r="Z9" t="str">
            <v>Collection of Account Charge – No Disconnection</v>
          </cell>
          <cell r="AA9" t="str">
            <v>Collection of account charge – no disconnection – during regular hours</v>
          </cell>
          <cell r="AL9" t="str">
            <v>Canadian Niagara Power Inc.</v>
          </cell>
        </row>
        <row r="10">
          <cell r="A10" t="str">
            <v>GENERAL SERVICE 1,000 TO 4,999 KW</v>
          </cell>
          <cell r="I10" t="str">
            <v>Electricity Rate First 25,000 kWh</v>
          </cell>
          <cell r="L10" t="str">
            <v>Distribution Loss Factor - Secondary Metered Customer &gt; 5,000 kW</v>
          </cell>
          <cell r="Z10" t="str">
            <v>Credit Card Convenience Charge</v>
          </cell>
          <cell r="AA10" t="str">
            <v>Collection/Disconnection/Load Limiter/Reconnection – if in Community</v>
          </cell>
          <cell r="AL10" t="str">
            <v>Centre Wellington Hydro Ltd.</v>
          </cell>
        </row>
        <row r="11">
          <cell r="A11" t="str">
            <v>GENERAL SERVICE 1,000 TO 4,999 KW - INTERVAL METERS</v>
          </cell>
          <cell r="I11" t="str">
            <v>Electricity Rate First 6,000 kWh</v>
          </cell>
          <cell r="L11" t="str">
            <v>Distribution Loss Factor - Primary Metered Customer &lt; 5,000 kW</v>
          </cell>
          <cell r="Z11" t="str">
            <v>Credit check (plus credit agency costs)</v>
          </cell>
          <cell r="AA11" t="str">
            <v>Credit Card Convenience Charge</v>
          </cell>
          <cell r="AL11" t="str">
            <v>Chapleau Public Utilities Corporation</v>
          </cell>
        </row>
        <row r="12">
          <cell r="A12" t="str">
            <v>GENERAL SERVICE 1,000 TO 4,999 KW (CO-GENERATION)</v>
          </cell>
          <cell r="I12" t="str">
            <v>Electricity Rate Next 1,500 kWh</v>
          </cell>
          <cell r="L12" t="str">
            <v>Distribution Loss Factor - Primary Metered Customer &gt; 5,000 kW</v>
          </cell>
          <cell r="Z12" t="str">
            <v>Credit reference Letter</v>
          </cell>
          <cell r="AA12" t="str">
            <v>Disconnect/Reconnect at meter – after regular hours</v>
          </cell>
          <cell r="AL12" t="str">
            <v>Clinton Power Corporation</v>
          </cell>
        </row>
        <row r="13">
          <cell r="A13" t="str">
            <v>GENERAL SERVICE 1,500 TO 4,999 KW</v>
          </cell>
          <cell r="I13" t="str">
            <v>General Service 1,500 to 4,999 kW customer</v>
          </cell>
          <cell r="L13">
            <v>0</v>
          </cell>
          <cell r="Z13">
            <v>0</v>
          </cell>
          <cell r="AA13">
            <v>0</v>
          </cell>
          <cell r="AL13" t="str">
            <v>COLLUS Power Corporation</v>
          </cell>
        </row>
        <row r="14">
          <cell r="A14" t="str">
            <v>GENERAL SERVICE 2,500 TO 4,999 KW</v>
          </cell>
          <cell r="I14" t="str">
            <v>General Service 50 to 1,499 kW customer</v>
          </cell>
          <cell r="L14" t="str">
            <v>Total Loss Factor - Embedded Distributor</v>
          </cell>
          <cell r="Z14" t="str">
            <v>Credit reference/credit check (plus credit agency costs – General Service)</v>
          </cell>
          <cell r="AA14" t="str">
            <v>Disconnect/Reconnect at meter – during regular hours</v>
          </cell>
          <cell r="AL14" t="str">
            <v>Cooperative Hydro Embrun Inc.</v>
          </cell>
        </row>
        <row r="15">
          <cell r="A15" t="str">
            <v>GENERAL SERVICE 3,000 TO 4,999 KW</v>
          </cell>
          <cell r="I15" t="str">
            <v>General Service Large Use customer</v>
          </cell>
          <cell r="L15" t="str">
            <v>Total Loss Factor – Embedded Distributor – Hydro One Networks Inc.</v>
          </cell>
          <cell r="Z15" t="str">
            <v>Credit Reference/credit check (plus credit agency costs)</v>
          </cell>
          <cell r="AA15" t="str">
            <v>Disconnect/Reconnect at pole – after regular hours</v>
          </cell>
          <cell r="AL15" t="str">
            <v>E.L.K. Energy Inc.</v>
          </cell>
        </row>
        <row r="16">
          <cell r="A16" t="str">
            <v>GENERAL SERVICE 3,000 TO 4,999 KW - INTERMEDIATE USE</v>
          </cell>
          <cell r="I16" t="str">
            <v>Green Energy Act Initiatives Funding Adder - effective until the date of the next cost of service-based rate order</v>
          </cell>
          <cell r="Z16" t="str">
            <v>Dispute Test – Commercial self contained -- MC</v>
          </cell>
          <cell r="AA16" t="str">
            <v>Disconnect/Reconnect at pole – during regular hours</v>
          </cell>
          <cell r="AL16" t="str">
            <v>Enersource Hydro Mississauga Inc.</v>
          </cell>
        </row>
        <row r="17">
          <cell r="A17" t="str">
            <v>GENERAL SERVICE 3,000 TO 4,999 KW - INTERVAL METERED</v>
          </cell>
          <cell r="I17" t="str">
            <v>Green Energy Act Plan Funding Adder</v>
          </cell>
          <cell r="Z17" t="str">
            <v>Dispute Test – Commercial TT -- MC</v>
          </cell>
          <cell r="AA17" t="str">
            <v>Disconnect/Reconnect Charge – At Meter – After Hours</v>
          </cell>
          <cell r="AL17" t="str">
            <v>Entegrus Powerlines Inc.</v>
          </cell>
        </row>
        <row r="18">
          <cell r="A18" t="str">
            <v>GENERAL SERVICE 3,000 TO 4,999 KW - TIME OF USE</v>
          </cell>
          <cell r="I18" t="str">
            <v>Green Energy Act Plan Funding Adder - effective April 1, 2013 until March 31, 2014</v>
          </cell>
          <cell r="Z18" t="str">
            <v>Dispute Test – Residential</v>
          </cell>
          <cell r="AA18" t="str">
            <v>Disconnect/Reconnect Charge – At Meter – During Regular Hours</v>
          </cell>
          <cell r="AL18" t="str">
            <v>ENWIN Utilities Ltd.</v>
          </cell>
        </row>
        <row r="19">
          <cell r="A19" t="str">
            <v>GENERAL SERVICE 50 TO 1,000 KW</v>
          </cell>
          <cell r="I19" t="str">
            <v>Green Energy Act Plan Funding Adder - effective April 1, 2014 until March 31, 2015</v>
          </cell>
          <cell r="Z19" t="str">
            <v>Duplicate Invoices for previous billing</v>
          </cell>
          <cell r="AA19" t="str">
            <v>Disconnect/Reconnect Charge – At Pole – After Hours</v>
          </cell>
          <cell r="AL19" t="str">
            <v>Erie Thames Powerlines Corporation</v>
          </cell>
        </row>
        <row r="20">
          <cell r="A20" t="str">
            <v>GENERAL SERVICE 50 TO 1,000 KW - INTERVAL METERS</v>
          </cell>
          <cell r="I20" t="str">
            <v>ICM Rate Rider (2014) - in effect until the effective date of the next cost of service rates</v>
          </cell>
          <cell r="Z20" t="str">
            <v>Easement Letter</v>
          </cell>
          <cell r="AA20" t="str">
            <v>Disconnect/Reconnect Charge – At Pole – During Regular Hours</v>
          </cell>
          <cell r="AL20" t="str">
            <v>Espanola Regional Hydro Distribution Corporation</v>
          </cell>
        </row>
        <row r="21">
          <cell r="A21" t="str">
            <v>GENERAL SERVICE 50 TO 1,000 KW - NON INTERVAL METERS</v>
          </cell>
          <cell r="I21" t="str">
            <v>Low Voltage Service Charge</v>
          </cell>
          <cell r="Z21" t="str">
            <v>Income Tax Letter</v>
          </cell>
          <cell r="AA21" t="str">
            <v>Disconnect/Reconnect Charges for non payment of account - At Meter After Hours</v>
          </cell>
          <cell r="AL21" t="str">
            <v>Essex Powerlines Corporation</v>
          </cell>
        </row>
        <row r="22">
          <cell r="A22" t="str">
            <v>GENERAL SERVICE 50 TO 1,499 KW</v>
          </cell>
          <cell r="I22" t="str">
            <v>Low Voltage Service Rate</v>
          </cell>
          <cell r="Z22" t="str">
            <v>Interval Meter Interrogation</v>
          </cell>
          <cell r="AA22" t="str">
            <v>Disconnect/Reconnect charges for non payment of account – at meter after regular hours</v>
          </cell>
          <cell r="AL22" t="str">
            <v>Festival Hydro Inc.</v>
          </cell>
        </row>
        <row r="23">
          <cell r="A23" t="str">
            <v>GENERAL SERVICE 50 TO 1,499 KW - INTERVAL METERED</v>
          </cell>
          <cell r="I23" t="str">
            <v>Low Voltage Volumetric Rate</v>
          </cell>
          <cell r="Z23" t="str">
            <v>Interval meter request change</v>
          </cell>
          <cell r="AA23" t="str">
            <v>Disconnect/Reconnect Charges for non payment of account - At Meter During Regular Hours</v>
          </cell>
          <cell r="AL23" t="str">
            <v>Fort Albany Power Corporation</v>
          </cell>
        </row>
        <row r="24">
          <cell r="A24" t="str">
            <v>GENERAL SERVICE 50 TO 2,499 KW</v>
          </cell>
          <cell r="I24" t="str">
            <v>LRAM Rate Rider - Effective Until April 30, 2015</v>
          </cell>
          <cell r="Z24" t="str">
            <v>Legal letter</v>
          </cell>
          <cell r="AA24" t="str">
            <v>Disconnect/Reconnect charges for non payment of account – at meter during regular hours</v>
          </cell>
          <cell r="AL24" t="str">
            <v>Fort Frances Power Corporation</v>
          </cell>
        </row>
        <row r="25">
          <cell r="A25" t="str">
            <v>GENERAL SERVICE 50 TO 2,999 KW</v>
          </cell>
          <cell r="I25" t="str">
            <v>Minimum Distribution Charge - per KW of maximum billing demand in the previous 11 months</v>
          </cell>
          <cell r="Z25" t="str">
            <v>Legal letter charge</v>
          </cell>
          <cell r="AA25" t="str">
            <v>Disconnect/Reconnect charges for non payment of account – at pole after regular hours</v>
          </cell>
          <cell r="AL25" t="str">
            <v>Greater Sudbury Hydro Inc.</v>
          </cell>
        </row>
        <row r="26">
          <cell r="A26" t="str">
            <v>GENERAL SERVICE 50 TO 2,999 KW - INTERVAL METERED</v>
          </cell>
          <cell r="I26" t="str">
            <v>Monthly Distribution Wheeling Service Rate - Dedicated LV Line</v>
          </cell>
          <cell r="Z26" t="str">
            <v>Meter dispute charge plus Measurement Canada fees (if meter found correct)</v>
          </cell>
          <cell r="AA26" t="str">
            <v>Disconnect/Reconnect charges for non payment of account – at pole during regular hours</v>
          </cell>
          <cell r="AL26" t="str">
            <v>Grimsby Power Inc.</v>
          </cell>
        </row>
        <row r="27">
          <cell r="A27" t="str">
            <v>GENERAL SERVICE 50 TO 2,999 KW - TIME OF USE</v>
          </cell>
          <cell r="I27" t="str">
            <v>Monthly Distribution Wheeling Service Rate - Hydro One Networks</v>
          </cell>
          <cell r="Z27" t="str">
            <v>Notification charge</v>
          </cell>
          <cell r="AA27" t="str">
            <v>Disconnect/Reconnection for &gt;300 volts - after regular hours</v>
          </cell>
          <cell r="AL27" t="str">
            <v>Guelph Hydro Electric Systems Inc.</v>
          </cell>
        </row>
        <row r="28">
          <cell r="A28" t="str">
            <v>GENERAL SERVICE 50 TO 4,999 KW</v>
          </cell>
          <cell r="I28" t="str">
            <v>Monthly Distribution Wheeling Service Rate - Shared LV Line</v>
          </cell>
          <cell r="Z28" t="str">
            <v>Pulling Post Dated Cheques</v>
          </cell>
          <cell r="AA28" t="str">
            <v>Disconnect/Reconnection for &gt;300 volts - during regular hours</v>
          </cell>
          <cell r="AL28" t="str">
            <v>Haldimand County Hydro Inc.</v>
          </cell>
        </row>
        <row r="29">
          <cell r="A29" t="str">
            <v>GENERAL SERVICE 50 TO 4,999 KW - INTERVAL METERED</v>
          </cell>
          <cell r="I29" t="str">
            <v>Monthly Distribution Wheeling Service Rate - Waterloo North Hydro</v>
          </cell>
          <cell r="Z29" t="str">
            <v>Request for other billing information</v>
          </cell>
          <cell r="AA29" t="str">
            <v>Disposal of Concrete Poles</v>
          </cell>
          <cell r="AL29" t="str">
            <v>Halton Hills Hydro Inc.</v>
          </cell>
        </row>
        <row r="30">
          <cell r="A30" t="str">
            <v>GENERAL SERVICE 50 TO 4,999 KW - TIME OF USE</v>
          </cell>
          <cell r="I30" t="str">
            <v>Rate Rider for Application of Tax Change - effective until April 30, 2015</v>
          </cell>
          <cell r="Z30" t="str">
            <v>Returned cheque (plus bank charges)</v>
          </cell>
          <cell r="AA30" t="str">
            <v>Dispute Test – Commercial TT -- MC</v>
          </cell>
          <cell r="AL30" t="str">
            <v>Hearst Power Distribution Company Limited</v>
          </cell>
        </row>
        <row r="31">
          <cell r="A31" t="str">
            <v>GENERAL SERVICE 50 TO 4,999 KW (COGENERATION)</v>
          </cell>
          <cell r="I31" t="str">
            <v>Rate Rider for Application of Tax Change - effective until December 31, 2014</v>
          </cell>
          <cell r="Z31" t="str">
            <v>Returned cheque charge (plus bank charges)</v>
          </cell>
          <cell r="AA31" t="str">
            <v>Install/Remove load control device – after regular hours</v>
          </cell>
          <cell r="AL31" t="str">
            <v>Horizon Utilities Corporation</v>
          </cell>
        </row>
        <row r="32">
          <cell r="A32" t="str">
            <v>GENERAL SERVICE 50 TO 4,999 KW (FORMERLY TIME OF USE)</v>
          </cell>
          <cell r="I32" t="str">
            <v>Rate Rider for Application of Tax Change (2014) - effective until April 30, 2015</v>
          </cell>
          <cell r="Z32" t="str">
            <v>Special Billing Service (aggregation)</v>
          </cell>
          <cell r="AA32" t="str">
            <v>Install/Remove load control device – during regular hours</v>
          </cell>
          <cell r="AL32" t="str">
            <v>Hydro 2000 Inc.</v>
          </cell>
        </row>
        <row r="33">
          <cell r="A33" t="str">
            <v>GENERAL SERVICE 50 TO 499 KW</v>
          </cell>
          <cell r="I33" t="str">
            <v>Rate Rider for Application of Tax Change (per connection) - effective until April 30, 2015</v>
          </cell>
          <cell r="Z33" t="str">
            <v>Special Billing Service (sub-metering charge per meter)</v>
          </cell>
          <cell r="AA33" t="str">
            <v>Interval Meter Interrogation</v>
          </cell>
          <cell r="AL33" t="str">
            <v>Hydro Hawkesbury Inc.</v>
          </cell>
        </row>
        <row r="34">
          <cell r="A34" t="str">
            <v>GENERAL SERVICE 50 TO 699 KW</v>
          </cell>
          <cell r="I34" t="str">
            <v>Rate Rider for CGAAP Accounting Changes (2013) - effective until April 30, 2017</v>
          </cell>
          <cell r="Z34" t="str">
            <v>Special meter reads</v>
          </cell>
          <cell r="AA34" t="str">
            <v>Interval Meter Load Management Tool Charge $/month</v>
          </cell>
          <cell r="AL34" t="str">
            <v>Hydro One Brampton Networks Inc.</v>
          </cell>
        </row>
        <row r="35">
          <cell r="A35" t="str">
            <v>GENERAL SERVICE 50 TO 999 KW</v>
          </cell>
          <cell r="I35" t="str">
            <v>Rate Rider for Deferral/Variance Account (2012) - effective unitl April 30, 2016</v>
          </cell>
          <cell r="Z35" t="str">
            <v>Statement of Account</v>
          </cell>
          <cell r="AA35" t="str">
            <v>Interval meter request change</v>
          </cell>
          <cell r="AL35" t="str">
            <v>Hydro One Networks Inc.</v>
          </cell>
        </row>
        <row r="36">
          <cell r="A36" t="str">
            <v>GENERAL SERVICE 50 TO 999 KW - INTERVAL METERED</v>
          </cell>
          <cell r="I36" t="str">
            <v>Rate Rider for Deferral/Variance Account Disposition – effective until April 30, 2015</v>
          </cell>
          <cell r="Z36" t="str">
            <v>Unprocessed Payment Charge (plus bank charges)</v>
          </cell>
          <cell r="AA36" t="str">
            <v>Late Payment – per annum</v>
          </cell>
          <cell r="AL36" t="str">
            <v>Hydro Ottawa Limited</v>
          </cell>
        </row>
        <row r="37">
          <cell r="A37" t="str">
            <v>GENERAL SERVICE 500 TO 4,999 KW</v>
          </cell>
          <cell r="I37" t="str">
            <v>Rate Rider for Deferral/Variance Account Disposition (2012) - effective until April 30, 2016</v>
          </cell>
          <cell r="AA37" t="str">
            <v>Late Payment – per month</v>
          </cell>
          <cell r="AL37" t="str">
            <v>Innisfil Hydro Distribution Systems Limited</v>
          </cell>
        </row>
        <row r="38">
          <cell r="A38" t="str">
            <v>GENERAL SERVICE 700 TO 4,999 KW</v>
          </cell>
          <cell r="I38" t="str">
            <v>Rate Rider for Deferral/Variance Account Disposition (2013) - effective until April 30, 2014</v>
          </cell>
          <cell r="AA38" t="str">
            <v>Layout fees</v>
          </cell>
          <cell r="AL38" t="str">
            <v>Kashechewan Power Corporation</v>
          </cell>
        </row>
        <row r="39">
          <cell r="A39" t="str">
            <v>GENERAL SERVICE DEMAND BILLED (50 KW AND ABOVE) [GSD]</v>
          </cell>
          <cell r="I39" t="str">
            <v>Rate Rider for Deferral/Variance Account Disposition (2014) - effective until April 28, 2016</v>
          </cell>
          <cell r="AA39" t="str">
            <v>Meter dispute charge plus Measurement Canada fees (if meter found correct)</v>
          </cell>
          <cell r="AL39" t="str">
            <v>Kenora Hydro Electric Corporation Ltd.</v>
          </cell>
        </row>
        <row r="40">
          <cell r="A40" t="str">
            <v>GENERAL SERVICE ENERGY BILLED (LESS THAN 50 KW) [GSE-METERED]</v>
          </cell>
          <cell r="I40" t="str">
            <v>Rate Rider for Deferral/Variance Account Disposition (2014) - effective until April 30, 2015</v>
          </cell>
          <cell r="AA40" t="str">
            <v>Meter Interrogation Charge</v>
          </cell>
          <cell r="AL40" t="str">
            <v>Kingston Hydro Corporation</v>
          </cell>
        </row>
        <row r="41">
          <cell r="A41" t="str">
            <v>GENERAL SERVICE ENERGY BILLED (LESS THAN TO 50 KW) [GSE-UNMETERED]</v>
          </cell>
          <cell r="I41" t="str">
            <v>Rate Rider for Deferral/Variance Account Disposition (2014) - effective until Decembeer 31, 2015</v>
          </cell>
          <cell r="AA41" t="str">
            <v>Missed Service Appointment</v>
          </cell>
          <cell r="AL41" t="str">
            <v>Kitchener-Wilmot Hydro Inc.</v>
          </cell>
        </row>
        <row r="42">
          <cell r="A42" t="str">
            <v>GENERAL SERVICE EQUAL TO OR GREATER THAN 1,500 KW</v>
          </cell>
          <cell r="I42" t="str">
            <v>Rate Rider for Deferral/Variance Account Disposition (2014) - effective until December 30, 2015</v>
          </cell>
          <cell r="AA42" t="str">
            <v>Norfolk Pole Rentals – Billed</v>
          </cell>
          <cell r="AL42" t="str">
            <v>Lakefront Utilities Inc.</v>
          </cell>
        </row>
        <row r="43">
          <cell r="A43" t="str">
            <v>GENERAL SERVICE EQUAL TO OR GREATER THAN 1,500 KW - INTERVAL METERED</v>
          </cell>
          <cell r="I43" t="str">
            <v>Rate Rider for Deferral/Variance Account Disposition (2014) - effective until December 31, 2014</v>
          </cell>
          <cell r="AA43" t="str">
            <v>Optional Interval/TOU Meter charge $/month</v>
          </cell>
          <cell r="AL43" t="str">
            <v>Lakeland Power Distribution Ltd.</v>
          </cell>
        </row>
        <row r="44">
          <cell r="A44" t="str">
            <v>GENERAL SERVICE GREATER THAN 1,000 KW</v>
          </cell>
          <cell r="I44" t="str">
            <v>Rate Rider for Deferral/Variance Account Disposition (2014) - effective until December 31, 2015</v>
          </cell>
          <cell r="AA44" t="str">
            <v>Overtime Locate</v>
          </cell>
          <cell r="AL44" t="str">
            <v>London Hydro Inc.</v>
          </cell>
        </row>
        <row r="45">
          <cell r="A45" t="str">
            <v>GENERAL SERVICE GREATER THAN 50 kW - WMP</v>
          </cell>
          <cell r="I45" t="str">
            <v>Rate Rider for Deferral/Variance Account Dispositon (2012) - effective until April 30, 2016</v>
          </cell>
          <cell r="AA45" t="str">
            <v>Owner Requested Disconnection/Reconnection – after regular hours</v>
          </cell>
          <cell r="AL45" t="str">
            <v>Midland Power Utility Corporation</v>
          </cell>
        </row>
        <row r="46">
          <cell r="A46" t="str">
            <v>GENERAL SERVICE INTERMEDIATE 1,000 TO 4,999 KW</v>
          </cell>
          <cell r="I46" t="str">
            <v>Rate Rider for Disposition of Accounting Changes Under CGAAP Account 1576 - effective until April 30, 2016</v>
          </cell>
          <cell r="AA46" t="str">
            <v>Owner Requested Disconnection/Reconnection – during regular hours</v>
          </cell>
          <cell r="AL46" t="str">
            <v>Milton Hydro Distribution inc.</v>
          </cell>
        </row>
        <row r="47">
          <cell r="A47" t="str">
            <v>GENERAL SERVICE INTERMEDIATE RATE CLASS 1,000 TO 4,999 KW (FORMERLY GENERAL SERVICE &gt; 50 KW CUSTOMERS)</v>
          </cell>
          <cell r="I47" t="str">
            <v>Rate Rider for Disposition of Deferral/Variance Accounts (2010) - effective until December 31, 2014</v>
          </cell>
          <cell r="AA47" t="str">
            <v>Returned cheque (plus bank charges)</v>
          </cell>
          <cell r="AL47" t="str">
            <v>Newmarket - Tay Power Distribution Ltd.</v>
          </cell>
        </row>
        <row r="48">
          <cell r="A48" t="str">
            <v>GENERAL SERVICE INTERMEDIATE RATE CLASS 1,000 TO 4,999 KW (FORMERLY LARGE USE CUSTOMERS)</v>
          </cell>
          <cell r="I48" t="str">
            <v>Rate Rider for Disposition of Deferral/Variance Accounts (2011) - effective until April 30, 2015</v>
          </cell>
          <cell r="AA48" t="str">
            <v>Rural system expansion / line connection fee</v>
          </cell>
          <cell r="AL48" t="str">
            <v>Niagara Peninsula Energy Inc.</v>
          </cell>
        </row>
        <row r="49">
          <cell r="A49" t="str">
            <v>GENERAL SERVICE LESS THAN 50 KW</v>
          </cell>
          <cell r="I49" t="str">
            <v>Rate Rider for Disposition of Deferral/Variance Accounts (2011) - effective until April 30, 2016</v>
          </cell>
          <cell r="AA49" t="str">
            <v>Same Day Open Trench</v>
          </cell>
          <cell r="AL49" t="str">
            <v>Niagara-on-the-Lake Hydro Inc.</v>
          </cell>
        </row>
        <row r="50">
          <cell r="A50" t="str">
            <v>GENERAL SERVICE LESS THAN 50 KW - SINGLE PHASE ENERGY-BILLED [G1]</v>
          </cell>
          <cell r="I50" t="str">
            <v>Rate Rider for Disposition of Deferral/Variance Accounts (2012) - effective until April 30, 2014</v>
          </cell>
          <cell r="AA50" t="str">
            <v>Scheduled Day Open Trench</v>
          </cell>
          <cell r="AL50" t="str">
            <v>Norfolk Power Distribution Inc.</v>
          </cell>
        </row>
        <row r="51">
          <cell r="A51" t="str">
            <v>GENERAL SERVICE LESS THAN 50 KW - THREE PHASE ENERGY-BILLED [G3]</v>
          </cell>
          <cell r="I51" t="str">
            <v>Rate Rider for Disposition of Deferral/Variance Accounts (2012) - effective until April 30, 2015</v>
          </cell>
          <cell r="AA51" t="str">
            <v>Service call – after regular hours</v>
          </cell>
          <cell r="AL51" t="str">
            <v>North Bay Hydro Distribution Limited</v>
          </cell>
        </row>
        <row r="52">
          <cell r="A52" t="str">
            <v>GENERAL SERVICE LESS THAN 50 KW - TRANSMISSION CLASS ENERGY-BILLED [T]</v>
          </cell>
          <cell r="I52" t="str">
            <v>Rate Rider for Disposition of Deferral/Variance Accounts (2012) - effective until April 30, 2016</v>
          </cell>
          <cell r="AA52" t="str">
            <v>Service call – customer owned equipment</v>
          </cell>
          <cell r="AL52" t="str">
            <v>Northern Ontario Wires Inc.</v>
          </cell>
        </row>
        <row r="53">
          <cell r="A53" t="str">
            <v>GENERAL SERVICE LESS THAN 50 KW - URBAN ENERGY-BILLED [UG]</v>
          </cell>
          <cell r="I53" t="str">
            <v>Rate Rider for Disposition of Deferral/Variance Accounts (2012) - effective until August 31, 2014</v>
          </cell>
          <cell r="AA53" t="str">
            <v>Service Call – Customer-owned Equipment – After Regular Hours</v>
          </cell>
          <cell r="AL53" t="str">
            <v>Oakville Hydro Electricity Distribution Inc.</v>
          </cell>
        </row>
        <row r="54">
          <cell r="A54" t="str">
            <v>GENERAL SERVICE SINGLE PHASE - G1</v>
          </cell>
          <cell r="I54" t="str">
            <v>Rate Rider for Disposition of Deferral/Variance Accounts (2012) - effective until December 31, 2015</v>
          </cell>
          <cell r="AA54" t="str">
            <v>Service Call – Customer-owned Equipment – During Regular Hours</v>
          </cell>
          <cell r="AL54" t="str">
            <v>Orangeville Hydro Limited</v>
          </cell>
        </row>
        <row r="55">
          <cell r="A55" t="str">
            <v>GENERAL SERVICE THREE PHASE - G3</v>
          </cell>
          <cell r="I55" t="str">
            <v>Rate Rider for Disposition of Deferral/Variance Accounts (2012) - effective until December 31, 2016 Applicable only in the former service area of Clinton Power</v>
          </cell>
          <cell r="AA55" t="str">
            <v>Service Charge for onsite interrogation of interval meter due to customer phone line failure - required weekly until line repaired $ 6</v>
          </cell>
          <cell r="AL55" t="str">
            <v>Orillia Power Distribution Corporation</v>
          </cell>
        </row>
        <row r="56">
          <cell r="A56" t="str">
            <v>INTERMEDIATE USERS</v>
          </cell>
          <cell r="I56" t="str">
            <v>Rate Rider for Disposition of Deferral/Variance Accounts (2012) – effective until December 31, 2016 Applicable only in the former service area of Clinton Power</v>
          </cell>
          <cell r="AA56" t="str">
            <v>Service Layout - Commercial</v>
          </cell>
          <cell r="AL56" t="str">
            <v>Oshawa PUC Networks Inc.</v>
          </cell>
        </row>
        <row r="57">
          <cell r="A57" t="str">
            <v>INTERMEDIATE WITH SELF GENERATION</v>
          </cell>
          <cell r="I57" t="str">
            <v>Rate Rider for Disposition of Deferral/Variance Accounts (2012) - effective until January 31, 2014</v>
          </cell>
          <cell r="AA57" t="str">
            <v>Service Layout - ResidentiaI</v>
          </cell>
          <cell r="AL57" t="str">
            <v>Ottawa River Power Corporation</v>
          </cell>
        </row>
        <row r="58">
          <cell r="A58" t="str">
            <v>LARGE USE</v>
          </cell>
          <cell r="I58" t="str">
            <v>Rate Rider for Disposition of Deferral/Variance Accounts (2012) - effective until June 30, 2014</v>
          </cell>
          <cell r="AA58" t="str">
            <v>Special Billing Service (sub-metering charge per meter)</v>
          </cell>
          <cell r="AL58" t="str">
            <v>Parry Sound Power Corporation</v>
          </cell>
        </row>
        <row r="59">
          <cell r="A59" t="str">
            <v>LARGE USE - 3TS</v>
          </cell>
          <cell r="I59" t="str">
            <v>Rate Rider for Disposition of Deferral/Variance Accounts (2013) - Applicable only to Wholesale Market Participants - effective until April 30, 2015</v>
          </cell>
          <cell r="AA59" t="str">
            <v>Special meter reads</v>
          </cell>
          <cell r="AL59" t="str">
            <v>Peterborough Distribution Incorporated</v>
          </cell>
        </row>
        <row r="60">
          <cell r="A60" t="str">
            <v>LARGE USE - FORD ANNEX</v>
          </cell>
          <cell r="I60" t="str">
            <v>Rate Rider for Disposition of Deferral/Variance Accounts (2013) - effective until April 30, 2014</v>
          </cell>
          <cell r="AA60" t="str">
            <v>Specific Charge for Access to the Power Poles - $/pole/year</v>
          </cell>
          <cell r="AL60" t="str">
            <v>PowerStream Inc.</v>
          </cell>
        </row>
        <row r="61">
          <cell r="A61" t="str">
            <v>LARGE USE - REGULAR</v>
          </cell>
          <cell r="I61" t="str">
            <v>Rate Rider for Disposition of Deferral/Variance Accounts (2013) - effective until April 30, 2015</v>
          </cell>
          <cell r="AA61" t="str">
            <v>Specific Charge for Bell Canada Access to the Power Poles – per pole/year</v>
          </cell>
          <cell r="AL61" t="str">
            <v>PUC Distribution Inc.</v>
          </cell>
        </row>
        <row r="62">
          <cell r="A62" t="str">
            <v>LARGE USE &gt; 5000 KW</v>
          </cell>
          <cell r="I62" t="str">
            <v>Rate Rider for Disposition of Deferral/Variance Accounts (2013) - effective until April 30, 2015, not applicable to Wholesale Market Participants</v>
          </cell>
          <cell r="AA62" t="str">
            <v>Switching for company maintenance – Charge based on Time and Materials</v>
          </cell>
          <cell r="AL62" t="str">
            <v>Renfrew Hydro Inc.</v>
          </cell>
        </row>
        <row r="63">
          <cell r="A63" t="str">
            <v>microFIT</v>
          </cell>
          <cell r="I63" t="str">
            <v>Rate Rider for Disposition of Deferral/Variance Accounts (2013) - effective until April 30, 2017</v>
          </cell>
          <cell r="AA63" t="str">
            <v>Temporary Service – Install &amp; remove – overhead – no transformer</v>
          </cell>
          <cell r="AL63" t="str">
            <v>Rideau St. Lawrence Distribution Inc.</v>
          </cell>
        </row>
        <row r="64">
          <cell r="A64" t="str">
            <v>RESIDENTIAL</v>
          </cell>
          <cell r="I64" t="str">
            <v>Rate Rider for Disposition of Deferral/Variance Accounts (2013) - effective until August 31, 2014</v>
          </cell>
          <cell r="AA64" t="str">
            <v>Temporary Service – Install &amp; remove – overhead – with transformer</v>
          </cell>
          <cell r="AL64" t="str">
            <v>Sioux Lookout Hydro Inc.</v>
          </cell>
        </row>
        <row r="65">
          <cell r="A65" t="str">
            <v>RESIDENTIAL - HENSALL</v>
          </cell>
          <cell r="I65" t="str">
            <v>Rate Rider for Disposition of Deferral/Variance Accounts (2013) - effective until December 31, 2014</v>
          </cell>
          <cell r="AA65" t="str">
            <v>Temporary Service – Install &amp; remove – underground – no transformer</v>
          </cell>
          <cell r="AL65" t="str">
            <v>St. Thomas Energy Inc.</v>
          </cell>
        </row>
        <row r="66">
          <cell r="A66" t="str">
            <v>RESIDENTIAL - HIGH DENSITY [R1]</v>
          </cell>
          <cell r="I66" t="str">
            <v>Rate Rider for Disposition of Deferral/Variance Accounts (2013) - effective until May 31, 2014</v>
          </cell>
          <cell r="AA66" t="str">
            <v>Temporary service install &amp; remove – overhead – no transformer</v>
          </cell>
          <cell r="AL66" t="str">
            <v>Thunder Bay Hydro Electricity Distribution Inc.</v>
          </cell>
        </row>
        <row r="67">
          <cell r="A67" t="str">
            <v>RESIDENTIAL - LOW DENSITY [R2]</v>
          </cell>
          <cell r="I67" t="str">
            <v>Rate Rider for Disposition of Deferred PILs Variance Account 1562 - effective until March 31, 2016</v>
          </cell>
          <cell r="AA67" t="str">
            <v>Temporary Service Install &amp; Remove – Overhead – With Transformer</v>
          </cell>
          <cell r="AL67" t="str">
            <v>Tillsonburg Hydro Inc.</v>
          </cell>
        </row>
        <row r="68">
          <cell r="A68" t="str">
            <v>RESIDENTIAL - MEDIUM DENSITY [R1]</v>
          </cell>
          <cell r="I68" t="str">
            <v>Rate Rider for Disposition of Deferred PILs Variance Account 1562 (2012) - effective until April 30, 2015</v>
          </cell>
          <cell r="AA68" t="str">
            <v>Temporary Service Install &amp; Remove – Underground – No Transformer</v>
          </cell>
          <cell r="AL68" t="str">
            <v>Toronto Hydro-Electric System Limited</v>
          </cell>
        </row>
        <row r="69">
          <cell r="A69" t="str">
            <v>RESIDENTIAL - NORMAL DENSITY [R2]</v>
          </cell>
          <cell r="I69" t="str">
            <v>Rate Rider for Disposition of Deferred PILs Variance Account 1562 (2012) - effective until April 30, 2016</v>
          </cell>
          <cell r="AA69" t="str">
            <v>Temporary service installation and removal – overhead – no transformer</v>
          </cell>
          <cell r="AL69" t="str">
            <v>Veridian Connections Inc.</v>
          </cell>
        </row>
        <row r="70">
          <cell r="A70" t="str">
            <v>RESIDENTIAL - TIME OF USE</v>
          </cell>
          <cell r="I70" t="str">
            <v>Rate Rider for Disposition of Deferred PILs Variance Account 1562 (2nd Installment - 2012) - effective until April 30, 2016</v>
          </cell>
          <cell r="AA70" t="str">
            <v>Temporary service installation and removal – overhead – with transformer</v>
          </cell>
          <cell r="AL70" t="str">
            <v>Wasaga Distribution Inc.</v>
          </cell>
        </row>
        <row r="71">
          <cell r="A71" t="str">
            <v>RESIDENTIAL - URBAN [UR]</v>
          </cell>
          <cell r="I71" t="str">
            <v>Rate Rider for Disposition of Deferred PILs Variance Account 1562 (per connection) (2012) - effective until April 30, 2015</v>
          </cell>
          <cell r="AA71" t="str">
            <v>Temporary service installation and removal – underground – no transformer</v>
          </cell>
          <cell r="AL71" t="str">
            <v>Waterloo North Hydro Inc.</v>
          </cell>
        </row>
        <row r="72">
          <cell r="A72" t="str">
            <v>RESIDENTIAL REGULAR</v>
          </cell>
          <cell r="I72" t="str">
            <v>Rate Rider for Disposition of Deferred PILs Variance Account 1562 (per connection) (2012) - effective until April 30, 2016</v>
          </cell>
          <cell r="AL72" t="str">
            <v>Welland Hydro-Electric System Corp.</v>
          </cell>
        </row>
        <row r="73">
          <cell r="A73" t="str">
            <v>RESIDENTIAL SUBURBAN</v>
          </cell>
          <cell r="I73" t="str">
            <v>Rate Rider for Disposition of Global Adjustment Sub-Account (2011) - effective until April 30, 2015 Applicable only for Non-RPP Customers</v>
          </cell>
          <cell r="AL73" t="str">
            <v>Wellington North Power Inc.</v>
          </cell>
        </row>
        <row r="74">
          <cell r="A74" t="str">
            <v>RESIDENTIAL SUBURBAN SEASONAL</v>
          </cell>
          <cell r="I74" t="str">
            <v>Rate Rider for Disposition of Global Adjustment Sub-Account (2011) - effective until April 30, 2016 Applicable only for Non-RPP Customers</v>
          </cell>
          <cell r="AL74" t="str">
            <v>West Coast Huron Energy Inc.</v>
          </cell>
        </row>
        <row r="75">
          <cell r="A75" t="str">
            <v>RESIDENTIAL SUBURBAN YEAR ROUND</v>
          </cell>
          <cell r="I75" t="str">
            <v>Rate Rider for Disposition of Global Adjustment Sub-Account (2012) - effective until April 30, 2014 Applicable only for Non-RPP Customers</v>
          </cell>
          <cell r="AL75" t="str">
            <v>West Perth Power Inc.</v>
          </cell>
        </row>
        <row r="76">
          <cell r="A76" t="str">
            <v>RESIDENTIAL URBAN</v>
          </cell>
          <cell r="I76" t="str">
            <v>Rate Rider for Disposition of Global Adjustment Sub-Account (2012) - effective until April 30, 2015 Applicable only for Non-RPP Customers</v>
          </cell>
          <cell r="AL76" t="str">
            <v>Westario Power Inc.</v>
          </cell>
        </row>
        <row r="77">
          <cell r="A77" t="str">
            <v>RESIDENTIAL URBAN YEAR-ROUND</v>
          </cell>
          <cell r="I77" t="str">
            <v>Rate Rider for Disposition of Global Adjustment Sub-Account (2012) - effective until April 30, 2015 Applicatble only for Non-RPP Customers</v>
          </cell>
          <cell r="AL77" t="str">
            <v>Whitby Hydro Electric Corporation</v>
          </cell>
        </row>
        <row r="78">
          <cell r="A78" t="str">
            <v>SEASONAL RESIDENTIAL</v>
          </cell>
          <cell r="I78" t="str">
            <v>Rate Rider for Disposition of Global Adjustment Sub-Account (2012) - effective until April 30, 2016 Applicable only for Non-RPP Customers</v>
          </cell>
          <cell r="AL78" t="str">
            <v>Woodstock Hydro Services Inc.</v>
          </cell>
        </row>
        <row r="79">
          <cell r="A79" t="str">
            <v>SEASONAL RESIDENTIAL - HIGH DENSITY [R3]</v>
          </cell>
          <cell r="I79" t="str">
            <v>Rate Rider for Disposition of Global Adjustment Sub-Account (2012) - effective until January 31, 2014. Applicable only for Non-RPP Customers</v>
          </cell>
        </row>
        <row r="80">
          <cell r="A80" t="str">
            <v>SEASONAL RESIDENTIAL - NORMAL DENSITY [R4]</v>
          </cell>
          <cell r="I80" t="str">
            <v>Rate Rider for Disposition of Global Adjustment Sub-Account (2012) - effective until June 30, 2014 Applicable only for Non-RPP Customers</v>
          </cell>
        </row>
        <row r="81">
          <cell r="A81" t="str">
            <v>SENTINEL LIGHTING</v>
          </cell>
          <cell r="I81" t="str">
            <v>Rate Rider for Disposition of Global Adjustment Sub-Account (2012) Applicable only for Non-RPP Customers - effective until August 31, 2014</v>
          </cell>
        </row>
        <row r="82">
          <cell r="A82" t="str">
            <v>SMALL COMMERCIAL AND USL - PER CONNECTION</v>
          </cell>
          <cell r="I82" t="str">
            <v>Rate Rider for Disposition of Global Adjustment Sub-Account (2012) Applicable only to Non-RPP Customers - effective until August 31, 2014</v>
          </cell>
        </row>
        <row r="83">
          <cell r="A83" t="str">
            <v>SMALL COMMERCIAL AND USL - PER METER</v>
          </cell>
          <cell r="I83" t="str">
            <v>Rate Rider for Disposition of Global Adjustment Sub-Account (2013) - effective until April 30, 2014 Applicable only for Non-RPP Customers</v>
          </cell>
        </row>
        <row r="84">
          <cell r="A84" t="str">
            <v>STANDARD A GENERAL SERVICE AIR ACCESS</v>
          </cell>
          <cell r="I84" t="str">
            <v>Rate Rider for Disposition of Global Adjustment Sub-Account (2013) - effective until April 30, 2015 Applicable only for Non-RPP Customers</v>
          </cell>
        </row>
        <row r="85">
          <cell r="A85" t="str">
            <v>STANDARD A GENERAL SERVICE ROAD/RAIL</v>
          </cell>
          <cell r="I85" t="str">
            <v>Rate Rider for Disposition of Global Adjustment Sub-Account (2013) - effective until April 30, 2015 Applicable only for Non-RPP Customers and excluding Wholesale Market Participants</v>
          </cell>
        </row>
        <row r="86">
          <cell r="A86" t="str">
            <v>STANDARD A GRID CONNECTED</v>
          </cell>
          <cell r="I86" t="str">
            <v>Rate Rider for Disposition of Global Adjustment Sub-Account (2013) - effective until April 30, 2017 Applicable only for Non-RPP Customers</v>
          </cell>
        </row>
        <row r="87">
          <cell r="A87" t="str">
            <v>STANDARD A RESIDENTIAL AIR ACCESS</v>
          </cell>
          <cell r="I87" t="str">
            <v>Rate Rider For Disposition of Global Adjustment Sub-Account (2013) - effective until August 31, 2014 Applicable only for Non-RPP Customers</v>
          </cell>
        </row>
        <row r="88">
          <cell r="A88" t="str">
            <v>STANDARD A RESIDENTIAL ROAD/RAIL</v>
          </cell>
          <cell r="I88" t="str">
            <v>Rate Rider for Disposition of Global Adjustment Sub-Account (2013) - effective until December 31, 2014 Applicable only for Non-RPP Customers</v>
          </cell>
        </row>
        <row r="89">
          <cell r="A89" t="str">
            <v>STANDBY - GENERAL SERVICE 1,000 - 5,000 KW</v>
          </cell>
          <cell r="I89" t="str">
            <v>Rate Rider for Disposition of Global Adjustment Sub-Account (2013) - effective until May 31, 2014 Applicable only for Non-RPP Customers</v>
          </cell>
        </row>
        <row r="90">
          <cell r="A90" t="str">
            <v>STANDBY - GENERAL SERVICE 50 - 1,000 KW</v>
          </cell>
          <cell r="I90" t="str">
            <v>Rate Rider for Disposition of Global Adjustment Sub-Account (2014) - effective until December 31, 2014. Applicable only for Non-RPP - Class B Customers</v>
          </cell>
        </row>
        <row r="91">
          <cell r="A91" t="str">
            <v>STANDBY - LARGE USE</v>
          </cell>
          <cell r="I91" t="str">
            <v>Rate Rider for Disposition of Global Adjustment Sub-Account (2014) - effective until December 31, 2014. Applicable only for Non-RPP Customers</v>
          </cell>
        </row>
        <row r="92">
          <cell r="A92" t="str">
            <v>STANDBY DISTRIBUTION SERVICE</v>
          </cell>
          <cell r="I92" t="str">
            <v>Rate Rider for Disposition of Global Adjustment Sub-Account (2014) - effective until December 31, 2014. Applicable only for Non-RPP Customers - Class A Customers</v>
          </cell>
        </row>
        <row r="93">
          <cell r="A93" t="str">
            <v>STANDBY POWER</v>
          </cell>
          <cell r="I93" t="str">
            <v>Rate Rider for Disposition of Global Adjustment Sub-Account (2014) - effective until December 31, 2014. Applicable only for Non-RPP Customers - Interval Metered</v>
          </cell>
        </row>
        <row r="94">
          <cell r="A94" t="str">
            <v>STANDBY POWER - APPROVED ON AN INTERIM BASIS</v>
          </cell>
          <cell r="I94" t="str">
            <v>Rate Rider for Disposition of Global Adjustment Sub-Account (2014) - effective until December 31, 2014. Applicable only for Non-RPP Customers - Non Interval Metered</v>
          </cell>
        </row>
        <row r="95">
          <cell r="A95" t="str">
            <v>STANDBY POWER GENERAL SERVICE 1,500 TO 4,999 KW</v>
          </cell>
          <cell r="I95" t="str">
            <v>Rate Rider for Disposition of Post Retirement Actuarial Gain - effective until March 31, 2025</v>
          </cell>
        </row>
        <row r="96">
          <cell r="A96" t="str">
            <v>STANDBY POWER GENERAL SERVICE 50 TO 1,499 KW</v>
          </cell>
          <cell r="I96" t="str">
            <v>Rate Rider for Disposition of Residual Hisotrical Smart Meter Costs - effective until April 30, 2015</v>
          </cell>
        </row>
        <row r="97">
          <cell r="A97" t="str">
            <v>STANDBY POWER GENERAL SERVICE LARGE USE</v>
          </cell>
          <cell r="I97" t="str">
            <v>Rate Rider for Disposition of Residual Hisotrical Smart Meter Costs - effective until April 30, 2017</v>
          </cell>
        </row>
        <row r="98">
          <cell r="A98" t="str">
            <v>STREET LIGHTING</v>
          </cell>
          <cell r="I98" t="str">
            <v>Rate Rider for Disposition of Residual Historical Smart Meter Costs - effective until April 30, 2014</v>
          </cell>
        </row>
        <row r="99">
          <cell r="A99" t="str">
            <v>SUB TRANSMISSION [ST]</v>
          </cell>
          <cell r="I99" t="str">
            <v>Rate Rider for Disposition of Residual Historical Smart Meter Costs - effective until April 30, 2016</v>
          </cell>
        </row>
        <row r="100">
          <cell r="A100" t="str">
            <v>UNMETERED SCATTERED LOAD</v>
          </cell>
          <cell r="I100" t="str">
            <v>Rate Rider for Disposition of Residual Historical Smart Meter Costs - effective until August 31, 2014</v>
          </cell>
        </row>
        <row r="101">
          <cell r="A101" t="str">
            <v>URBAN GENERAL SERVICE DEMAND BILLED (50 KW AND ABOVE) [UGD]</v>
          </cell>
          <cell r="I101" t="str">
            <v>Rate Rider for Disposition of Residual Historical Smart Meter Costs - effective until August 31, 2015</v>
          </cell>
        </row>
        <row r="102">
          <cell r="A102" t="str">
            <v>URBAN GENERAL SERVICE ENERGY BILLED (LESS THAN 50 KW) [UGE]</v>
          </cell>
          <cell r="I102" t="str">
            <v>Rate Rider for Disposition of Residual Historical Smart Meter Costs - effective until December 31, 2014</v>
          </cell>
        </row>
        <row r="103">
          <cell r="A103" t="str">
            <v>WESTPORT SEWAGE TREATMENT PLANT</v>
          </cell>
          <cell r="I103" t="str">
            <v>Rate Rider for Disposition of Residual Historical Smart Meter Costs – effective until December 31, 2014</v>
          </cell>
        </row>
        <row r="104">
          <cell r="A104" t="str">
            <v>YEAR-ROUND RESIDENTIAL - R2</v>
          </cell>
          <cell r="I104" t="str">
            <v>Rate Rider for Disposition of Residual Historical Smart Meter Costs - effective until December 31, 2015</v>
          </cell>
        </row>
        <row r="105">
          <cell r="I105" t="str">
            <v>Rate Rider for Disposition of Residual Historical Smart Meter Costs - effective until December 31, 2016</v>
          </cell>
        </row>
        <row r="106">
          <cell r="I106" t="str">
            <v>Rate Rider for Disposition of Residual Historical Smart Meter Costs - effective until October 31, 2014</v>
          </cell>
        </row>
        <row r="107">
          <cell r="I107" t="str">
            <v>Rate Rider for Disposition of Residual Historical Smart Meter Costs - effective until September 30, 2014</v>
          </cell>
        </row>
        <row r="108">
          <cell r="I108" t="str">
            <v>Rate Rider for Disposition of Residual Historical Smart Meter Costs - Non-Interval Metered 
 - effective until April 30, 2014</v>
          </cell>
        </row>
        <row r="109">
          <cell r="I109" t="str">
            <v>Rate Rider for Disposition of Residual Historical Smart Meter Costs 2 - in effect until the effective 
 date of the next cost of service-based rate order</v>
          </cell>
        </row>
        <row r="110">
          <cell r="I110" t="str">
            <v>Rate Rider for Disposition of Residual Historical Smart Meter Costs 3 - in effect until the effective 
 date of the next cost of service-based rate order</v>
          </cell>
        </row>
        <row r="111">
          <cell r="I111" t="str">
            <v>Rate Rider for Disposition of Residual Incremental Historical Smart Meter Costs - 
 effective until August 31, 2015</v>
          </cell>
        </row>
        <row r="112">
          <cell r="I112" t="str">
            <v>Rate Rider for Disposition of Stranded Meter costs - effective until April 30, 2015</v>
          </cell>
        </row>
        <row r="113">
          <cell r="I113" t="str">
            <v>Rate Rider for Disposition of Stranded Meter Costs - effective until April 30, 2016</v>
          </cell>
        </row>
        <row r="114">
          <cell r="I114" t="str">
            <v>Rate Rider for Disposition of Stranded Meter Costs - effective until April 30, 2017</v>
          </cell>
        </row>
        <row r="115">
          <cell r="I115" t="str">
            <v>Rate Rider for Global Adjustment Sub Account Disposition - effective until April 30, 2016 Applicable only for Non RPP Customers</v>
          </cell>
        </row>
        <row r="116">
          <cell r="I116" t="str">
            <v>Rate Rider for Global Adjustment Sub-Account Disposition 
 Applicable only for Non-RPP Customers – effective until April 30, 2015</v>
          </cell>
        </row>
        <row r="117">
          <cell r="I117" t="str">
            <v>Rate Rider for Global Adjustment Sub-Account Disposition (2014) - effective until April 28, 2016 Applicable only for Non-RPP Customers</v>
          </cell>
        </row>
        <row r="118">
          <cell r="I118" t="str">
            <v>Rate Rider for Global Adjustment Sub-Account Disposition (2014) - effective until April 30, 2015 Applicable only for Non-RPP Customers</v>
          </cell>
        </row>
        <row r="119">
          <cell r="I119" t="str">
            <v>Rate Rider for Global Adjustment Sub-Account Disposition (2014) - effective until December 30, 2015 Applicable only for Non-RPP Customers</v>
          </cell>
        </row>
        <row r="120">
          <cell r="I120" t="str">
            <v>Rate Rider for Global Adjustment Sub-Account Disposition (2014) - effective until December 31, 2014 Applicable only for Non-RPP Customers</v>
          </cell>
        </row>
        <row r="121">
          <cell r="I121" t="str">
            <v>Rate Rider for Global Adjustment Sub-Account Disposition (2014) - effective until December 31, 2015 Applicable only for Non-RPP Customers</v>
          </cell>
        </row>
        <row r="122">
          <cell r="I122" t="str">
            <v>Rate Rider for Global Adjustment Sub-Account Disposition (2014) - effective until December, 2015 Applicable only for Non-RPP Customers</v>
          </cell>
        </row>
        <row r="123">
          <cell r="I123" t="str">
            <v>Rate Rider for Incremental Capital - Distribution Volumetric - effective until April 30, 2016</v>
          </cell>
        </row>
        <row r="124">
          <cell r="I124" t="str">
            <v>Rate Rider for Incremental Capital - Service Charge - effective until April 30, 2016</v>
          </cell>
        </row>
        <row r="125">
          <cell r="I125" t="str">
            <v>Rate Rider for Incremental Capital (2012) - effective until April 30, 2015</v>
          </cell>
        </row>
        <row r="126">
          <cell r="I126" t="str">
            <v>Rate Rider for Lost Revenue Adjustment Mechanism Variance Account (LRAMVA) Recovery 
 (2012 CDM Activities) - effective until April 30, 2015</v>
          </cell>
        </row>
        <row r="127">
          <cell r="I127" t="str">
            <v>Rate Rider for Recover of Residual Historical Smart meter Costs - effective until June 30, 2014</v>
          </cell>
        </row>
        <row r="128">
          <cell r="I128" t="str">
            <v>Rate Rider for Recovery of CGAAP/CWIP Differential - in effect until December 31, 2016</v>
          </cell>
        </row>
        <row r="129">
          <cell r="I129" t="str">
            <v>Rate Rider for Recovery of Foregone Revenue - effective until April 30, 2015</v>
          </cell>
        </row>
        <row r="130">
          <cell r="I130" t="str">
            <v>Rate Rider for Recovery of Forgone Revenue - effective until April 30, 2015</v>
          </cell>
        </row>
        <row r="131">
          <cell r="I131" t="str">
            <v>Rate Rider for Recovery of Forgone Revenue - effective until December 31, 2014</v>
          </cell>
        </row>
        <row r="132">
          <cell r="I132" t="str">
            <v>Rate Rider for Recovery of Green Energy Act related costs - effective until December 31, 2014</v>
          </cell>
        </row>
        <row r="133">
          <cell r="I133" t="str">
            <v>Rate Rider for Recovery of Incremental Capital (2013) - in effect until the effective date of the next cost of service-based rate order</v>
          </cell>
        </row>
        <row r="134">
          <cell r="I134" t="str">
            <v>Rate Rider for Recovery of Incremental Capital (2013) - in effect until the effective date of the
 next cost of service-based rate order</v>
          </cell>
        </row>
        <row r="135">
          <cell r="I135" t="str">
            <v>Rate Rider for Recovery of Incremental Capital (2013) (per connection) - in effect until the effective date of 
 the next cost of service-based rate order</v>
          </cell>
        </row>
        <row r="136">
          <cell r="I136" t="str">
            <v>Rate Rider for Recovery of Incremental Capital (2013) (per connection)- in effect until the effective date of the next cost of service-based rate order</v>
          </cell>
        </row>
        <row r="137">
          <cell r="I137" t="str">
            <v>Rate Rider for Recovery of Incremental Capital Costs</v>
          </cell>
        </row>
        <row r="138">
          <cell r="I138" t="str">
            <v>Rate Rider for Recovery of Incremental Capital Costs - effective until April 30, 2015</v>
          </cell>
        </row>
        <row r="139">
          <cell r="I139" t="str">
            <v>Rate Rider for Recovery of Lost Revenue Adjustment Mechanism ( LRAM)/Shared Savings Mechanism (SSM) (2012) - effective until August 31, 2014</v>
          </cell>
        </row>
        <row r="140">
          <cell r="I140" t="str">
            <v>Rate Rider for Recovery of Lost Revenue Adjustment Mechanism (2013) - effective until December 31, 2014</v>
          </cell>
        </row>
        <row r="141">
          <cell r="I141" t="str">
            <v>Rate Rider for Recovery of Lost Revenue Adjustment Mechanism (LRAM) - effective until April 30, 2016</v>
          </cell>
        </row>
        <row r="142">
          <cell r="I142" t="str">
            <v>Rate Rider for Recovery of Lost Revenue Adjustment Mechanism (LRAM) (pre-2011 CDM Activities) - effective until April 30, 2015</v>
          </cell>
        </row>
        <row r="143">
          <cell r="I143" t="str">
            <v>Rate Rider for Recovery of Lost Revenue Adjustment Mechanism (LRAM) (pre-2011 CDM Activities) (2013) - effective until April 30, 2015</v>
          </cell>
        </row>
        <row r="144">
          <cell r="I144" t="str">
            <v>Rate Rider for Recovery of Lost Revenue Adjustment Mechanism (LRAM)/Shared Savings</v>
          </cell>
        </row>
        <row r="145">
          <cell r="I145" t="str">
            <v>Rate Rider for Recovery of Lost Revenue Adjustment Mechanism (LRAM)/Shared Savings Mechanism (SSM) - effective until December 31, 2014 and applicable in the service area excluding the former service area of Clinton Power</v>
          </cell>
        </row>
        <row r="146">
          <cell r="I146" t="str">
            <v>Rate Rider for Recovery of Lost Revenue Adjustment Mechanism (LRAM)/Shared Savings Mechanism (SSM) - effective until December 31, 2014 and applicable in the service area excluding the former service areas of Clinton Power and West Perth Power</v>
          </cell>
        </row>
        <row r="147">
          <cell r="I147" t="str">
            <v>Rate Rider for Recovery of Lost Revenue Adjustment Mechanism (LRAM)/Shared Savings Mechanism (SSM) - effective until December 31, 2014 and applicable only in the former service area of Clinton Power</v>
          </cell>
        </row>
        <row r="148">
          <cell r="I148" t="str">
            <v>Rate Rider for Recovery of Lost Revenue Adjustment Mechanism (LRAM)/Shared Savings Mechanism (SSM) - effective until December 31, 2014 and applicable only in the former service area of West Perth Power</v>
          </cell>
        </row>
        <row r="149">
          <cell r="I149" t="str">
            <v>Rate Rider for Recovery of Lost Revenue Adjustment Mechanism (LRAM)/Shared Savings Mechanism (SSM) - effective until March 31, 2016</v>
          </cell>
        </row>
        <row r="150">
          <cell r="I150" t="str">
            <v>Rate Rider for Recovery of Lost Revenue Adjustment Mechanism (LRAM)/Shared Savings Mechanism (SSM) (2012) - effective until August 31, 2014</v>
          </cell>
        </row>
        <row r="151">
          <cell r="I151" t="str">
            <v>Rate Rider for Recovery of Lost Revenue Adjustment Mechanism (LRAM)/Shared Savings Mechanism (SSM) Recovery - effective until April 30, 2015</v>
          </cell>
        </row>
        <row r="152">
          <cell r="I152" t="str">
            <v>Rate Rider for Recovery of Lost Revenue Adjustment Mechanism Variance Account (LRAMVA) (2014) - effective until April 30, 2015</v>
          </cell>
        </row>
        <row r="153">
          <cell r="I153" t="str">
            <v>Rate Rider for Recovery of Residual Historical Smart Meter Costs - effective July 1, 2012 - April 30, 2016</v>
          </cell>
        </row>
        <row r="154">
          <cell r="I154" t="str">
            <v>Rate Rider for Recovery of Smart Meter Incremental Revenue Requirement - effective until the date of the next cost of service-based rate order</v>
          </cell>
        </row>
        <row r="155">
          <cell r="I155" t="str">
            <v>Rate Rider for Recovery of Smart Meter Incremental Revenue Requirement - effective until the effective date of the next cost of service-based rate order, or October 31, 2017, whichever occurs earlier</v>
          </cell>
        </row>
        <row r="156">
          <cell r="I156" t="str">
            <v>Rate Rider for Recovery of Smart Meter Incremental Revenue Requirement - in effect until the effective date of the next cost of service-based rate order</v>
          </cell>
        </row>
        <row r="157">
          <cell r="I157" t="str">
            <v>Rate Rider for Recovery of Smart Meter Incremental Revenue Requirement - Non-Interval Metered - in effect until the effective date of the next cost of service-based rate order</v>
          </cell>
        </row>
        <row r="158">
          <cell r="I158" t="str">
            <v>Rate Rider for Recovery of Smart Meter Incremental Revenue Requirements - in effect until the effective date of the next cost of service application</v>
          </cell>
        </row>
        <row r="159">
          <cell r="I159" t="str">
            <v>Rate Rider for Recovery of Smart Meter Stranded Assets - effective until April 30, 2016</v>
          </cell>
        </row>
        <row r="160">
          <cell r="I160" t="str">
            <v>Rate Rider for Recovery of Storm Damage Costs - effective until August 31, 2017</v>
          </cell>
        </row>
        <row r="161">
          <cell r="I161" t="str">
            <v>Rate Rider for Recovery of Stranded Assets - effective until April 30, 2016</v>
          </cell>
        </row>
        <row r="162">
          <cell r="I162" t="str">
            <v>Rate Rider for Recovery of Stranded Meter Assets - effective July 1, 2012 - April 30, 2016</v>
          </cell>
        </row>
        <row r="163">
          <cell r="I163" t="str">
            <v>Rate Rider for Recovery of Stranded Meter Assets – effective until April 30, 2015</v>
          </cell>
        </row>
        <row r="164">
          <cell r="I164" t="str">
            <v>Rate Rider for Recovery of Stranded Meter Assets - effective until April 30, 2016</v>
          </cell>
        </row>
        <row r="165">
          <cell r="I165" t="str">
            <v>Rate Rider for Recovery of Stranded Meter Assets - effective until April 30, 2017</v>
          </cell>
        </row>
        <row r="166">
          <cell r="I166" t="str">
            <v>Rate Rider for Recovery of Stranded Meter Assets - effective until August 31, 2015</v>
          </cell>
        </row>
        <row r="167">
          <cell r="I167" t="str">
            <v>Rate Rider for Recovery of Stranded Meter Assets - effective until August 31, 2017</v>
          </cell>
        </row>
        <row r="168">
          <cell r="I168" t="str">
            <v>Rate Rider for Recovery of Stranded Meter Assets - effective until December 31, 2014</v>
          </cell>
        </row>
        <row r="169">
          <cell r="I169" t="str">
            <v>Rate Rider for Recovery of Stranded Meter Assets - effective until December 31, 2015</v>
          </cell>
        </row>
        <row r="170">
          <cell r="I170" t="str">
            <v>Rate Rider for Recovery of Stranded Meter Assets - effective until June 30, 2016</v>
          </cell>
        </row>
        <row r="171">
          <cell r="I171" t="str">
            <v>Rate Rider for Recovery of Stranded Meter Assets - effective until March 31, 2016</v>
          </cell>
        </row>
        <row r="172">
          <cell r="I172" t="str">
            <v>Rate Rider for Recovery of Stranded Meter Assets - effective until May 31, 2014</v>
          </cell>
        </row>
        <row r="173">
          <cell r="I173" t="str">
            <v>Rate Rider for Reversal of Deferral/Variance Account Disposition (2011) - effective until April 30, 2015</v>
          </cell>
        </row>
        <row r="174">
          <cell r="I174" t="str">
            <v>Rate Rider for Smart Meter Disposition - effective until April 30, 2016</v>
          </cell>
        </row>
        <row r="175">
          <cell r="I175" t="str">
            <v>Rate Rider for Smart Meter Incremental Revenue Requirement - in effect until the effective date of the next cost of service-based rate order</v>
          </cell>
        </row>
        <row r="176">
          <cell r="I176" t="str">
            <v>Rate Rider for Smart Metering Entity Charge - effective until October 31, 2018</v>
          </cell>
        </row>
        <row r="177">
          <cell r="I177" t="str">
            <v>Rate Rider for Stranded Meter Cost Recovery - effective until April 30, 2017</v>
          </cell>
        </row>
        <row r="178">
          <cell r="I178" t="str">
            <v>Rate Rider for Tax Change</v>
          </cell>
        </row>
        <row r="179">
          <cell r="I179" t="str">
            <v>Rate Rider for Tax Change - effective until April 30, 2015</v>
          </cell>
        </row>
        <row r="180">
          <cell r="I180" t="str">
            <v>Rate Rider for Tax Change (2014) - effective until April 30, 2015</v>
          </cell>
        </row>
        <row r="181">
          <cell r="I181" t="str">
            <v>Retail Transmission Rate - Line and Transformation Connection Service Rate</v>
          </cell>
        </row>
        <row r="182">
          <cell r="I182" t="str">
            <v>Retail Transmission Rate - Line and Transformation Connection Service Rate - (less than 1,000 kW)</v>
          </cell>
        </row>
        <row r="183">
          <cell r="I183" t="str">
            <v>Retail Transmission Rate - Line and Transformation Connection Service Rate - Interval Metered</v>
          </cell>
        </row>
        <row r="184">
          <cell r="I184" t="str">
            <v>Retail Transmission Rate - Line and Transformation Connection Service Rate - Interval Metered (1,000 to 4,999 kW)</v>
          </cell>
        </row>
        <row r="185">
          <cell r="I185" t="str">
            <v>Retail Transmission Rate - Line and Transformation Connection Service Rate - Interval Metered (less than 1,000 kW)</v>
          </cell>
        </row>
        <row r="186">
          <cell r="I186" t="str">
            <v>Retail Transmission Rate - Line and Transformation Connection Service Rate - Interval Metered &lt; 1,000 kW</v>
          </cell>
        </row>
        <row r="187">
          <cell r="I187" t="str">
            <v>Retail Transmission Rate - Line and Transformation Connection Service Rate - Interval Metered &gt; 1,000 kW</v>
          </cell>
        </row>
        <row r="188">
          <cell r="I188" t="str">
            <v>Retail Transmission Rate - Line and Transformation Connection Service Rate FOR ALL SERVICE AREAS EXCEPT HENSALL</v>
          </cell>
        </row>
        <row r="189">
          <cell r="I189" t="str">
            <v>Retail Transmission Rate - Line Connection Service Rate</v>
          </cell>
        </row>
        <row r="190">
          <cell r="I190" t="str">
            <v>Retail Transmission Rate - Network Service Rate</v>
          </cell>
        </row>
        <row r="191">
          <cell r="I191" t="str">
            <v>Retail Transmission Rate - Network Service Rate - (less than 1,000 kW)</v>
          </cell>
        </row>
        <row r="192">
          <cell r="I192" t="str">
            <v>Retail Transmission Rate - Network Service Rate - Interval Metered</v>
          </cell>
        </row>
        <row r="193">
          <cell r="I193" t="str">
            <v>Retail Transmission Rate - Network Service Rate - Interval Metered (1,000 to 4,999 kW)</v>
          </cell>
        </row>
        <row r="194">
          <cell r="I194" t="str">
            <v>Retail Transmission Rate - Network Service Rate - Interval Metered (less than 1,000 kW)</v>
          </cell>
        </row>
        <row r="195">
          <cell r="I195" t="str">
            <v>Retail Transmission Rate - Network Service Rate - Interval Metered &gt; 1,000 kW</v>
          </cell>
        </row>
        <row r="196">
          <cell r="I196" t="str">
            <v>Retail Transmission Rate - Transformation Connection Service Rate</v>
          </cell>
        </row>
        <row r="197">
          <cell r="I197" t="str">
            <v>Rider for Global Adjustment Sub-Account Disposition (2012) - effective until April 30, 2016 Applicable only for Non-RPP Customers</v>
          </cell>
        </row>
        <row r="198">
          <cell r="I198" t="str">
            <v>Rural or Remote Electricity Rate Protection Charge (RRRP)</v>
          </cell>
        </row>
        <row r="199">
          <cell r="I199" t="str">
            <v>Sentinel lights (dusk-to-dawn) connected to unmetered wires will have a flat rate monthly energy charge added to the regular customer bill. Further servicing details are available in the distributor’s Conditions of Service.</v>
          </cell>
        </row>
        <row r="200">
          <cell r="I200" t="str">
            <v>Service Charge</v>
          </cell>
        </row>
        <row r="201">
          <cell r="I201" t="str">
            <v>Service Charge (per connection)</v>
          </cell>
        </row>
        <row r="202">
          <cell r="I202" t="str">
            <v>Service Charge (per customer)</v>
          </cell>
        </row>
        <row r="203">
          <cell r="I203" t="str">
            <v>Service Charge (per light)</v>
          </cell>
        </row>
        <row r="204">
          <cell r="I204" t="str">
            <v>Smart Grid Funding Adder (2014) - in effect until December 31, 2014</v>
          </cell>
        </row>
        <row r="205">
          <cell r="I205" t="str">
            <v>Smart Meter Disposition Rider</v>
          </cell>
        </row>
        <row r="206">
          <cell r="I206" t="str">
            <v>Smart Meter Entity Charge</v>
          </cell>
        </row>
        <row r="207">
          <cell r="I207" t="str">
            <v>Smart Meter Incremental Revenue Requirement Rate Rider</v>
          </cell>
        </row>
        <row r="208">
          <cell r="I208" t="str">
            <v>Standard Supply Service - Administrative Charge (if applicable)</v>
          </cell>
        </row>
        <row r="209">
          <cell r="I209" t="str">
            <v>Standby Charge - for a month where standby power is not provided, the charge is based on the applicable General Service 50 to 4,999 kW or Large Use Distribution Volumetric Charge applied to the contracted amount (e.g. Nameplate rating of generating facility).</v>
          </cell>
        </row>
        <row r="210">
          <cell r="I210" t="str">
            <v>Standby Charge - for a month where standby power is not provided. The charge is applied to the amount of reserved load transfer capacity contracted or the amount of monthly peak load displaced by a generating facility</v>
          </cell>
        </row>
        <row r="211">
          <cell r="I211" t="str">
            <v>Standby Charge - for a month where standby power is not provided. The charge is applied to the contracted amount (e.g. nameplate rating of the generation facility).</v>
          </cell>
        </row>
        <row r="212">
          <cell r="I212" t="str">
            <v>Wholesale Market Service Rate</v>
          </cell>
        </row>
      </sheetData>
      <sheetData sheetId="9"/>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dex"/>
      <sheetName val="LOBs"/>
      <sheetName val="Financials"/>
      <sheetName val="Loads"/>
      <sheetName val="Classify"/>
      <sheetName val="Allocate"/>
      <sheetName val="F&amp;C"/>
      <sheetName val="Summary"/>
      <sheetName val="Macros"/>
      <sheetName val="Module1"/>
    </sheetNames>
    <sheetDataSet>
      <sheetData sheetId="0"/>
      <sheetData sheetId="1"/>
      <sheetData sheetId="2" refreshError="1">
        <row r="1">
          <cell r="A1" t="str">
            <v>LDC Name</v>
          </cell>
        </row>
        <row r="76">
          <cell r="E76">
            <v>36161</v>
          </cell>
        </row>
      </sheetData>
      <sheetData sheetId="3"/>
      <sheetData sheetId="4"/>
      <sheetData sheetId="5"/>
      <sheetData sheetId="6"/>
      <sheetData sheetId="7"/>
      <sheetData sheetId="8" refreshError="1"/>
      <sheetData sheetId="9"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1. Information Sheet"/>
      <sheetName val="2. Table of Contents"/>
      <sheetName val="3. Rate Class Selection"/>
      <sheetName val="4. Current Tariff Schedule"/>
      <sheetName val="4. Hidden"/>
      <sheetName val="5. 2013 Continuity Schedule"/>
      <sheetName val="6. Billing Det. for Def-Var"/>
      <sheetName val="6. hidden"/>
      <sheetName val="7. Allocating Def-Var Balances"/>
      <sheetName val="8. Calculation of Def-Var RR"/>
      <sheetName val="9. Rev2Cost_GDPIPI"/>
      <sheetName val="9. hidden"/>
      <sheetName val="10. Other Charges &amp; LF"/>
      <sheetName val="11. Proposed Rates"/>
      <sheetName val="12. Summary Sheet"/>
      <sheetName val="13. Final Tariff Schedule"/>
      <sheetName val="14. Bill Impacts"/>
      <sheetName val="list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row r="1">
          <cell r="AM1" t="str">
            <v>Algoma Power Inc.</v>
          </cell>
        </row>
        <row r="2">
          <cell r="AM2" t="str">
            <v>Atikokan Hydro Inc.</v>
          </cell>
        </row>
        <row r="3">
          <cell r="AM3" t="str">
            <v>Attawapiskat Power Corporation</v>
          </cell>
        </row>
        <row r="4">
          <cell r="AM4" t="str">
            <v>Bluewater Power Distribution Corp.</v>
          </cell>
        </row>
        <row r="5">
          <cell r="AM5" t="str">
            <v>Brant County Power</v>
          </cell>
        </row>
        <row r="6">
          <cell r="AM6" t="str">
            <v>Brantford Power Inc.</v>
          </cell>
        </row>
        <row r="7">
          <cell r="AM7" t="str">
            <v>Burlington Hydro Inc.</v>
          </cell>
        </row>
        <row r="8">
          <cell r="AM8" t="str">
            <v>Cambridge and North Dumfries Hydro</v>
          </cell>
        </row>
        <row r="9">
          <cell r="AM9" t="str">
            <v>Canadian Niagara Power Inc. – Eastern Ontario Power/Fort Erie/Port Colborne</v>
          </cell>
        </row>
        <row r="10">
          <cell r="AM10" t="str">
            <v>Centre Wellington Hydro Ltd.</v>
          </cell>
        </row>
        <row r="11">
          <cell r="AM11" t="str">
            <v>Chapleau Public Utilities Corporation</v>
          </cell>
        </row>
        <row r="12">
          <cell r="AM12" t="str">
            <v>COLLUS Power Corp.</v>
          </cell>
        </row>
        <row r="13">
          <cell r="AM13" t="str">
            <v>Cooperative Hydro Embrun Inc.</v>
          </cell>
        </row>
        <row r="14">
          <cell r="AM14" t="str">
            <v>E.L.K. Energy Inc.</v>
          </cell>
        </row>
        <row r="15">
          <cell r="AM15" t="str">
            <v>Enersource Hydro Mississauga Inc.</v>
          </cell>
        </row>
        <row r="16">
          <cell r="AM16" t="str">
            <v>Entegrus Powerlines Inc.</v>
          </cell>
        </row>
        <row r="17">
          <cell r="AM17" t="str">
            <v>ENWIN Utilities Ltd.</v>
          </cell>
        </row>
        <row r="18">
          <cell r="AM18" t="str">
            <v>Erie Thames Powerlines Corp.</v>
          </cell>
        </row>
        <row r="19">
          <cell r="AM19" t="str">
            <v>Espanola Regional Hydro Distribution Corporation</v>
          </cell>
        </row>
        <row r="20">
          <cell r="AM20" t="str">
            <v>Essex Powerlines Corporation</v>
          </cell>
        </row>
        <row r="21">
          <cell r="AM21" t="str">
            <v>Festival Hydro Inc.</v>
          </cell>
        </row>
        <row r="22">
          <cell r="AM22" t="str">
            <v>Fort Albany Power Corporation</v>
          </cell>
        </row>
        <row r="23">
          <cell r="AM23" t="str">
            <v>Fort Frances Power Corporation</v>
          </cell>
        </row>
        <row r="24">
          <cell r="AM24" t="str">
            <v>Greater Sudbury Hydro Inc.</v>
          </cell>
        </row>
        <row r="25">
          <cell r="AM25" t="str">
            <v>Grimsby Power Inc.</v>
          </cell>
        </row>
        <row r="26">
          <cell r="AM26" t="str">
            <v>Guelph Hydro Electric Systems Inc.</v>
          </cell>
        </row>
        <row r="27">
          <cell r="AM27" t="str">
            <v>Haldimand County Hydro Inc.</v>
          </cell>
        </row>
        <row r="28">
          <cell r="AM28" t="str">
            <v>Halton Hills Hydro Inc.</v>
          </cell>
        </row>
        <row r="29">
          <cell r="AM29" t="str">
            <v>Hearst Power Distribution Co. Ltd.</v>
          </cell>
        </row>
        <row r="30">
          <cell r="AM30" t="str">
            <v>Horizon Utilities Corporation</v>
          </cell>
        </row>
        <row r="31">
          <cell r="AM31" t="str">
            <v>Hydro 2000 Inc.</v>
          </cell>
        </row>
        <row r="32">
          <cell r="AM32" t="str">
            <v>Hydro Hawkesbury Inc.</v>
          </cell>
        </row>
        <row r="33">
          <cell r="AM33" t="str">
            <v>Hydro One Brampton Networks Inc.</v>
          </cell>
        </row>
        <row r="34">
          <cell r="AM34" t="str">
            <v>Hydro One Networks Inc.</v>
          </cell>
        </row>
        <row r="35">
          <cell r="AM35" t="str">
            <v>Hydro One Remote Communities Inc.</v>
          </cell>
        </row>
        <row r="36">
          <cell r="AM36" t="str">
            <v>Hydro Ottawa Limited</v>
          </cell>
        </row>
        <row r="37">
          <cell r="AM37" t="str">
            <v>Innisfil Hydro Dist. Systems Limited</v>
          </cell>
        </row>
        <row r="38">
          <cell r="AM38" t="str">
            <v>Kashechewan Power Corporation</v>
          </cell>
        </row>
        <row r="39">
          <cell r="AM39" t="str">
            <v>Kenora Hydro Electric Corporation Ltd.</v>
          </cell>
        </row>
        <row r="40">
          <cell r="AM40" t="str">
            <v>Kingston Hydro Corporation</v>
          </cell>
        </row>
        <row r="41">
          <cell r="AM41" t="str">
            <v>Kitchener-Wilmot Hydro Inc.</v>
          </cell>
        </row>
        <row r="42">
          <cell r="AM42" t="str">
            <v>Lakefront Utilities Inc.</v>
          </cell>
        </row>
        <row r="43">
          <cell r="AM43" t="str">
            <v>Lakeland Power Distribution Ltd.</v>
          </cell>
        </row>
        <row r="44">
          <cell r="AM44" t="str">
            <v>London Hydro Inc.</v>
          </cell>
        </row>
        <row r="45">
          <cell r="AM45" t="str">
            <v>Midland Power Utility Corporation</v>
          </cell>
        </row>
        <row r="46">
          <cell r="AM46" t="str">
            <v>Milton Hydro Distribution Inc.</v>
          </cell>
        </row>
        <row r="47">
          <cell r="AM47" t="str">
            <v>Newmarket – Tay Power Distribution Ltd.</v>
          </cell>
        </row>
        <row r="48">
          <cell r="AM48" t="str">
            <v>Niagara Peninsula Energy Inc.</v>
          </cell>
        </row>
        <row r="49">
          <cell r="AM49" t="str">
            <v>Niagara-on-the-Lake Hydro Inc.</v>
          </cell>
        </row>
        <row r="50">
          <cell r="AM50" t="str">
            <v>Norfolk Power Distribution Ltd.</v>
          </cell>
        </row>
        <row r="51">
          <cell r="AM51" t="str">
            <v>North Bay Hydro Distribution Limited</v>
          </cell>
        </row>
        <row r="52">
          <cell r="AM52" t="str">
            <v>Northern Ontario Wires Inc.</v>
          </cell>
        </row>
        <row r="53">
          <cell r="AM53" t="str">
            <v>Oakville Hydro Distribution Inc.</v>
          </cell>
        </row>
        <row r="54">
          <cell r="AM54" t="str">
            <v>Orangeville Hydro Limited</v>
          </cell>
        </row>
        <row r="55">
          <cell r="AM55" t="str">
            <v>Orillia Power Distribution Corp.</v>
          </cell>
        </row>
        <row r="56">
          <cell r="AM56" t="str">
            <v>Oshawa PUC Networks Inc.</v>
          </cell>
        </row>
        <row r="57">
          <cell r="AM57" t="str">
            <v>Ottawa River Power Corporation</v>
          </cell>
        </row>
        <row r="58">
          <cell r="AM58" t="str">
            <v>Parry Sound Power Corporation</v>
          </cell>
        </row>
        <row r="59">
          <cell r="AM59" t="str">
            <v>Peterborough Distribution Inc.</v>
          </cell>
        </row>
        <row r="60">
          <cell r="AM60" t="str">
            <v>PowerStream Inc.</v>
          </cell>
        </row>
        <row r="61">
          <cell r="AM61" t="str">
            <v>PUC Distribution Inc.</v>
          </cell>
        </row>
        <row r="62">
          <cell r="AM62" t="str">
            <v>Renfrew Hydro Inc.</v>
          </cell>
        </row>
        <row r="63">
          <cell r="AM63" t="str">
            <v>Rideau St. Lawrence Distribution Inc.</v>
          </cell>
        </row>
        <row r="64">
          <cell r="AM64" t="str">
            <v>St. Thomas Energy Inc.</v>
          </cell>
        </row>
        <row r="65">
          <cell r="AM65" t="str">
            <v>Sioux Lookout Hydro Inc.</v>
          </cell>
        </row>
        <row r="66">
          <cell r="AM66" t="str">
            <v>Thunder Bay Hydro Electricity Distribution</v>
          </cell>
        </row>
        <row r="67">
          <cell r="AM67" t="str">
            <v>Tillsonburg Hydro Inc.</v>
          </cell>
        </row>
        <row r="68">
          <cell r="AM68" t="str">
            <v>Toronto Hydro-Electric System Limited</v>
          </cell>
        </row>
        <row r="69">
          <cell r="AM69" t="str">
            <v>Veridian Connections Inc.</v>
          </cell>
        </row>
        <row r="70">
          <cell r="AM70" t="str">
            <v>Wasaga Distribution Inc.</v>
          </cell>
        </row>
        <row r="71">
          <cell r="AM71" t="str">
            <v>Waterloo North Hydro Inc.</v>
          </cell>
        </row>
        <row r="72">
          <cell r="AM72" t="str">
            <v>Welland Hydro Electric System Corp.</v>
          </cell>
        </row>
        <row r="73">
          <cell r="AM73" t="str">
            <v>Wellington North Power Inc.</v>
          </cell>
        </row>
        <row r="74">
          <cell r="AM74" t="str">
            <v>West Coast Huron Energy Inc.</v>
          </cell>
        </row>
        <row r="75">
          <cell r="AM75" t="str">
            <v>Westario Power Inc.</v>
          </cell>
        </row>
        <row r="76">
          <cell r="AM76" t="str">
            <v>Whitby Hydro Electric Corporation</v>
          </cell>
        </row>
        <row r="77">
          <cell r="AM77" t="str">
            <v>Woodstock Hydro Services Inc.</v>
          </cell>
        </row>
      </sheetData>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1. Information Sheet"/>
      <sheetName val="2. Table of Contents"/>
      <sheetName val="3. Rate Class Selection"/>
      <sheetName val="4. Current Tariff Schedule"/>
      <sheetName val="4. Hidden"/>
      <sheetName val="5. 2013 Continuity Schedule"/>
      <sheetName val="6. Billing Det. for Def-Var"/>
      <sheetName val="6. hidden"/>
      <sheetName val="7. Allocating Def-Var Balances"/>
      <sheetName val="8. Calculation of Def-Var RR"/>
      <sheetName val="9. Rev2Cost_GDPIPI"/>
      <sheetName val="9. hidden"/>
      <sheetName val="10. Other Charges &amp; LF"/>
      <sheetName val="11. Proposed Rates"/>
      <sheetName val="12. Summary Sheet"/>
      <sheetName val="13. Final Tariff Schedule"/>
      <sheetName val="14. Bill Impacts"/>
      <sheetName val="list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row r="1">
          <cell r="AM1" t="str">
            <v>Algoma Power Inc.</v>
          </cell>
        </row>
        <row r="2">
          <cell r="AM2" t="str">
            <v>Atikokan Hydro Inc.</v>
          </cell>
        </row>
        <row r="3">
          <cell r="AM3" t="str">
            <v>Attawapiskat Power Corporation</v>
          </cell>
        </row>
        <row r="4">
          <cell r="AM4" t="str">
            <v>Bluewater Power Distribution Corp.</v>
          </cell>
        </row>
        <row r="5">
          <cell r="AM5" t="str">
            <v>Brant County Power</v>
          </cell>
        </row>
        <row r="6">
          <cell r="AM6" t="str">
            <v>Brantford Power Inc.</v>
          </cell>
        </row>
        <row r="7">
          <cell r="AM7" t="str">
            <v>Burlington Hydro Inc.</v>
          </cell>
        </row>
        <row r="8">
          <cell r="AM8" t="str">
            <v>Cambridge and North Dumfries Hydro</v>
          </cell>
        </row>
        <row r="9">
          <cell r="AM9" t="str">
            <v>Canadian Niagara Power Inc. – Eastern Ontario Power/Fort Erie/Port Colborne</v>
          </cell>
        </row>
        <row r="10">
          <cell r="AM10" t="str">
            <v>Centre Wellington Hydro Ltd.</v>
          </cell>
        </row>
        <row r="11">
          <cell r="AM11" t="str">
            <v>Chapleau Public Utilities Corporation</v>
          </cell>
        </row>
        <row r="12">
          <cell r="AM12" t="str">
            <v>COLLUS Power Corp.</v>
          </cell>
        </row>
        <row r="13">
          <cell r="AM13" t="str">
            <v>Cooperative Hydro Embrun Inc.</v>
          </cell>
        </row>
        <row r="14">
          <cell r="AM14" t="str">
            <v>E.L.K. Energy Inc.</v>
          </cell>
        </row>
        <row r="15">
          <cell r="AM15" t="str">
            <v>Enersource Hydro Mississauga Inc.</v>
          </cell>
        </row>
        <row r="16">
          <cell r="AM16" t="str">
            <v>Entegrus Powerlines Inc.</v>
          </cell>
        </row>
        <row r="17">
          <cell r="AM17" t="str">
            <v>ENWIN Utilities Ltd.</v>
          </cell>
        </row>
        <row r="18">
          <cell r="AM18" t="str">
            <v>Erie Thames Powerlines Corp.</v>
          </cell>
        </row>
        <row r="19">
          <cell r="AM19" t="str">
            <v>Espanola Regional Hydro Distribution Corporation</v>
          </cell>
        </row>
        <row r="20">
          <cell r="AM20" t="str">
            <v>Essex Powerlines Corporation</v>
          </cell>
        </row>
        <row r="21">
          <cell r="AM21" t="str">
            <v>Festival Hydro Inc.</v>
          </cell>
        </row>
        <row r="22">
          <cell r="AM22" t="str">
            <v>Fort Albany Power Corporation</v>
          </cell>
        </row>
        <row r="23">
          <cell r="AM23" t="str">
            <v>Fort Frances Power Corporation</v>
          </cell>
        </row>
        <row r="24">
          <cell r="AM24" t="str">
            <v>Greater Sudbury Hydro Inc.</v>
          </cell>
        </row>
        <row r="25">
          <cell r="AM25" t="str">
            <v>Grimsby Power Inc.</v>
          </cell>
        </row>
        <row r="26">
          <cell r="AM26" t="str">
            <v>Guelph Hydro Electric Systems Inc.</v>
          </cell>
        </row>
        <row r="27">
          <cell r="AM27" t="str">
            <v>Haldimand County Hydro Inc.</v>
          </cell>
        </row>
        <row r="28">
          <cell r="AM28" t="str">
            <v>Halton Hills Hydro Inc.</v>
          </cell>
        </row>
        <row r="29">
          <cell r="AM29" t="str">
            <v>Hearst Power Distribution Co. Ltd.</v>
          </cell>
        </row>
        <row r="30">
          <cell r="AM30" t="str">
            <v>Horizon Utilities Corporation</v>
          </cell>
        </row>
        <row r="31">
          <cell r="AM31" t="str">
            <v>Hydro 2000 Inc.</v>
          </cell>
        </row>
        <row r="32">
          <cell r="AM32" t="str">
            <v>Hydro Hawkesbury Inc.</v>
          </cell>
        </row>
        <row r="33">
          <cell r="AM33" t="str">
            <v>Hydro One Brampton Networks Inc.</v>
          </cell>
        </row>
        <row r="34">
          <cell r="AM34" t="str">
            <v>Hydro One Networks Inc.</v>
          </cell>
        </row>
        <row r="35">
          <cell r="AM35" t="str">
            <v>Hydro One Remote Communities Inc.</v>
          </cell>
        </row>
        <row r="36">
          <cell r="AM36" t="str">
            <v>Hydro Ottawa Limited</v>
          </cell>
        </row>
        <row r="37">
          <cell r="AM37" t="str">
            <v>Innisfil Hydro Dist. Systems Limited</v>
          </cell>
        </row>
        <row r="38">
          <cell r="AM38" t="str">
            <v>Kashechewan Power Corporation</v>
          </cell>
        </row>
        <row r="39">
          <cell r="AM39" t="str">
            <v>Kenora Hydro Electric Corporation Ltd.</v>
          </cell>
        </row>
        <row r="40">
          <cell r="AM40" t="str">
            <v>Kingston Hydro Corporation</v>
          </cell>
        </row>
        <row r="41">
          <cell r="AM41" t="str">
            <v>Kitchener-Wilmot Hydro Inc.</v>
          </cell>
        </row>
        <row r="42">
          <cell r="AM42" t="str">
            <v>Lakefront Utilities Inc.</v>
          </cell>
        </row>
        <row r="43">
          <cell r="AM43" t="str">
            <v>Lakeland Power Distribution Ltd.</v>
          </cell>
        </row>
        <row r="44">
          <cell r="AM44" t="str">
            <v>London Hydro Inc.</v>
          </cell>
        </row>
        <row r="45">
          <cell r="AM45" t="str">
            <v>Midland Power Utility Corporation</v>
          </cell>
        </row>
        <row r="46">
          <cell r="AM46" t="str">
            <v>Milton Hydro Distribution Inc.</v>
          </cell>
        </row>
        <row r="47">
          <cell r="AM47" t="str">
            <v>Newmarket – Tay Power Distribution Ltd.</v>
          </cell>
        </row>
        <row r="48">
          <cell r="AM48" t="str">
            <v>Niagara Peninsula Energy Inc.</v>
          </cell>
        </row>
        <row r="49">
          <cell r="AM49" t="str">
            <v>Niagara-on-the-Lake Hydro Inc.</v>
          </cell>
        </row>
        <row r="50">
          <cell r="AM50" t="str">
            <v>Norfolk Power Distribution Ltd.</v>
          </cell>
        </row>
        <row r="51">
          <cell r="AM51" t="str">
            <v>North Bay Hydro Distribution Limited</v>
          </cell>
        </row>
        <row r="52">
          <cell r="AM52" t="str">
            <v>Northern Ontario Wires Inc.</v>
          </cell>
        </row>
        <row r="53">
          <cell r="AM53" t="str">
            <v>Oakville Hydro Distribution Inc.</v>
          </cell>
        </row>
        <row r="54">
          <cell r="AM54" t="str">
            <v>Orangeville Hydro Limited</v>
          </cell>
        </row>
        <row r="55">
          <cell r="AM55" t="str">
            <v>Orillia Power Distribution Corp.</v>
          </cell>
        </row>
        <row r="56">
          <cell r="AM56" t="str">
            <v>Oshawa PUC Networks Inc.</v>
          </cell>
        </row>
        <row r="57">
          <cell r="AM57" t="str">
            <v>Ottawa River Power Corporation</v>
          </cell>
        </row>
        <row r="58">
          <cell r="AM58" t="str">
            <v>Parry Sound Power Corporation</v>
          </cell>
        </row>
        <row r="59">
          <cell r="AM59" t="str">
            <v>Peterborough Distribution Inc.</v>
          </cell>
        </row>
        <row r="60">
          <cell r="AM60" t="str">
            <v>PowerStream Inc.</v>
          </cell>
        </row>
        <row r="61">
          <cell r="AM61" t="str">
            <v>PUC Distribution Inc.</v>
          </cell>
        </row>
        <row r="62">
          <cell r="AM62" t="str">
            <v>Renfrew Hydro Inc.</v>
          </cell>
        </row>
        <row r="63">
          <cell r="AM63" t="str">
            <v>Rideau St. Lawrence Distribution Inc.</v>
          </cell>
        </row>
        <row r="64">
          <cell r="AM64" t="str">
            <v>St. Thomas Energy Inc.</v>
          </cell>
        </row>
        <row r="65">
          <cell r="AM65" t="str">
            <v>Sioux Lookout Hydro Inc.</v>
          </cell>
        </row>
        <row r="66">
          <cell r="AM66" t="str">
            <v>Thunder Bay Hydro Electricity Distribution</v>
          </cell>
        </row>
        <row r="67">
          <cell r="AM67" t="str">
            <v>Tillsonburg Hydro Inc.</v>
          </cell>
        </row>
        <row r="68">
          <cell r="AM68" t="str">
            <v>Toronto Hydro-Electric System Limited</v>
          </cell>
        </row>
        <row r="69">
          <cell r="AM69" t="str">
            <v>Veridian Connections Inc.</v>
          </cell>
        </row>
        <row r="70">
          <cell r="AM70" t="str">
            <v>Wasaga Distribution Inc.</v>
          </cell>
        </row>
        <row r="71">
          <cell r="AM71" t="str">
            <v>Waterloo North Hydro Inc.</v>
          </cell>
        </row>
        <row r="72">
          <cell r="AM72" t="str">
            <v>Welland Hydro Electric System Corp.</v>
          </cell>
        </row>
        <row r="73">
          <cell r="AM73" t="str">
            <v>Wellington North Power Inc.</v>
          </cell>
        </row>
        <row r="74">
          <cell r="AM74" t="str">
            <v>West Coast Huron Energy Inc.</v>
          </cell>
        </row>
        <row r="75">
          <cell r="AM75" t="str">
            <v>Westario Power Inc.</v>
          </cell>
        </row>
        <row r="76">
          <cell r="AM76" t="str">
            <v>Whitby Hydro Electric Corporation</v>
          </cell>
        </row>
        <row r="77">
          <cell r="AM77" t="str">
            <v>Woodstock Hydro Services Inc.</v>
          </cell>
        </row>
      </sheetData>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LDC Info"/>
      <sheetName val="Index"/>
      <sheetName val="App.2-A_Capital Projects"/>
      <sheetName val="App.2-B_Fixed Asset Continuity"/>
      <sheetName val="App.2-C_Other_Oper_Rev"/>
      <sheetName val="App.2-D_Detailed_OM&amp;A_Expenses"/>
      <sheetName val="App.2-E_OM&amp;A_Detailed_Analysis"/>
      <sheetName val="App.2-F_OM&amp;A_Summary_Analysis"/>
      <sheetName val="App.2-G_OM&amp;A_Cost _Drivers"/>
      <sheetName val="App.2-H_OM&amp;A_per_Cust_FTEE"/>
      <sheetName val="App.2-I Employee Costs"/>
      <sheetName val="App.2-J_Regulatory_Costs"/>
      <sheetName val="App.2-K_Corp_Cost_Allocation"/>
      <sheetName val="App.2-L_Depreciation Expense"/>
      <sheetName val="App.2-M Capital Structure"/>
      <sheetName val="App.2-N_Cost_Allocation"/>
      <sheetName val="App.2-O_Cost of Serv. Emb. Dx"/>
      <sheetName val="App.2-P_Loss Factors"/>
      <sheetName val="App.2-Q_Stranded Meters"/>
      <sheetName val="App.2-S_1592_Defer_PILs"/>
      <sheetName val="App.2-T_Rev_Reconciliation"/>
      <sheetName val="App.2-U Bill Impacts"/>
      <sheetName val="App.2-V_CoS_Flowchart"/>
    </sheetNames>
    <sheetDataSet>
      <sheetData sheetId="0">
        <row r="3">
          <cell r="AA3" t="str">
            <v>Algoma Power Inc.</v>
          </cell>
        </row>
        <row r="4">
          <cell r="AA4" t="str">
            <v>Atikokan Hydro Inc.</v>
          </cell>
        </row>
        <row r="5">
          <cell r="AA5" t="str">
            <v>Attawapiskat Power Corporation</v>
          </cell>
        </row>
        <row r="6">
          <cell r="AA6" t="str">
            <v>Bluewater Power Distribution Corp.</v>
          </cell>
        </row>
        <row r="7">
          <cell r="AA7" t="str">
            <v>Brant County Power</v>
          </cell>
        </row>
        <row r="8">
          <cell r="AA8" t="str">
            <v>Brantford Power Inc.</v>
          </cell>
        </row>
        <row r="9">
          <cell r="AA9" t="str">
            <v>Burlington Hydro Inc.</v>
          </cell>
        </row>
        <row r="10">
          <cell r="AA10" t="str">
            <v>Cambridge and North Dumfries Hydro</v>
          </cell>
        </row>
        <row r="11">
          <cell r="AA11" t="str">
            <v>Canadian Niagara Power Inc. – Eastern Ontario Power/Fort Erie/Port Colborne</v>
          </cell>
        </row>
        <row r="12">
          <cell r="AA12" t="str">
            <v>Centre Wellington Hydro Ltd.</v>
          </cell>
        </row>
        <row r="13">
          <cell r="AA13" t="str">
            <v>Chapleau Public Utilities Corporation</v>
          </cell>
        </row>
        <row r="14">
          <cell r="AA14" t="str">
            <v>COLLUS Power Corp.</v>
          </cell>
        </row>
        <row r="15">
          <cell r="AA15" t="str">
            <v>Cooperative Hydro Embrun Inc.</v>
          </cell>
        </row>
        <row r="16">
          <cell r="AA16" t="str">
            <v>E.L.K. Energy Inc.</v>
          </cell>
        </row>
        <row r="17">
          <cell r="AA17" t="str">
            <v>Enersource Hydro Mississauga Inc.</v>
          </cell>
        </row>
        <row r="18">
          <cell r="AA18" t="str">
            <v>Entegrus Powerlines Inc.</v>
          </cell>
        </row>
        <row r="19">
          <cell r="AA19" t="str">
            <v>ENWIN Utilities Ltd.</v>
          </cell>
        </row>
        <row r="20">
          <cell r="AA20" t="str">
            <v>Erie Thames Powerlines Corp.</v>
          </cell>
        </row>
        <row r="21">
          <cell r="AA21" t="str">
            <v>Espanola Regional Hydro Distribution Corporation</v>
          </cell>
        </row>
        <row r="22">
          <cell r="AA22" t="str">
            <v>Essex Powerlines Corporation</v>
          </cell>
        </row>
        <row r="23">
          <cell r="AA23" t="str">
            <v>Festival Hydro Inc.</v>
          </cell>
        </row>
        <row r="24">
          <cell r="AA24" t="str">
            <v>Fort Albany Power Corporation</v>
          </cell>
        </row>
        <row r="25">
          <cell r="AA25" t="str">
            <v>Fort Frances Power Corporation</v>
          </cell>
        </row>
        <row r="26">
          <cell r="AA26" t="str">
            <v>Greater Sudbury Hydro Inc.</v>
          </cell>
        </row>
        <row r="27">
          <cell r="AA27" t="str">
            <v>Grimsby Power Inc.</v>
          </cell>
        </row>
        <row r="28">
          <cell r="AA28" t="str">
            <v>Guelph Hydro Electric Systems Inc.</v>
          </cell>
        </row>
        <row r="29">
          <cell r="AA29" t="str">
            <v>Haldimand County Hydro Inc.</v>
          </cell>
        </row>
        <row r="30">
          <cell r="AA30" t="str">
            <v>Halton Hills Hydro Inc.</v>
          </cell>
        </row>
        <row r="31">
          <cell r="AA31" t="str">
            <v>Hearst Power Distribution Co. Ltd.</v>
          </cell>
        </row>
        <row r="32">
          <cell r="AA32" t="str">
            <v>Horizon Utilities Corporation</v>
          </cell>
        </row>
        <row r="33">
          <cell r="AA33" t="str">
            <v>Hydro 2000 Inc.</v>
          </cell>
        </row>
        <row r="34">
          <cell r="AA34" t="str">
            <v>Hydro Hawkesbury Inc.</v>
          </cell>
        </row>
        <row r="35">
          <cell r="AA35" t="str">
            <v>Hydro One Brampton Networks Inc.</v>
          </cell>
        </row>
        <row r="36">
          <cell r="AA36" t="str">
            <v>Hydro One Networks Inc.</v>
          </cell>
        </row>
        <row r="37">
          <cell r="AA37" t="str">
            <v>Hydro One Remote Communities Inc.</v>
          </cell>
        </row>
        <row r="38">
          <cell r="AA38" t="str">
            <v>Hydro Ottawa Limited</v>
          </cell>
        </row>
        <row r="39">
          <cell r="AA39" t="str">
            <v>Innisfil Hydro Dist. Systems Limited</v>
          </cell>
        </row>
        <row r="40">
          <cell r="AA40" t="str">
            <v>Kashechewan Power Corporation</v>
          </cell>
        </row>
        <row r="41">
          <cell r="AA41" t="str">
            <v>Kenora Hydro Electric Corporation Ltd.</v>
          </cell>
        </row>
        <row r="42">
          <cell r="AA42" t="str">
            <v>Kingston Hydro Corporation</v>
          </cell>
        </row>
        <row r="43">
          <cell r="AA43" t="str">
            <v>Kitchener-Wilmot Hydro Inc.</v>
          </cell>
        </row>
        <row r="44">
          <cell r="AA44" t="str">
            <v>Lakefront Utilities Inc.</v>
          </cell>
        </row>
        <row r="45">
          <cell r="AA45" t="str">
            <v>Lakeland Power Distribution Ltd.</v>
          </cell>
        </row>
        <row r="46">
          <cell r="AA46" t="str">
            <v>London Hydro Inc.</v>
          </cell>
        </row>
        <row r="47">
          <cell r="AA47" t="str">
            <v>Midland Power Utility Corporation</v>
          </cell>
        </row>
        <row r="48">
          <cell r="AA48" t="str">
            <v>Milton Hydro Distribution Inc.</v>
          </cell>
        </row>
        <row r="49">
          <cell r="AA49" t="str">
            <v>Newmarket – Tay Power Distribution Ltd.</v>
          </cell>
        </row>
        <row r="50">
          <cell r="AA50" t="str">
            <v>Niagara Peninsula Energy Inc.</v>
          </cell>
        </row>
        <row r="51">
          <cell r="AA51" t="str">
            <v>Niagara-on-the-Lake Hydro Inc.</v>
          </cell>
        </row>
        <row r="52">
          <cell r="AA52" t="str">
            <v>Norfolk Power Distribution Ltd.</v>
          </cell>
        </row>
        <row r="53">
          <cell r="AA53" t="str">
            <v>North Bay Hydro Distribution Limited</v>
          </cell>
        </row>
        <row r="54">
          <cell r="AA54" t="str">
            <v>Northern Ontario Wires Inc.</v>
          </cell>
        </row>
        <row r="55">
          <cell r="AA55" t="str">
            <v>Oakville Hydro Distribution Inc.</v>
          </cell>
        </row>
        <row r="56">
          <cell r="AA56" t="str">
            <v>Orangeville Hydro Limited</v>
          </cell>
        </row>
        <row r="57">
          <cell r="AA57" t="str">
            <v>Orillia Power Distribution Corp.</v>
          </cell>
        </row>
        <row r="58">
          <cell r="AA58" t="str">
            <v>Oshawa PUC Networks Inc.</v>
          </cell>
        </row>
        <row r="59">
          <cell r="AA59" t="str">
            <v>Ottawa River Power Corporation</v>
          </cell>
        </row>
        <row r="60">
          <cell r="AA60" t="str">
            <v>Parry Sound Power Corporation</v>
          </cell>
        </row>
        <row r="61">
          <cell r="AA61" t="str">
            <v>Peterborough Distribution Inc.</v>
          </cell>
        </row>
        <row r="62">
          <cell r="AA62" t="str">
            <v>PowerStream Inc.</v>
          </cell>
        </row>
        <row r="63">
          <cell r="AA63" t="str">
            <v>PUC Distribution Inc.</v>
          </cell>
        </row>
        <row r="64">
          <cell r="AA64" t="str">
            <v>Renfrew Hydro Inc.</v>
          </cell>
        </row>
        <row r="65">
          <cell r="AA65" t="str">
            <v>Rideau St. Lawrence Distribution Inc.</v>
          </cell>
        </row>
        <row r="66">
          <cell r="AA66" t="str">
            <v>St. Thomas Energy Inc.</v>
          </cell>
        </row>
        <row r="67">
          <cell r="AA67" t="str">
            <v>Sioux Lookout Hydro Inc.</v>
          </cell>
        </row>
        <row r="68">
          <cell r="AA68" t="str">
            <v>Thunder Bay Hydro Electricity Distribution</v>
          </cell>
        </row>
        <row r="69">
          <cell r="AA69" t="str">
            <v>Tillsonburg Hydro Inc.</v>
          </cell>
        </row>
        <row r="70">
          <cell r="AA70" t="str">
            <v>Toronto Hydro-Electric System Limited</v>
          </cell>
        </row>
        <row r="71">
          <cell r="AA71" t="str">
            <v>Veridian Connections Inc.</v>
          </cell>
        </row>
        <row r="72">
          <cell r="AA72" t="str">
            <v>Wasaga Distribution Inc.</v>
          </cell>
        </row>
        <row r="73">
          <cell r="AA73" t="str">
            <v>Waterloo North Hydro Inc.</v>
          </cell>
        </row>
        <row r="74">
          <cell r="AA74" t="str">
            <v>Welland Hydro Electric System Corp.</v>
          </cell>
        </row>
        <row r="75">
          <cell r="AA75" t="str">
            <v>Wellington North Power Inc.</v>
          </cell>
        </row>
        <row r="76">
          <cell r="AA76" t="str">
            <v>West Coast Huron Energy Inc.</v>
          </cell>
        </row>
        <row r="77">
          <cell r="AA77" t="str">
            <v>Westario Power Inc.</v>
          </cell>
        </row>
        <row r="78">
          <cell r="AA78" t="str">
            <v>Whitby Hydro Electric Corporation</v>
          </cell>
        </row>
        <row r="79">
          <cell r="AA79" t="str">
            <v>Woodstock Hydro Services Inc.</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1. Info"/>
      <sheetName val="2. Applicable Worksheets"/>
      <sheetName val="3. Rate Classes"/>
      <sheetName val="hidden1"/>
      <sheetName val="4. Most Recent Tariff"/>
    </sheetNames>
    <sheetDataSet>
      <sheetData sheetId="0"/>
      <sheetData sheetId="1" refreshError="1"/>
      <sheetData sheetId="2"/>
      <sheetData sheetId="3">
        <row r="1">
          <cell r="D1" t="str">
            <v>Applicable only for Non-RPP Customers</v>
          </cell>
        </row>
        <row r="2">
          <cell r="D2" t="str">
            <v>Deferral / Variance Account Rate Rider</v>
          </cell>
        </row>
        <row r="3">
          <cell r="D3" t="str">
            <v>Deferral / Variance Account Rate Rider (excl GA)</v>
          </cell>
        </row>
        <row r="4">
          <cell r="D4" t="str">
            <v>Deferral / Variance Account Rate Rider (GA) – if applicable</v>
          </cell>
        </row>
        <row r="5">
          <cell r="D5" t="str">
            <v>Distribution Volumetric Rate</v>
          </cell>
        </row>
        <row r="6">
          <cell r="D6" t="str">
            <v>Distribution Wheeling Service Rate</v>
          </cell>
        </row>
        <row r="7">
          <cell r="D7" t="str">
            <v>General Service 1,500 to 4,999 kW customer</v>
          </cell>
        </row>
        <row r="8">
          <cell r="D8" t="str">
            <v>General Service 50 to 1,499 kW customer</v>
          </cell>
        </row>
        <row r="9">
          <cell r="D9" t="str">
            <v>General Service Large Use customer</v>
          </cell>
        </row>
        <row r="10">
          <cell r="D10" t="str">
            <v>Green Energy Act Initiatives Funding Adder</v>
          </cell>
        </row>
        <row r="11">
          <cell r="D11" t="str">
            <v>Lost Revenue Adjustment Mechanism (LRAM) Recovery/Shared Savings Mechanism (SSM) Recovery Rate Rider – effective until April 30, 2012</v>
          </cell>
        </row>
        <row r="12">
          <cell r="D12" t="str">
            <v>Lost Revenue Adjustment Mechanism (LRAM) Recovery/Shared Savings Mechanism (SSM) Recovery Rate Rider (2011) – effective until April 30, 2014</v>
          </cell>
        </row>
        <row r="13">
          <cell r="D13" t="str">
            <v>Low Voltage Service Rate</v>
          </cell>
        </row>
        <row r="14">
          <cell r="D14" t="str">
            <v>Low Voltage Volumetric Rate</v>
          </cell>
        </row>
        <row r="15">
          <cell r="D15" t="str">
            <v>LRAM &amp; SSM Rate Rider</v>
          </cell>
        </row>
        <row r="16">
          <cell r="D16" t="str">
            <v>Minimum Distribution Charge – per KW of maximum billing demand in the previous 11 months</v>
          </cell>
        </row>
        <row r="17">
          <cell r="D17" t="str">
            <v>Monthly Distribution Wheeling Service Rate – Dedicated LV Line</v>
          </cell>
        </row>
        <row r="18">
          <cell r="D18" t="str">
            <v>Monthly Distribution Wheeling Service Rate – Hydro One Networks</v>
          </cell>
        </row>
        <row r="19">
          <cell r="D19" t="str">
            <v>Monthly Distribution Wheeling Service Rate – Shared LV Line</v>
          </cell>
        </row>
        <row r="20">
          <cell r="D20" t="str">
            <v>Monthly Distribution Wheeling Service Rate – Waterloo North Hydro</v>
          </cell>
        </row>
        <row r="21">
          <cell r="D21" t="str">
            <v>Rate Rider for Deferral/Variance Account Disposition – effective until April 30, 2014</v>
          </cell>
        </row>
        <row r="22">
          <cell r="D22" t="str">
            <v>Rate Rider for Deferral/Variance Account Disposition (2009) – effective until April 30, 2013</v>
          </cell>
        </row>
        <row r="23">
          <cell r="D23" t="str">
            <v>Rate Rider for Deferral/Variance Account Disposition (2010) – effective until April 30, 2012</v>
          </cell>
        </row>
        <row r="24">
          <cell r="D24" t="str">
            <v>Rate Rider for Deferral/Variance Account Disposition (2010) – effective until April 30, 2012 Applicable only for Wholesale Market Participants</v>
          </cell>
        </row>
        <row r="25">
          <cell r="D25" t="str">
            <v>Rate Rider for Deferral/Variance Account Disposition (2010) – effective until April 30, 2013</v>
          </cell>
        </row>
        <row r="26">
          <cell r="D26" t="str">
            <v>Rate Rider for Deferral/Variance Account Disposition (2010) – effective until April 30, 2014</v>
          </cell>
        </row>
        <row r="27">
          <cell r="D27" t="str">
            <v>Rate Rider for Deferral/Variance Account Disposition (2010) – effective until January 31, 2012</v>
          </cell>
        </row>
        <row r="28">
          <cell r="D28" t="str">
            <v>Rate Rider for Deferral/Variance Account Disposition (2011) – effective until April 30, 2012</v>
          </cell>
        </row>
        <row r="29">
          <cell r="D29" t="str">
            <v>Rate Rider for Deferral/Variance Account Disposition (2011) – effective until April 30, 2012 (per connection)</v>
          </cell>
        </row>
        <row r="30">
          <cell r="D30" t="str">
            <v>Rate Rider for Deferral/Variance Account Disposition (2011) – effective until April 30, 2013</v>
          </cell>
        </row>
        <row r="31">
          <cell r="D31" t="str">
            <v>Rate Rider for Deferral/Variance Account Disposition (2011) – effective until April 30, 2013 Applicable only for Wholesale Market Participants</v>
          </cell>
        </row>
        <row r="32">
          <cell r="D32" t="str">
            <v>Rate Rider for Deferral/Variance Account Disposition (2011) – effective until April 30, 2014</v>
          </cell>
        </row>
        <row r="33">
          <cell r="D33" t="str">
            <v>Rate Rider for Deferral/Variance Account Disposition (2011) – effective until April 30, 2015</v>
          </cell>
        </row>
        <row r="34">
          <cell r="D34" t="str">
            <v>Rate Rider for Deferral/Variance Account Disposition (2011) – effective until December 31, 2011</v>
          </cell>
        </row>
        <row r="35">
          <cell r="D35" t="str">
            <v>Rate Rider for Global Adjustment Sub-Account (2010) – effective until April 30, 2012 Applicable only for Non-RPP Customers</v>
          </cell>
        </row>
        <row r="36">
          <cell r="D36" t="str">
            <v>Rate Rider for Global Adjustment Sub-Account (2011) – effective until April 30, 2012 Applicable only for Non-RPP Customers</v>
          </cell>
        </row>
        <row r="37">
          <cell r="D37" t="str">
            <v>Rate Rider for Global Adjustment Sub-Account Disposition – effective until April 30, 2012 Applicable only for Non-RPP Customers</v>
          </cell>
        </row>
        <row r="38">
          <cell r="D38" t="str">
            <v>Rate Rider for Global Adjustment Sub-Account Disposition – effective until April 30, 2014 Applicable only for Non-RPP Customers</v>
          </cell>
        </row>
        <row r="39">
          <cell r="D39" t="str">
            <v>Rate Rider for Global Adjustment Sub-Account Disposition (2010 credit) – effective until April 30, 2012 Applicable only for Non-RPP Customers</v>
          </cell>
        </row>
        <row r="40">
          <cell r="D40" t="str">
            <v>Rate Rider for Global Adjustment Sub-Account Disposition (2010 recalculated) – effective until April 30, 2013 Applicable only for Non-RPP Customers</v>
          </cell>
        </row>
        <row r="41">
          <cell r="D41" t="str">
            <v>Rate Rider for Global Adjustment Sub-Account Disposition (2010) – effective until April 30, 2012 Applicable only for Non-RPP Customers</v>
          </cell>
        </row>
        <row r="42">
          <cell r="D42" t="str">
            <v>Rate Rider for Global Adjustment Sub-Account Disposition (2010) – effective until April 30, 2013 Applicable only for Non-RPP Customers</v>
          </cell>
        </row>
        <row r="43">
          <cell r="D43" t="str">
            <v>Rate Rider for Global Adjustment Sub-Account Disposition (2010) – effective until April 30, 2014 Applicable only for Non-RPP Customers</v>
          </cell>
        </row>
        <row r="44">
          <cell r="D44" t="str">
            <v>Rate Rider for Global Adjustment Sub-Account Disposition (2011) – effective until April 30, 2012 Applicable only for Non-RPP Customers</v>
          </cell>
        </row>
        <row r="45">
          <cell r="D45" t="str">
            <v>Rate Rider for Global Adjustment Sub-Account Disposition (2011) – effective until April 30, 2012 Applicable only for Non-RPP Customers (per connection)</v>
          </cell>
        </row>
        <row r="46">
          <cell r="D46" t="str">
            <v>Rate Rider for Global Adjustment Sub-Account Disposition (2011) – effective until April 30, 2013 Applicable only for Non-RPP Customers</v>
          </cell>
        </row>
        <row r="47">
          <cell r="D47" t="str">
            <v>Rate Rider for Global Adjustment Sub-Account Disposition (2011) – effective until April 30, 2013 Applicable only for Non-RPP Customers and excluding Wholesale Market Participants</v>
          </cell>
        </row>
        <row r="48">
          <cell r="D48" t="str">
            <v>Rate Rider for Global Adjustment Sub-Account Disposition (2011) – effective until April 30, 2015 Applicable only for Non-RPP Customers</v>
          </cell>
        </row>
        <row r="49">
          <cell r="D49" t="str">
            <v>Rate Rider for Lost Revenue Adjustment Mechanism (LRAM) Recovery – effective until April 30, 2012</v>
          </cell>
        </row>
        <row r="50">
          <cell r="D50" t="str">
            <v>Rate Rider for Lost Revenue Adjustment Mechanism (LRAM) Recovery/Shared Savings Mechanism (SSM) Recovery – effective until April 30, 2012</v>
          </cell>
        </row>
        <row r="51">
          <cell r="D51" t="str">
            <v>Rate Rider for Lost Revenue Adjustment Mechanism (LRAM) Recovery/Shared Savings Mechanism (SSM) Recovery – effective until April 30, 2012</v>
          </cell>
        </row>
        <row r="52">
          <cell r="D52" t="str">
            <v>Rate Rider for Lost Revenue Adjustment Mechanism (LRAM) Recovery/Shared Savings Mechanism (SSM) Recovery – effective until April 30, 2013</v>
          </cell>
        </row>
        <row r="53">
          <cell r="D53" t="str">
            <v>Rate Rider for Lost Revenue Adjustment Mechanism (LRAM) Recovery/Shared Savings Mechanism (SSM) Recovery – effective until April 30, 2014</v>
          </cell>
        </row>
        <row r="54">
          <cell r="D54" t="str">
            <v>Rate Rider for Lost Revenue Adjustment Mechanism (LRAM) Recovery/Shared Savings Mechanism (SSM) Recovery – effective until December 31, 2012</v>
          </cell>
        </row>
        <row r="55">
          <cell r="D55" t="str">
            <v>Rate Rider for Lost Revenue Adjustment Mechanism (LRAM) Recovery/Shared Savings Mechanism (SSM) Recovery (2009) – effective until April 30, 2012</v>
          </cell>
        </row>
        <row r="56">
          <cell r="D56" t="str">
            <v>Rate Rider for Lost Revenue Adjustment Mechanism (LRAM) Recovery/Shared Savings Mechanism (SSM) Recovery (2011) – effective until April 30, 2012</v>
          </cell>
        </row>
        <row r="57">
          <cell r="D57" t="str">
            <v>Rate Rider for Lost Revenue Adjustment Mechanism (LRAM) Recovery/Shared Savings Mechanism (SSM) Recovery (2011) – effective until April 30, 2013</v>
          </cell>
        </row>
        <row r="58">
          <cell r="D58" t="str">
            <v>Rate Rider for Recalculated Deferral/Variance Account Disposition (2010) – effective until April 30, 2013</v>
          </cell>
        </row>
        <row r="59">
          <cell r="D59" t="str">
            <v>Rate Rider for Recovery of Foregone Revenue – effective until December 31, 2011</v>
          </cell>
        </row>
        <row r="60">
          <cell r="D60" t="str">
            <v>Rate Rider for Recovery of Incremental Capital Costs – effective until April 30, 2012</v>
          </cell>
        </row>
        <row r="61">
          <cell r="D61" t="str">
            <v>Rate Rider for Recovery of Incremental Capital Costs – effective until April 30, 2013</v>
          </cell>
        </row>
        <row r="62">
          <cell r="D62" t="str">
            <v>Rate Rider for Recovery of Late Payment Penalty Litigation Costs – effective until April 30, 2012</v>
          </cell>
        </row>
        <row r="63">
          <cell r="D63" t="str">
            <v>Rate Rider for Recovery of Late Payment Penalty Litigation Costs – effective until April 30, 2012 (per connection)</v>
          </cell>
        </row>
        <row r="64">
          <cell r="D64" t="str">
            <v>Rate Rider for Recovery of Late Payment Penalty Litigation Costs (per customer) – effective until April 30, 2012</v>
          </cell>
        </row>
        <row r="65">
          <cell r="D65" t="str">
            <v>Rate Rider for Recovery of Stranded Meter Assets – effective until December 31, 2012</v>
          </cell>
        </row>
        <row r="66">
          <cell r="D66" t="str">
            <v>Rate Rider for Regulatory Asset Recovery – effective until April 30, 2012</v>
          </cell>
        </row>
        <row r="67">
          <cell r="D67" t="str">
            <v>Rate Rider for Regulatory Asset Recovery – effective until April 30, 2013</v>
          </cell>
        </row>
        <row r="68">
          <cell r="D68" t="str">
            <v>Rate Rider for Return of Revenue Sufficiency – effective until December 31, 2011</v>
          </cell>
        </row>
        <row r="69">
          <cell r="D69" t="str">
            <v>Rate Rider for Return of Transformer Ownership Allowance Sufficiency – effective until December 31, 2011</v>
          </cell>
        </row>
        <row r="70">
          <cell r="D70" t="str">
            <v>Rate Rider for Smart Meter Incremental Revenue Requirement – in effect until the effective date of the next cost of service application</v>
          </cell>
        </row>
        <row r="71">
          <cell r="D71" t="str">
            <v>Rate Rider for Smart Meter Variance Account Disposition – effective until April 30, 2012</v>
          </cell>
        </row>
        <row r="72">
          <cell r="D72" t="str">
            <v>Rate Rider for Smart Meter Variance Account Disposition – effective until December 31, 2011</v>
          </cell>
        </row>
        <row r="73">
          <cell r="D73" t="str">
            <v>Rate Rider for Tax Change – effective until April 20, 2012</v>
          </cell>
        </row>
        <row r="74">
          <cell r="D74" t="str">
            <v>Rate Rider for Tax Change – effective until April 30, 2012</v>
          </cell>
        </row>
        <row r="75">
          <cell r="D75" t="str">
            <v>Rate Rider for Tax Change – effective until April 30, 2012 (per connection)</v>
          </cell>
        </row>
        <row r="76">
          <cell r="D76" t="str">
            <v>Rate Rider for Tax Change – Hydro One Networks - effective until April 30, 2012</v>
          </cell>
        </row>
        <row r="77">
          <cell r="D77" t="str">
            <v>Rate Rider for Tax Change – Waterloo North Hydro – effective until April 30, 2012</v>
          </cell>
        </row>
        <row r="78">
          <cell r="D78" t="str">
            <v>Rate Rider for Tax Change Dedicated LV Line – effective until April 30, 2012</v>
          </cell>
        </row>
        <row r="79">
          <cell r="D79" t="str">
            <v>Rate Rider for Tax Change Shared LV Line – effective until April 30, 2012</v>
          </cell>
        </row>
        <row r="80">
          <cell r="D80" t="str">
            <v>Rate Rider for Z-Factor Recovery – Effective until April 30, 2012</v>
          </cell>
        </row>
        <row r="81">
          <cell r="D81" t="str">
            <v>Retail Transmission Rate – Line and Transformation Connection Service Rate</v>
          </cell>
        </row>
        <row r="82">
          <cell r="D82" t="str">
            <v>Retail Transmission Rate – Line and Transformation Connection Service Rate – Interval Metered</v>
          </cell>
        </row>
        <row r="83">
          <cell r="D83" t="str">
            <v>Retail Transmission Rate – Line and Transformation Connection Service Rate – Interval Metered &lt; 1,000 kW</v>
          </cell>
        </row>
        <row r="84">
          <cell r="D84" t="str">
            <v>Retail Transmission Rate – Line and Transformation Connection Service Rate – Interval Metered &gt; 1,000 kW</v>
          </cell>
        </row>
        <row r="85">
          <cell r="D85" t="str">
            <v>Retail Transmission Rate – Line and Transformation Connection Service Rate – Interval Metered ≥ 1,000kW</v>
          </cell>
        </row>
        <row r="86">
          <cell r="D86" t="str">
            <v>Retail Transmission Rate – Line Connection Service Rate</v>
          </cell>
        </row>
        <row r="87">
          <cell r="D87" t="str">
            <v>Retail Transmission Rate – Network Service Rate</v>
          </cell>
        </row>
        <row r="88">
          <cell r="D88" t="str">
            <v>Retail Transmission Rate – Network Service Rate – Interval Metered</v>
          </cell>
        </row>
        <row r="89">
          <cell r="D89" t="str">
            <v>Retail Transmission Rate – Network Service Rate – Interval Metered &lt; 1,000 kW Rate</v>
          </cell>
        </row>
        <row r="90">
          <cell r="D90" t="str">
            <v>Retail Transmission Rate – Network Service Rate – Interval Metered &gt; 1,000 kW</v>
          </cell>
        </row>
        <row r="91">
          <cell r="D91" t="str">
            <v>Retail Transmission Rate – Network Service Rate – Interval Metered ≥ 1,000 kW</v>
          </cell>
        </row>
        <row r="92">
          <cell r="D92" t="str">
            <v>Retail Transmission Rate – Transformation Connection Service Rate</v>
          </cell>
        </row>
        <row r="93">
          <cell r="D93" t="str">
            <v>Service Charge</v>
          </cell>
        </row>
        <row r="94">
          <cell r="D94" t="str">
            <v>Service Charge (Based on 30 day month)</v>
          </cell>
        </row>
        <row r="95">
          <cell r="D95" t="str">
            <v>Service Charge (per account)</v>
          </cell>
        </row>
        <row r="96">
          <cell r="D96" t="str">
            <v>Service Charge (per connection)</v>
          </cell>
        </row>
        <row r="97">
          <cell r="D97" t="str">
            <v>Service Charge (per customer)</v>
          </cell>
        </row>
        <row r="98">
          <cell r="D98" t="str">
            <v>Service Charge for metered account</v>
          </cell>
        </row>
        <row r="99">
          <cell r="D99" t="str">
            <v>Service Charge for Unmetered Scattered Load account (per connection)</v>
          </cell>
        </row>
        <row r="100">
          <cell r="D100" t="str">
            <v>Smart Grid Rate Adder</v>
          </cell>
        </row>
        <row r="101">
          <cell r="D101" t="str">
            <v>Smart Meter Disposition Rider 2 – effective until next cost of service application</v>
          </cell>
        </row>
        <row r="102">
          <cell r="D102" t="str">
            <v>Smart Meter Disposition Rider 3 – effective until next cost of service application</v>
          </cell>
        </row>
        <row r="103">
          <cell r="D103" t="str">
            <v>Smart Meter Funding Adder</v>
          </cell>
        </row>
        <row r="104">
          <cell r="D104" t="str">
            <v>Smart Meter Funding Adder – effective until April 30, 2012</v>
          </cell>
        </row>
        <row r="105">
          <cell r="D105" t="str">
            <v>Smart Meter Funding Adder – effective until December 31, 2011</v>
          </cell>
        </row>
        <row r="106">
          <cell r="D106" t="str">
            <v>Smart Meter Funding Adder for metered account – effective until April 30, 2012</v>
          </cell>
        </row>
        <row r="107">
          <cell r="D107" t="str">
            <v>Standby Charge – for a month where standby power is not provided. The charge is applied to the contracted amount (e.g. nameplate rating of the generation facility).</v>
          </cell>
        </row>
        <row r="108">
          <cell r="D108" t="str">
            <v>Total Loss Factor – Primary Metered Customer &lt; 5,000 kW</v>
          </cell>
        </row>
        <row r="109">
          <cell r="D109" t="str">
            <v>Total Loss Factor – Primary Metered Customer &gt; 5,000 kW</v>
          </cell>
        </row>
        <row r="110">
          <cell r="D110" t="str">
            <v>Total Loss Factor – Secondary Metered Customer &lt; 5,000 kW</v>
          </cell>
        </row>
        <row r="111">
          <cell r="D111" t="str">
            <v>Total Loss Factor – Secondary Metered Customer &gt; 5,000 kW</v>
          </cell>
        </row>
        <row r="112">
          <cell r="D112" t="str">
            <v>Transmission Rate – Network Service Rate – Interval Metered</v>
          </cell>
        </row>
      </sheetData>
      <sheetData sheetId="4" refreshError="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1. Info"/>
      <sheetName val="2. Applicable Worksheets"/>
      <sheetName val="3. Rate Classes"/>
      <sheetName val="hidden1"/>
      <sheetName val="4. Most Recent Tariff"/>
    </sheetNames>
    <sheetDataSet>
      <sheetData sheetId="0"/>
      <sheetData sheetId="1" refreshError="1"/>
      <sheetData sheetId="2"/>
      <sheetData sheetId="3">
        <row r="1">
          <cell r="D1" t="str">
            <v>Applicable only for Non-RPP Customers</v>
          </cell>
        </row>
        <row r="2">
          <cell r="D2" t="str">
            <v>Deferral / Variance Account Rate Rider</v>
          </cell>
        </row>
        <row r="3">
          <cell r="D3" t="str">
            <v>Deferral / Variance Account Rate Rider (excl GA)</v>
          </cell>
        </row>
        <row r="4">
          <cell r="D4" t="str">
            <v>Deferral / Variance Account Rate Rider (GA) – if applicable</v>
          </cell>
        </row>
        <row r="5">
          <cell r="D5" t="str">
            <v>Distribution Volumetric Rate</v>
          </cell>
        </row>
        <row r="6">
          <cell r="D6" t="str">
            <v>Distribution Wheeling Service Rate</v>
          </cell>
        </row>
        <row r="7">
          <cell r="D7" t="str">
            <v>General Service 1,500 to 4,999 kW customer</v>
          </cell>
        </row>
        <row r="8">
          <cell r="D8" t="str">
            <v>General Service 50 to 1,499 kW customer</v>
          </cell>
        </row>
        <row r="9">
          <cell r="D9" t="str">
            <v>General Service Large Use customer</v>
          </cell>
        </row>
        <row r="10">
          <cell r="D10" t="str">
            <v>Green Energy Act Initiatives Funding Adder</v>
          </cell>
        </row>
        <row r="11">
          <cell r="D11" t="str">
            <v>Lost Revenue Adjustment Mechanism (LRAM) Recovery/Shared Savings Mechanism (SSM) Recovery Rate Rider – effective until April 30, 2012</v>
          </cell>
        </row>
        <row r="12">
          <cell r="D12" t="str">
            <v>Lost Revenue Adjustment Mechanism (LRAM) Recovery/Shared Savings Mechanism (SSM) Recovery Rate Rider (2011) – effective until April 30, 2014</v>
          </cell>
        </row>
        <row r="13">
          <cell r="D13" t="str">
            <v>Low Voltage Service Rate</v>
          </cell>
        </row>
        <row r="14">
          <cell r="D14" t="str">
            <v>Low Voltage Volumetric Rate</v>
          </cell>
        </row>
        <row r="15">
          <cell r="D15" t="str">
            <v>LRAM &amp; SSM Rate Rider</v>
          </cell>
        </row>
        <row r="16">
          <cell r="D16" t="str">
            <v>Minimum Distribution Charge – per KW of maximum billing demand in the previous 11 months</v>
          </cell>
        </row>
        <row r="17">
          <cell r="D17" t="str">
            <v>Monthly Distribution Wheeling Service Rate – Dedicated LV Line</v>
          </cell>
        </row>
        <row r="18">
          <cell r="D18" t="str">
            <v>Monthly Distribution Wheeling Service Rate – Hydro One Networks</v>
          </cell>
        </row>
        <row r="19">
          <cell r="D19" t="str">
            <v>Monthly Distribution Wheeling Service Rate – Shared LV Line</v>
          </cell>
        </row>
        <row r="20">
          <cell r="D20" t="str">
            <v>Monthly Distribution Wheeling Service Rate – Waterloo North Hydro</v>
          </cell>
        </row>
        <row r="21">
          <cell r="D21" t="str">
            <v>Rate Rider for Deferral/Variance Account Disposition – effective until April 30, 2014</v>
          </cell>
        </row>
        <row r="22">
          <cell r="D22" t="str">
            <v>Rate Rider for Deferral/Variance Account Disposition (2009) – effective until April 30, 2013</v>
          </cell>
        </row>
        <row r="23">
          <cell r="D23" t="str">
            <v>Rate Rider for Deferral/Variance Account Disposition (2010) – effective until April 30, 2012</v>
          </cell>
        </row>
        <row r="24">
          <cell r="D24" t="str">
            <v>Rate Rider for Deferral/Variance Account Disposition (2010) – effective until April 30, 2012 Applicable only for Wholesale Market Participants</v>
          </cell>
        </row>
        <row r="25">
          <cell r="D25" t="str">
            <v>Rate Rider for Deferral/Variance Account Disposition (2010) – effective until April 30, 2013</v>
          </cell>
        </row>
        <row r="26">
          <cell r="D26" t="str">
            <v>Rate Rider for Deferral/Variance Account Disposition (2010) – effective until April 30, 2014</v>
          </cell>
        </row>
        <row r="27">
          <cell r="D27" t="str">
            <v>Rate Rider for Deferral/Variance Account Disposition (2010) – effective until January 31, 2012</v>
          </cell>
        </row>
        <row r="28">
          <cell r="D28" t="str">
            <v>Rate Rider for Deferral/Variance Account Disposition (2011) – effective until April 30, 2012</v>
          </cell>
        </row>
        <row r="29">
          <cell r="D29" t="str">
            <v>Rate Rider for Deferral/Variance Account Disposition (2011) – effective until April 30, 2012 (per connection)</v>
          </cell>
        </row>
        <row r="30">
          <cell r="D30" t="str">
            <v>Rate Rider for Deferral/Variance Account Disposition (2011) – effective until April 30, 2013</v>
          </cell>
        </row>
        <row r="31">
          <cell r="D31" t="str">
            <v>Rate Rider for Deferral/Variance Account Disposition (2011) – effective until April 30, 2013 Applicable only for Wholesale Market Participants</v>
          </cell>
        </row>
        <row r="32">
          <cell r="D32" t="str">
            <v>Rate Rider for Deferral/Variance Account Disposition (2011) – effective until April 30, 2014</v>
          </cell>
        </row>
        <row r="33">
          <cell r="D33" t="str">
            <v>Rate Rider for Deferral/Variance Account Disposition (2011) – effective until April 30, 2015</v>
          </cell>
        </row>
        <row r="34">
          <cell r="D34" t="str">
            <v>Rate Rider for Deferral/Variance Account Disposition (2011) – effective until December 31, 2011</v>
          </cell>
        </row>
        <row r="35">
          <cell r="D35" t="str">
            <v>Rate Rider for Global Adjustment Sub-Account (2010) – effective until April 30, 2012 Applicable only for Non-RPP Customers</v>
          </cell>
        </row>
        <row r="36">
          <cell r="D36" t="str">
            <v>Rate Rider for Global Adjustment Sub-Account (2011) – effective until April 30, 2012 Applicable only for Non-RPP Customers</v>
          </cell>
        </row>
        <row r="37">
          <cell r="D37" t="str">
            <v>Rate Rider for Global Adjustment Sub-Account Disposition – effective until April 30, 2012 Applicable only for Non-RPP Customers</v>
          </cell>
        </row>
        <row r="38">
          <cell r="D38" t="str">
            <v>Rate Rider for Global Adjustment Sub-Account Disposition – effective until April 30, 2014 Applicable only for Non-RPP Customers</v>
          </cell>
        </row>
        <row r="39">
          <cell r="D39" t="str">
            <v>Rate Rider for Global Adjustment Sub-Account Disposition (2010 credit) – effective until April 30, 2012 Applicable only for Non-RPP Customers</v>
          </cell>
        </row>
        <row r="40">
          <cell r="D40" t="str">
            <v>Rate Rider for Global Adjustment Sub-Account Disposition (2010 recalculated) – effective until April 30, 2013 Applicable only for Non-RPP Customers</v>
          </cell>
        </row>
        <row r="41">
          <cell r="D41" t="str">
            <v>Rate Rider for Global Adjustment Sub-Account Disposition (2010) – effective until April 30, 2012 Applicable only for Non-RPP Customers</v>
          </cell>
        </row>
        <row r="42">
          <cell r="D42" t="str">
            <v>Rate Rider for Global Adjustment Sub-Account Disposition (2010) – effective until April 30, 2013 Applicable only for Non-RPP Customers</v>
          </cell>
        </row>
        <row r="43">
          <cell r="D43" t="str">
            <v>Rate Rider for Global Adjustment Sub-Account Disposition (2010) – effective until April 30, 2014 Applicable only for Non-RPP Customers</v>
          </cell>
        </row>
        <row r="44">
          <cell r="D44" t="str">
            <v>Rate Rider for Global Adjustment Sub-Account Disposition (2011) – effective until April 30, 2012 Applicable only for Non-RPP Customers</v>
          </cell>
        </row>
        <row r="45">
          <cell r="D45" t="str">
            <v>Rate Rider for Global Adjustment Sub-Account Disposition (2011) – effective until April 30, 2012 Applicable only for Non-RPP Customers (per connection)</v>
          </cell>
        </row>
        <row r="46">
          <cell r="D46" t="str">
            <v>Rate Rider for Global Adjustment Sub-Account Disposition (2011) – effective until April 30, 2013 Applicable only for Non-RPP Customers</v>
          </cell>
        </row>
        <row r="47">
          <cell r="D47" t="str">
            <v>Rate Rider for Global Adjustment Sub-Account Disposition (2011) – effective until April 30, 2013 Applicable only for Non-RPP Customers and excluding Wholesale Market Participants</v>
          </cell>
        </row>
        <row r="48">
          <cell r="D48" t="str">
            <v>Rate Rider for Global Adjustment Sub-Account Disposition (2011) – effective until April 30, 2015 Applicable only for Non-RPP Customers</v>
          </cell>
        </row>
        <row r="49">
          <cell r="D49" t="str">
            <v>Rate Rider for Lost Revenue Adjustment Mechanism (LRAM) Recovery – effective until April 30, 2012</v>
          </cell>
        </row>
        <row r="50">
          <cell r="D50" t="str">
            <v>Rate Rider for Lost Revenue Adjustment Mechanism (LRAM) Recovery/Shared Savings Mechanism (SSM) Recovery – effective until April 30, 2012</v>
          </cell>
        </row>
        <row r="51">
          <cell r="D51" t="str">
            <v>Rate Rider for Lost Revenue Adjustment Mechanism (LRAM) Recovery/Shared Savings Mechanism (SSM) Recovery – effective until April 30, 2012</v>
          </cell>
        </row>
        <row r="52">
          <cell r="D52" t="str">
            <v>Rate Rider for Lost Revenue Adjustment Mechanism (LRAM) Recovery/Shared Savings Mechanism (SSM) Recovery – effective until April 30, 2013</v>
          </cell>
        </row>
        <row r="53">
          <cell r="D53" t="str">
            <v>Rate Rider for Lost Revenue Adjustment Mechanism (LRAM) Recovery/Shared Savings Mechanism (SSM) Recovery – effective until April 30, 2014</v>
          </cell>
        </row>
        <row r="54">
          <cell r="D54" t="str">
            <v>Rate Rider for Lost Revenue Adjustment Mechanism (LRAM) Recovery/Shared Savings Mechanism (SSM) Recovery – effective until December 31, 2012</v>
          </cell>
        </row>
        <row r="55">
          <cell r="D55" t="str">
            <v>Rate Rider for Lost Revenue Adjustment Mechanism (LRAM) Recovery/Shared Savings Mechanism (SSM) Recovery (2009) – effective until April 30, 2012</v>
          </cell>
        </row>
        <row r="56">
          <cell r="D56" t="str">
            <v>Rate Rider for Lost Revenue Adjustment Mechanism (LRAM) Recovery/Shared Savings Mechanism (SSM) Recovery (2011) – effective until April 30, 2012</v>
          </cell>
        </row>
        <row r="57">
          <cell r="D57" t="str">
            <v>Rate Rider for Lost Revenue Adjustment Mechanism (LRAM) Recovery/Shared Savings Mechanism (SSM) Recovery (2011) – effective until April 30, 2013</v>
          </cell>
        </row>
        <row r="58">
          <cell r="D58" t="str">
            <v>Rate Rider for Recalculated Deferral/Variance Account Disposition (2010) – effective until April 30, 2013</v>
          </cell>
        </row>
        <row r="59">
          <cell r="D59" t="str">
            <v>Rate Rider for Recovery of Foregone Revenue – effective until December 31, 2011</v>
          </cell>
        </row>
        <row r="60">
          <cell r="D60" t="str">
            <v>Rate Rider for Recovery of Incremental Capital Costs – effective until April 30, 2012</v>
          </cell>
        </row>
        <row r="61">
          <cell r="D61" t="str">
            <v>Rate Rider for Recovery of Incremental Capital Costs – effective until April 30, 2013</v>
          </cell>
        </row>
        <row r="62">
          <cell r="D62" t="str">
            <v>Rate Rider for Recovery of Late Payment Penalty Litigation Costs – effective until April 30, 2012</v>
          </cell>
        </row>
        <row r="63">
          <cell r="D63" t="str">
            <v>Rate Rider for Recovery of Late Payment Penalty Litigation Costs – effective until April 30, 2012 (per connection)</v>
          </cell>
        </row>
        <row r="64">
          <cell r="D64" t="str">
            <v>Rate Rider for Recovery of Late Payment Penalty Litigation Costs (per customer) – effective until April 30, 2012</v>
          </cell>
        </row>
        <row r="65">
          <cell r="D65" t="str">
            <v>Rate Rider for Recovery of Stranded Meter Assets – effective until December 31, 2012</v>
          </cell>
        </row>
        <row r="66">
          <cell r="D66" t="str">
            <v>Rate Rider for Regulatory Asset Recovery – effective until April 30, 2012</v>
          </cell>
        </row>
        <row r="67">
          <cell r="D67" t="str">
            <v>Rate Rider for Regulatory Asset Recovery – effective until April 30, 2013</v>
          </cell>
        </row>
        <row r="68">
          <cell r="D68" t="str">
            <v>Rate Rider for Return of Revenue Sufficiency – effective until December 31, 2011</v>
          </cell>
        </row>
        <row r="69">
          <cell r="D69" t="str">
            <v>Rate Rider for Return of Transformer Ownership Allowance Sufficiency – effective until December 31, 2011</v>
          </cell>
        </row>
        <row r="70">
          <cell r="D70" t="str">
            <v>Rate Rider for Smart Meter Incremental Revenue Requirement – in effect until the effective date of the next cost of service application</v>
          </cell>
        </row>
        <row r="71">
          <cell r="D71" t="str">
            <v>Rate Rider for Smart Meter Variance Account Disposition – effective until April 30, 2012</v>
          </cell>
        </row>
        <row r="72">
          <cell r="D72" t="str">
            <v>Rate Rider for Smart Meter Variance Account Disposition – effective until December 31, 2011</v>
          </cell>
        </row>
        <row r="73">
          <cell r="D73" t="str">
            <v>Rate Rider for Tax Change – effective until April 20, 2012</v>
          </cell>
        </row>
        <row r="74">
          <cell r="D74" t="str">
            <v>Rate Rider for Tax Change – effective until April 30, 2012</v>
          </cell>
        </row>
        <row r="75">
          <cell r="D75" t="str">
            <v>Rate Rider for Tax Change – effective until April 30, 2012 (per connection)</v>
          </cell>
        </row>
        <row r="76">
          <cell r="D76" t="str">
            <v>Rate Rider for Tax Change – Hydro One Networks - effective until April 30, 2012</v>
          </cell>
        </row>
        <row r="77">
          <cell r="D77" t="str">
            <v>Rate Rider for Tax Change – Waterloo North Hydro – effective until April 30, 2012</v>
          </cell>
        </row>
        <row r="78">
          <cell r="D78" t="str">
            <v>Rate Rider for Tax Change Dedicated LV Line – effective until April 30, 2012</v>
          </cell>
        </row>
        <row r="79">
          <cell r="D79" t="str">
            <v>Rate Rider for Tax Change Shared LV Line – effective until April 30, 2012</v>
          </cell>
        </row>
        <row r="80">
          <cell r="D80" t="str">
            <v>Rate Rider for Z-Factor Recovery – Effective until April 30, 2012</v>
          </cell>
        </row>
        <row r="81">
          <cell r="D81" t="str">
            <v>Retail Transmission Rate – Line and Transformation Connection Service Rate</v>
          </cell>
        </row>
        <row r="82">
          <cell r="D82" t="str">
            <v>Retail Transmission Rate – Line and Transformation Connection Service Rate – Interval Metered</v>
          </cell>
        </row>
        <row r="83">
          <cell r="D83" t="str">
            <v>Retail Transmission Rate – Line and Transformation Connection Service Rate – Interval Metered &lt; 1,000 kW</v>
          </cell>
        </row>
        <row r="84">
          <cell r="D84" t="str">
            <v>Retail Transmission Rate – Line and Transformation Connection Service Rate – Interval Metered &gt; 1,000 kW</v>
          </cell>
        </row>
        <row r="85">
          <cell r="D85" t="str">
            <v>Retail Transmission Rate – Line and Transformation Connection Service Rate – Interval Metered ≥ 1,000kW</v>
          </cell>
        </row>
        <row r="86">
          <cell r="D86" t="str">
            <v>Retail Transmission Rate – Line Connection Service Rate</v>
          </cell>
        </row>
        <row r="87">
          <cell r="D87" t="str">
            <v>Retail Transmission Rate – Network Service Rate</v>
          </cell>
        </row>
        <row r="88">
          <cell r="D88" t="str">
            <v>Retail Transmission Rate – Network Service Rate – Interval Metered</v>
          </cell>
        </row>
        <row r="89">
          <cell r="D89" t="str">
            <v>Retail Transmission Rate – Network Service Rate – Interval Metered &lt; 1,000 kW Rate</v>
          </cell>
        </row>
        <row r="90">
          <cell r="D90" t="str">
            <v>Retail Transmission Rate – Network Service Rate – Interval Metered &gt; 1,000 kW</v>
          </cell>
        </row>
        <row r="91">
          <cell r="D91" t="str">
            <v>Retail Transmission Rate – Network Service Rate – Interval Metered ≥ 1,000 kW</v>
          </cell>
        </row>
        <row r="92">
          <cell r="D92" t="str">
            <v>Retail Transmission Rate – Transformation Connection Service Rate</v>
          </cell>
        </row>
        <row r="93">
          <cell r="D93" t="str">
            <v>Service Charge</v>
          </cell>
        </row>
        <row r="94">
          <cell r="D94" t="str">
            <v>Service Charge (Based on 30 day month)</v>
          </cell>
        </row>
        <row r="95">
          <cell r="D95" t="str">
            <v>Service Charge (per account)</v>
          </cell>
        </row>
        <row r="96">
          <cell r="D96" t="str">
            <v>Service Charge (per connection)</v>
          </cell>
        </row>
        <row r="97">
          <cell r="D97" t="str">
            <v>Service Charge (per customer)</v>
          </cell>
        </row>
        <row r="98">
          <cell r="D98" t="str">
            <v>Service Charge for metered account</v>
          </cell>
        </row>
        <row r="99">
          <cell r="D99" t="str">
            <v>Service Charge for Unmetered Scattered Load account (per connection)</v>
          </cell>
        </row>
        <row r="100">
          <cell r="D100" t="str">
            <v>Smart Grid Rate Adder</v>
          </cell>
        </row>
        <row r="101">
          <cell r="D101" t="str">
            <v>Smart Meter Disposition Rider 2 – effective until next cost of service application</v>
          </cell>
        </row>
        <row r="102">
          <cell r="D102" t="str">
            <v>Smart Meter Disposition Rider 3 – effective until next cost of service application</v>
          </cell>
        </row>
        <row r="103">
          <cell r="D103" t="str">
            <v>Smart Meter Funding Adder</v>
          </cell>
        </row>
        <row r="104">
          <cell r="D104" t="str">
            <v>Smart Meter Funding Adder – effective until April 30, 2012</v>
          </cell>
        </row>
        <row r="105">
          <cell r="D105" t="str">
            <v>Smart Meter Funding Adder – effective until December 31, 2011</v>
          </cell>
        </row>
        <row r="106">
          <cell r="D106" t="str">
            <v>Smart Meter Funding Adder for metered account – effective until April 30, 2012</v>
          </cell>
        </row>
        <row r="107">
          <cell r="D107" t="str">
            <v>Standby Charge – for a month where standby power is not provided. The charge is applied to the contracted amount (e.g. nameplate rating of the generation facility).</v>
          </cell>
        </row>
        <row r="108">
          <cell r="D108" t="str">
            <v>Total Loss Factor – Primary Metered Customer &lt; 5,000 kW</v>
          </cell>
        </row>
        <row r="109">
          <cell r="D109" t="str">
            <v>Total Loss Factor – Primary Metered Customer &gt; 5,000 kW</v>
          </cell>
        </row>
        <row r="110">
          <cell r="D110" t="str">
            <v>Total Loss Factor – Secondary Metered Customer &lt; 5,000 kW</v>
          </cell>
        </row>
        <row r="111">
          <cell r="D111" t="str">
            <v>Total Loss Factor – Secondary Metered Customer &gt; 5,000 kW</v>
          </cell>
        </row>
        <row r="112">
          <cell r="D112" t="str">
            <v>Transmission Rate – Network Service Rate – Interval Metered</v>
          </cell>
        </row>
      </sheetData>
      <sheetData sheetId="4" refreshError="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dex"/>
      <sheetName val="LOBs"/>
      <sheetName val="Financials"/>
      <sheetName val="Loads"/>
      <sheetName val="Classify"/>
      <sheetName val="Allocate"/>
      <sheetName val="F&amp;C"/>
      <sheetName val="Summary"/>
      <sheetName val="Macros"/>
      <sheetName val="Module1"/>
    </sheetNames>
    <sheetDataSet>
      <sheetData sheetId="0"/>
      <sheetData sheetId="1"/>
      <sheetData sheetId="2" refreshError="1">
        <row r="1">
          <cell r="A1" t="str">
            <v>LDC Name</v>
          </cell>
        </row>
      </sheetData>
      <sheetData sheetId="3"/>
      <sheetData sheetId="4"/>
      <sheetData sheetId="5"/>
      <sheetData sheetId="6"/>
      <sheetData sheetId="7"/>
      <sheetData sheetId="8" refreshError="1"/>
      <sheetData sheetId="9"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4.xml"/><Relationship Id="rId1" Type="http://schemas.openxmlformats.org/officeDocument/2006/relationships/printerSettings" Target="../printerSettings/printerSettings4.bin"/><Relationship Id="rId5" Type="http://schemas.openxmlformats.org/officeDocument/2006/relationships/image" Target="../media/image4.emf"/><Relationship Id="rId4" Type="http://schemas.openxmlformats.org/officeDocument/2006/relationships/oleObject" Target="../embeddings/oleObject1.bin"/></Relationships>
</file>

<file path=xl/worksheets/_rels/sheet5.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2.v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6.xml"/><Relationship Id="rId1" Type="http://schemas.openxmlformats.org/officeDocument/2006/relationships/printerSettings" Target="../printerSettings/printerSettings12.bin"/><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13.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7.xml"/><Relationship Id="rId1" Type="http://schemas.openxmlformats.org/officeDocument/2006/relationships/printerSettings" Target="../printerSettings/printerSettings13.bin"/><Relationship Id="rId5" Type="http://schemas.openxmlformats.org/officeDocument/2006/relationships/ctrlProp" Target="../ctrlProps/ctrlProp4.xml"/><Relationship Id="rId4" Type="http://schemas.openxmlformats.org/officeDocument/2006/relationships/ctrlProp" Target="../ctrlProps/ctrlProp3.xml"/></Relationships>
</file>

<file path=xl/worksheets/_rels/sheet14.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8.xml"/><Relationship Id="rId1" Type="http://schemas.openxmlformats.org/officeDocument/2006/relationships/printerSettings" Target="../printerSettings/printerSettings14.bin"/><Relationship Id="rId5" Type="http://schemas.openxmlformats.org/officeDocument/2006/relationships/ctrlProp" Target="../ctrlProps/ctrlProp6.xml"/><Relationship Id="rId4" Type="http://schemas.openxmlformats.org/officeDocument/2006/relationships/ctrlProp" Target="../ctrlProps/ctrlProp5.xml"/></Relationships>
</file>

<file path=xl/worksheets/_rels/sheet15.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drawing" Target="../drawings/drawing9.xml"/><Relationship Id="rId1" Type="http://schemas.openxmlformats.org/officeDocument/2006/relationships/printerSettings" Target="../printerSettings/printerSettings15.bin"/><Relationship Id="rId5" Type="http://schemas.openxmlformats.org/officeDocument/2006/relationships/ctrlProp" Target="../ctrlProps/ctrlProp8.xml"/><Relationship Id="rId4" Type="http://schemas.openxmlformats.org/officeDocument/2006/relationships/ctrlProp" Target="../ctrlProps/ctrlProp7.xml"/></Relationships>
</file>

<file path=xl/worksheets/_rels/sheet16.xml.rels><?xml version="1.0" encoding="UTF-8" standalone="yes"?>
<Relationships xmlns="http://schemas.openxmlformats.org/package/2006/relationships"><Relationship Id="rId3" Type="http://schemas.openxmlformats.org/officeDocument/2006/relationships/vmlDrawing" Target="../drawings/vmlDrawing7.vml"/><Relationship Id="rId2" Type="http://schemas.openxmlformats.org/officeDocument/2006/relationships/drawing" Target="../drawings/drawing10.xml"/><Relationship Id="rId1" Type="http://schemas.openxmlformats.org/officeDocument/2006/relationships/printerSettings" Target="../printerSettings/printerSettings16.bin"/><Relationship Id="rId5" Type="http://schemas.openxmlformats.org/officeDocument/2006/relationships/ctrlProp" Target="../ctrlProps/ctrlProp10.xml"/><Relationship Id="rId4" Type="http://schemas.openxmlformats.org/officeDocument/2006/relationships/ctrlProp" Target="../ctrlProps/ctrlProp9.xml"/></Relationships>
</file>

<file path=xl/worksheets/_rels/sheet17.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drawing" Target="../drawings/drawing11.xml"/><Relationship Id="rId1" Type="http://schemas.openxmlformats.org/officeDocument/2006/relationships/printerSettings" Target="../printerSettings/printerSettings17.bin"/><Relationship Id="rId5" Type="http://schemas.openxmlformats.org/officeDocument/2006/relationships/ctrlProp" Target="../ctrlProps/ctrlProp12.xml"/><Relationship Id="rId4" Type="http://schemas.openxmlformats.org/officeDocument/2006/relationships/ctrlProp" Target="../ctrlProps/ctrlProp11.xml"/></Relationships>
</file>

<file path=xl/worksheets/_rels/sheet18.xml.rels><?xml version="1.0" encoding="UTF-8" standalone="yes"?>
<Relationships xmlns="http://schemas.openxmlformats.org/package/2006/relationships"><Relationship Id="rId3" Type="http://schemas.openxmlformats.org/officeDocument/2006/relationships/vmlDrawing" Target="../drawings/vmlDrawing9.vml"/><Relationship Id="rId2" Type="http://schemas.openxmlformats.org/officeDocument/2006/relationships/drawing" Target="../drawings/drawing12.xml"/><Relationship Id="rId1" Type="http://schemas.openxmlformats.org/officeDocument/2006/relationships/printerSettings" Target="../printerSettings/printerSettings18.bin"/><Relationship Id="rId4" Type="http://schemas.openxmlformats.org/officeDocument/2006/relationships/ctrlProp" Target="../ctrlProps/ctrlProp13.xml"/></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10.v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11.vml"/><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12.vml"/><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46.bin"/></Relationships>
</file>

<file path=xl/worksheets/_rels/sheet48.xml.rels><?xml version="1.0" encoding="UTF-8" standalone="yes"?>
<Relationships xmlns="http://schemas.openxmlformats.org/package/2006/relationships"><Relationship Id="rId1" Type="http://schemas.openxmlformats.org/officeDocument/2006/relationships/printerSettings" Target="../printerSettings/printerSettings4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tabColor rgb="FF92D050"/>
  </sheetPr>
  <dimension ref="A3:AA77"/>
  <sheetViews>
    <sheetView showGridLines="0" tabSelected="1" zoomScaleNormal="100" workbookViewId="0">
      <selection activeCell="E16" sqref="E16:I16"/>
    </sheetView>
  </sheetViews>
  <sheetFormatPr defaultRowHeight="12.75" x14ac:dyDescent="0.2"/>
  <cols>
    <col min="3" max="3" width="13.5703125" customWidth="1"/>
    <col min="4" max="4" width="18.7109375" customWidth="1"/>
    <col min="5" max="5" width="14.28515625" bestFit="1" customWidth="1"/>
    <col min="13" max="13" width="3.7109375" customWidth="1"/>
    <col min="14" max="14" width="4.42578125" customWidth="1"/>
    <col min="26" max="31" width="9.140625" customWidth="1"/>
  </cols>
  <sheetData>
    <row r="3" spans="4:27" x14ac:dyDescent="0.2">
      <c r="Z3" s="1247">
        <v>1</v>
      </c>
      <c r="AA3" s="16" t="s">
        <v>319</v>
      </c>
    </row>
    <row r="4" spans="4:27" x14ac:dyDescent="0.2">
      <c r="Z4" s="1247">
        <v>2</v>
      </c>
      <c r="AA4" s="16" t="s">
        <v>320</v>
      </c>
    </row>
    <row r="5" spans="4:27" x14ac:dyDescent="0.2">
      <c r="Z5" s="1247">
        <v>3</v>
      </c>
      <c r="AA5" s="16" t="s">
        <v>321</v>
      </c>
    </row>
    <row r="6" spans="4:27" x14ac:dyDescent="0.2">
      <c r="Z6" s="1247">
        <v>4</v>
      </c>
      <c r="AA6" s="16" t="s">
        <v>751</v>
      </c>
    </row>
    <row r="7" spans="4:27" x14ac:dyDescent="0.2">
      <c r="Z7" s="1247">
        <v>5</v>
      </c>
      <c r="AA7" s="16" t="s">
        <v>322</v>
      </c>
    </row>
    <row r="8" spans="4:27" x14ac:dyDescent="0.2">
      <c r="Z8" s="1247">
        <v>6</v>
      </c>
      <c r="AA8" s="16" t="s">
        <v>323</v>
      </c>
    </row>
    <row r="9" spans="4:27" x14ac:dyDescent="0.2">
      <c r="Z9" s="1247">
        <v>7</v>
      </c>
      <c r="AA9" s="16" t="s">
        <v>752</v>
      </c>
    </row>
    <row r="10" spans="4:27" x14ac:dyDescent="0.2">
      <c r="Z10" s="1247">
        <v>8</v>
      </c>
      <c r="AA10" s="16" t="s">
        <v>324</v>
      </c>
    </row>
    <row r="11" spans="4:27" x14ac:dyDescent="0.2">
      <c r="Z11" s="1247">
        <v>9</v>
      </c>
      <c r="AA11" s="16" t="s">
        <v>325</v>
      </c>
    </row>
    <row r="12" spans="4:27" x14ac:dyDescent="0.2">
      <c r="Z12" s="1247">
        <v>10</v>
      </c>
      <c r="AA12" s="16" t="s">
        <v>1025</v>
      </c>
    </row>
    <row r="13" spans="4:27" ht="13.5" thickBot="1" x14ac:dyDescent="0.25">
      <c r="L13" s="34"/>
      <c r="Z13" s="1247">
        <v>11</v>
      </c>
      <c r="AA13" s="16" t="s">
        <v>326</v>
      </c>
    </row>
    <row r="14" spans="4:27" ht="32.25" customHeight="1" thickTop="1" thickBot="1" x14ac:dyDescent="0.25">
      <c r="D14" s="20" t="s">
        <v>315</v>
      </c>
      <c r="E14" s="1533" t="s">
        <v>327</v>
      </c>
      <c r="F14" s="1534"/>
      <c r="G14" s="1534"/>
      <c r="H14" s="1534"/>
      <c r="I14" s="1534"/>
      <c r="J14" s="1534"/>
      <c r="K14" s="1535"/>
      <c r="Z14" s="1247">
        <v>12</v>
      </c>
      <c r="AA14" s="16" t="s">
        <v>327</v>
      </c>
    </row>
    <row r="15" spans="4:27" ht="13.5" thickBot="1" x14ac:dyDescent="0.25">
      <c r="D15" s="21"/>
      <c r="E15" s="4"/>
      <c r="F15" s="5"/>
      <c r="G15" s="4"/>
      <c r="H15" s="4"/>
      <c r="I15" s="4"/>
      <c r="J15" s="1"/>
      <c r="K15" s="1"/>
      <c r="Z15" s="1247">
        <v>13</v>
      </c>
      <c r="AA15" s="16" t="s">
        <v>1183</v>
      </c>
    </row>
    <row r="16" spans="4:27" ht="16.5" thickTop="1" thickBot="1" x14ac:dyDescent="0.25">
      <c r="D16" s="22" t="s">
        <v>316</v>
      </c>
      <c r="E16" s="1536" t="s">
        <v>1529</v>
      </c>
      <c r="F16" s="1537"/>
      <c r="G16" s="1537"/>
      <c r="H16" s="1537"/>
      <c r="I16" s="1538"/>
      <c r="J16" s="1"/>
      <c r="K16" s="1"/>
      <c r="Z16" s="1247">
        <v>14</v>
      </c>
      <c r="AA16" s="16" t="s">
        <v>328</v>
      </c>
    </row>
    <row r="17" spans="1:27" ht="13.5" thickBot="1" x14ac:dyDescent="0.25">
      <c r="D17" s="14"/>
      <c r="E17" s="1"/>
      <c r="F17" s="1"/>
      <c r="G17" s="1"/>
      <c r="H17" s="1"/>
      <c r="I17" s="1"/>
      <c r="J17" s="1"/>
      <c r="K17" s="1"/>
      <c r="Z17" s="1247">
        <v>15</v>
      </c>
      <c r="AA17" s="16" t="s">
        <v>329</v>
      </c>
    </row>
    <row r="18" spans="1:27" ht="16.5" thickTop="1" thickBot="1" x14ac:dyDescent="0.25">
      <c r="D18" s="22" t="s">
        <v>474</v>
      </c>
      <c r="E18" s="1530" t="s">
        <v>1296</v>
      </c>
      <c r="F18" s="1531"/>
      <c r="G18" s="1531"/>
      <c r="H18" s="1531"/>
      <c r="I18" s="1531"/>
      <c r="J18" s="1531"/>
      <c r="K18" s="1532"/>
      <c r="Z18" s="1247">
        <v>16</v>
      </c>
      <c r="AA18" s="16" t="s">
        <v>330</v>
      </c>
    </row>
    <row r="19" spans="1:27" ht="14.25" thickTop="1" thickBot="1" x14ac:dyDescent="0.25">
      <c r="D19" s="21"/>
      <c r="E19" s="4"/>
      <c r="F19" s="5"/>
      <c r="G19" s="4"/>
      <c r="H19" s="4"/>
      <c r="I19" s="4"/>
      <c r="J19" s="1"/>
      <c r="K19" s="1"/>
      <c r="Z19" s="1247">
        <v>17</v>
      </c>
      <c r="AA19" s="16" t="s">
        <v>753</v>
      </c>
    </row>
    <row r="20" spans="1:27" ht="16.5" thickTop="1" thickBot="1" x14ac:dyDescent="0.25">
      <c r="D20" s="20" t="s">
        <v>317</v>
      </c>
      <c r="E20" s="1539" t="s">
        <v>1297</v>
      </c>
      <c r="F20" s="1537"/>
      <c r="G20" s="1537"/>
      <c r="H20" s="1537"/>
      <c r="I20" s="1538"/>
      <c r="J20" s="1"/>
      <c r="K20" s="1"/>
      <c r="Z20" s="1247">
        <v>18</v>
      </c>
      <c r="AA20" s="16" t="s">
        <v>331</v>
      </c>
    </row>
    <row r="21" spans="1:27" ht="13.5" thickBot="1" x14ac:dyDescent="0.25">
      <c r="D21" s="21"/>
      <c r="E21" s="4"/>
      <c r="F21" s="5"/>
      <c r="G21" s="4"/>
      <c r="H21" s="4"/>
      <c r="I21" s="4"/>
      <c r="J21" s="1"/>
      <c r="K21" s="1"/>
      <c r="Z21" s="1247">
        <v>19</v>
      </c>
      <c r="AA21" s="16" t="s">
        <v>332</v>
      </c>
    </row>
    <row r="22" spans="1:27" ht="16.5" thickTop="1" thickBot="1" x14ac:dyDescent="0.25">
      <c r="D22" s="20" t="s">
        <v>318</v>
      </c>
      <c r="E22" s="39" t="s">
        <v>1298</v>
      </c>
      <c r="F22" s="40"/>
      <c r="G22" s="40"/>
      <c r="H22" s="40"/>
      <c r="I22" s="41"/>
      <c r="J22" s="1"/>
      <c r="K22" s="1"/>
      <c r="Z22" s="1247">
        <v>20</v>
      </c>
      <c r="AA22" s="16" t="s">
        <v>333</v>
      </c>
    </row>
    <row r="23" spans="1:27" ht="13.5" thickBot="1" x14ac:dyDescent="0.25">
      <c r="D23" s="21"/>
      <c r="E23" s="4"/>
      <c r="F23" s="5"/>
      <c r="G23" s="4"/>
      <c r="H23" s="4"/>
      <c r="I23" s="4"/>
      <c r="J23" s="1"/>
      <c r="K23" s="1"/>
      <c r="Z23" s="1247">
        <v>21</v>
      </c>
      <c r="AA23" s="16" t="s">
        <v>334</v>
      </c>
    </row>
    <row r="24" spans="1:27" ht="16.5" thickTop="1" thickBot="1" x14ac:dyDescent="0.25">
      <c r="D24" s="22" t="s">
        <v>314</v>
      </c>
      <c r="E24" s="1524">
        <v>2017</v>
      </c>
      <c r="F24" s="1525"/>
      <c r="G24" s="1526"/>
      <c r="H24" s="4"/>
      <c r="I24" s="4"/>
      <c r="J24" s="1"/>
      <c r="K24" s="1"/>
      <c r="Z24" s="1247">
        <v>22</v>
      </c>
      <c r="AA24" s="16" t="s">
        <v>335</v>
      </c>
    </row>
    <row r="25" spans="1:27" ht="13.5" thickBot="1" x14ac:dyDescent="0.25">
      <c r="D25" s="10"/>
      <c r="Z25" s="1247">
        <v>23</v>
      </c>
      <c r="AA25" s="16" t="s">
        <v>336</v>
      </c>
    </row>
    <row r="26" spans="1:27" ht="16.5" thickTop="1" thickBot="1" x14ac:dyDescent="0.25">
      <c r="D26" s="22" t="s">
        <v>313</v>
      </c>
      <c r="E26" s="1540">
        <f>IF(ISBLANK(E24), "", E24-1)</f>
        <v>2016</v>
      </c>
      <c r="F26" s="1541"/>
      <c r="G26" s="1542"/>
      <c r="Z26" s="1247">
        <v>24</v>
      </c>
      <c r="AA26" s="16" t="s">
        <v>337</v>
      </c>
    </row>
    <row r="27" spans="1:27" ht="13.5" thickBot="1" x14ac:dyDescent="0.25">
      <c r="D27" s="23"/>
      <c r="Z27" s="1247">
        <v>25</v>
      </c>
      <c r="AA27" s="16" t="s">
        <v>338</v>
      </c>
    </row>
    <row r="28" spans="1:27" ht="16.5" thickTop="1" thickBot="1" x14ac:dyDescent="0.25">
      <c r="D28" s="22" t="s">
        <v>312</v>
      </c>
      <c r="E28" s="1524">
        <v>2012</v>
      </c>
      <c r="F28" s="1525"/>
      <c r="G28" s="1526"/>
      <c r="Z28" s="1247">
        <v>26</v>
      </c>
      <c r="AA28" s="16" t="s">
        <v>339</v>
      </c>
    </row>
    <row r="29" spans="1:27" x14ac:dyDescent="0.2">
      <c r="Z29" s="1247">
        <v>27</v>
      </c>
      <c r="AA29" s="16" t="s">
        <v>340</v>
      </c>
    </row>
    <row r="30" spans="1:27" ht="14.25" customHeight="1" thickBot="1" x14ac:dyDescent="0.25">
      <c r="A30" s="1527" t="s">
        <v>487</v>
      </c>
      <c r="B30" s="1527"/>
      <c r="C30" s="1527"/>
      <c r="D30" s="1527"/>
      <c r="Z30" s="1247">
        <v>28</v>
      </c>
      <c r="AA30" s="16" t="s">
        <v>754</v>
      </c>
    </row>
    <row r="31" spans="1:27" ht="15.75" customHeight="1" thickTop="1" thickBot="1" x14ac:dyDescent="0.25">
      <c r="A31" s="1527"/>
      <c r="B31" s="1527"/>
      <c r="C31" s="1527"/>
      <c r="D31" s="1527"/>
      <c r="E31" s="1524" t="s">
        <v>105</v>
      </c>
      <c r="F31" s="1525"/>
      <c r="G31" s="1526"/>
      <c r="H31" s="38"/>
      <c r="I31" s="38"/>
      <c r="J31" s="38"/>
      <c r="Z31" s="1247">
        <v>29</v>
      </c>
      <c r="AA31" s="16" t="s">
        <v>341</v>
      </c>
    </row>
    <row r="32" spans="1:27" ht="15.75" customHeight="1" x14ac:dyDescent="0.2">
      <c r="A32" s="36"/>
      <c r="B32" s="36"/>
      <c r="C32" s="36"/>
      <c r="D32" s="36"/>
      <c r="Z32" s="1247">
        <v>30</v>
      </c>
      <c r="AA32" s="16" t="s">
        <v>342</v>
      </c>
    </row>
    <row r="33" spans="1:27" ht="30.75" customHeight="1" thickBot="1" x14ac:dyDescent="0.25">
      <c r="A33" s="1527" t="s">
        <v>1265</v>
      </c>
      <c r="B33" s="1527"/>
      <c r="C33" s="1527"/>
      <c r="D33" s="1527"/>
      <c r="Z33" s="1247">
        <v>31</v>
      </c>
      <c r="AA33" s="16" t="s">
        <v>343</v>
      </c>
    </row>
    <row r="34" spans="1:27" ht="15.75" customHeight="1" thickTop="1" thickBot="1" x14ac:dyDescent="0.25">
      <c r="A34" s="1527"/>
      <c r="B34" s="1527"/>
      <c r="C34" s="1527"/>
      <c r="D34" s="1527"/>
      <c r="E34" s="1524" t="s">
        <v>1299</v>
      </c>
      <c r="F34" s="1525"/>
      <c r="G34" s="1526"/>
      <c r="Z34" s="1247">
        <v>32</v>
      </c>
      <c r="AA34" s="16" t="s">
        <v>344</v>
      </c>
    </row>
    <row r="35" spans="1:27" ht="15.75" customHeight="1" x14ac:dyDescent="0.2">
      <c r="A35" s="42"/>
      <c r="B35" s="42"/>
      <c r="C35" s="42"/>
      <c r="D35" s="42"/>
      <c r="Z35" s="1247">
        <v>33</v>
      </c>
      <c r="AA35" s="16" t="s">
        <v>345</v>
      </c>
    </row>
    <row r="36" spans="1:27" ht="15.75" customHeight="1" thickBot="1" x14ac:dyDescent="0.25">
      <c r="A36" s="1527" t="s">
        <v>1266</v>
      </c>
      <c r="B36" s="1527"/>
      <c r="C36" s="1527"/>
      <c r="D36" s="1527"/>
      <c r="Z36" s="1247">
        <v>34</v>
      </c>
      <c r="AA36" s="16" t="s">
        <v>1184</v>
      </c>
    </row>
    <row r="37" spans="1:27" ht="15.75" customHeight="1" thickTop="1" thickBot="1" x14ac:dyDescent="0.25">
      <c r="A37" s="1527"/>
      <c r="B37" s="1527"/>
      <c r="C37" s="1527"/>
      <c r="D37" s="1527"/>
      <c r="E37" s="46">
        <v>36892</v>
      </c>
      <c r="F37" s="47">
        <v>2013</v>
      </c>
      <c r="Z37" s="1247">
        <v>35</v>
      </c>
      <c r="AA37" s="16" t="s">
        <v>346</v>
      </c>
    </row>
    <row r="38" spans="1:27" ht="30.75" customHeight="1" x14ac:dyDescent="0.2">
      <c r="A38" s="42"/>
      <c r="B38" s="42"/>
      <c r="C38" s="42"/>
      <c r="Z38" s="1247">
        <v>36</v>
      </c>
      <c r="AA38" s="16" t="s">
        <v>347</v>
      </c>
    </row>
    <row r="39" spans="1:27" ht="7.5" customHeight="1" thickBot="1" x14ac:dyDescent="0.25">
      <c r="A39" s="1527" t="s">
        <v>1267</v>
      </c>
      <c r="B39" s="1527"/>
      <c r="C39" s="1527"/>
      <c r="D39" s="1527"/>
      <c r="Z39" s="1247">
        <v>37</v>
      </c>
      <c r="AA39" s="16" t="s">
        <v>1026</v>
      </c>
    </row>
    <row r="40" spans="1:27" ht="26.25" customHeight="1" thickTop="1" thickBot="1" x14ac:dyDescent="0.25">
      <c r="A40" s="1527"/>
      <c r="B40" s="1527"/>
      <c r="C40" s="1527"/>
      <c r="D40" s="1527"/>
      <c r="E40" s="1524">
        <v>2015</v>
      </c>
      <c r="F40" s="1525"/>
      <c r="G40" s="1526"/>
      <c r="Z40" s="1247">
        <v>38</v>
      </c>
      <c r="AA40" s="16" t="s">
        <v>348</v>
      </c>
    </row>
    <row r="41" spans="1:27" ht="12.75" customHeight="1" x14ac:dyDescent="0.2">
      <c r="A41" s="36"/>
      <c r="B41" s="36"/>
      <c r="C41" s="36"/>
      <c r="D41" s="36"/>
      <c r="Z41" s="1247">
        <v>39</v>
      </c>
      <c r="AA41" s="16" t="s">
        <v>349</v>
      </c>
    </row>
    <row r="42" spans="1:27" ht="12.75" customHeight="1" x14ac:dyDescent="0.2">
      <c r="A42" s="37"/>
      <c r="B42" s="37"/>
      <c r="C42" s="37"/>
      <c r="D42" s="37"/>
      <c r="N42" s="13"/>
      <c r="Z42" s="1247">
        <v>40</v>
      </c>
      <c r="AA42" s="16" t="s">
        <v>350</v>
      </c>
    </row>
    <row r="43" spans="1:27" ht="21" customHeight="1" thickBot="1" x14ac:dyDescent="0.25">
      <c r="A43" s="1528" t="s">
        <v>488</v>
      </c>
      <c r="B43" s="1528"/>
      <c r="C43" s="1528"/>
      <c r="D43" s="1528"/>
      <c r="E43" s="1429"/>
      <c r="Z43" s="1247">
        <v>41</v>
      </c>
      <c r="AA43" s="16" t="s">
        <v>351</v>
      </c>
    </row>
    <row r="44" spans="1:27" ht="23.25" customHeight="1" thickTop="1" x14ac:dyDescent="0.2">
      <c r="A44" s="1528"/>
      <c r="B44" s="1528"/>
      <c r="C44" s="1528"/>
      <c r="D44" s="1529"/>
      <c r="E44" s="1428" t="s">
        <v>1299</v>
      </c>
      <c r="Z44" s="1247">
        <v>42</v>
      </c>
      <c r="AA44" s="16" t="s">
        <v>352</v>
      </c>
    </row>
    <row r="45" spans="1:27" ht="12.75" customHeight="1" thickBot="1" x14ac:dyDescent="0.25">
      <c r="B45" s="35"/>
      <c r="C45" s="35"/>
      <c r="D45" s="35"/>
      <c r="Z45" s="1247">
        <v>43</v>
      </c>
      <c r="AA45" s="16" t="s">
        <v>353</v>
      </c>
    </row>
    <row r="46" spans="1:27" ht="23.25" customHeight="1" thickTop="1" thickBot="1" x14ac:dyDescent="0.25">
      <c r="A46" s="1517" t="str">
        <f>"Is " &amp; E14 &amp; " an embedded distributor?"</f>
        <v>Is E.L.K. Energy Inc. an embedded distributor?</v>
      </c>
      <c r="B46" s="1517"/>
      <c r="C46" s="1517"/>
      <c r="D46" s="1518"/>
      <c r="E46" s="1095" t="s">
        <v>1299</v>
      </c>
      <c r="Z46" s="1247">
        <v>44</v>
      </c>
      <c r="AA46" s="16" t="s">
        <v>354</v>
      </c>
    </row>
    <row r="47" spans="1:27" ht="12.75" customHeight="1" x14ac:dyDescent="0.2">
      <c r="B47" s="35"/>
      <c r="C47" s="35"/>
      <c r="D47" s="35"/>
      <c r="Z47" s="1247">
        <v>45</v>
      </c>
      <c r="AA47" s="16" t="s">
        <v>355</v>
      </c>
    </row>
    <row r="48" spans="1:27" ht="12.75" customHeight="1" x14ac:dyDescent="0.2">
      <c r="B48" s="35"/>
      <c r="C48" s="35"/>
      <c r="D48" s="35"/>
      <c r="Z48" s="1247">
        <v>46</v>
      </c>
      <c r="AA48" s="16" t="s">
        <v>356</v>
      </c>
    </row>
    <row r="49" spans="2:27" x14ac:dyDescent="0.2">
      <c r="B49" s="6" t="s">
        <v>311</v>
      </c>
      <c r="Z49" s="1247">
        <v>47</v>
      </c>
      <c r="AA49" s="16" t="s">
        <v>1027</v>
      </c>
    </row>
    <row r="50" spans="2:27" ht="13.5" thickBot="1" x14ac:dyDescent="0.25">
      <c r="Z50" s="1247">
        <v>48</v>
      </c>
      <c r="AA50" s="16" t="s">
        <v>357</v>
      </c>
    </row>
    <row r="51" spans="2:27" ht="13.5" thickBot="1" x14ac:dyDescent="0.25">
      <c r="B51" s="17"/>
      <c r="C51" s="1519" t="s">
        <v>206</v>
      </c>
      <c r="D51" s="1519"/>
      <c r="E51" s="1519"/>
      <c r="F51" s="1519"/>
      <c r="G51" s="1519"/>
      <c r="H51" s="1519"/>
      <c r="I51" s="1519"/>
      <c r="J51" s="1519"/>
      <c r="K51" s="1519"/>
      <c r="L51" s="1519"/>
      <c r="Z51" s="1247">
        <v>49</v>
      </c>
      <c r="AA51" s="16" t="s">
        <v>358</v>
      </c>
    </row>
    <row r="52" spans="2:27" ht="13.5" thickBot="1" x14ac:dyDescent="0.25">
      <c r="Z52" s="1247">
        <v>50</v>
      </c>
      <c r="AA52" s="16" t="s">
        <v>359</v>
      </c>
    </row>
    <row r="53" spans="2:27" ht="13.5" thickBot="1" x14ac:dyDescent="0.25">
      <c r="B53" s="18"/>
      <c r="C53" s="1522" t="s">
        <v>380</v>
      </c>
      <c r="D53" s="1523"/>
      <c r="E53" s="1523"/>
      <c r="F53" s="1523"/>
      <c r="G53" s="1523"/>
      <c r="H53" s="1523"/>
      <c r="I53" s="1523"/>
      <c r="J53" s="1523"/>
      <c r="K53" s="1523"/>
      <c r="L53" s="1523"/>
      <c r="M53" s="1523"/>
      <c r="N53" s="1523"/>
      <c r="Z53" s="1247">
        <v>51</v>
      </c>
      <c r="AA53" s="16" t="s">
        <v>360</v>
      </c>
    </row>
    <row r="54" spans="2:27" ht="13.5" thickBot="1" x14ac:dyDescent="0.25">
      <c r="B54" s="9"/>
      <c r="Z54" s="1247">
        <v>52</v>
      </c>
      <c r="AA54" s="16" t="s">
        <v>755</v>
      </c>
    </row>
    <row r="55" spans="2:27" ht="13.5" customHeight="1" thickBot="1" x14ac:dyDescent="0.25">
      <c r="B55" s="7"/>
      <c r="C55" s="1520" t="s">
        <v>475</v>
      </c>
      <c r="D55" s="1521"/>
      <c r="E55" s="1521"/>
      <c r="F55" s="1521"/>
      <c r="G55" s="1521"/>
      <c r="H55" s="1521"/>
      <c r="I55" s="1521"/>
      <c r="J55" s="1521"/>
      <c r="K55" s="1521"/>
      <c r="L55" s="1521"/>
      <c r="M55" s="1521"/>
      <c r="N55" t="str">
        <f>IF(LEN($G55)&gt;1, (SUMPRODUCT(--($C$78:$C$1000=$C55),--($A$78:$A$1000=$D55), --($B$78:$B$1000=$B55&amp;"_TOTAL"), $L$78:$L$1000)), "")</f>
        <v/>
      </c>
      <c r="O55" t="str">
        <f>IF(LEN($G55)&gt;1, (SUMPRODUCT(--($C$78:$C$1000=$C55),--($A$78:$A$1000=$D55), --($B$78:$B$1000=$B55&amp;"_TOTAL"), $M$78:$M$1000)), "")</f>
        <v/>
      </c>
      <c r="Z55" s="1247">
        <v>53</v>
      </c>
      <c r="AA55" s="16" t="s">
        <v>361</v>
      </c>
    </row>
    <row r="56" spans="2:27" x14ac:dyDescent="0.2">
      <c r="H56" s="1409"/>
      <c r="I56" s="1409"/>
      <c r="J56" s="1409"/>
      <c r="K56" s="1409"/>
      <c r="L56" s="1409"/>
      <c r="M56" s="1409"/>
      <c r="N56" t="str">
        <f t="shared" ref="N56:N74" si="0">IF(LEN($G56)&gt;1, (SUMPRODUCT(--($C$78:$C$1000=$C56),--($A$78:$A$1000=$D56), --($B$78:$B$1000=$B56&amp;"_TOTAL"), $L$78:$L$1000)), "")</f>
        <v/>
      </c>
      <c r="O56" t="str">
        <f t="shared" ref="O56:O74" si="1">IF(LEN($G56)&gt;1, (SUMPRODUCT(--($C$78:$C$1000=$C56),--($A$78:$A$1000=$D56), --($B$78:$B$1000=$B56&amp;"_TOTAL"), $M$78:$M$1000)), "")</f>
        <v/>
      </c>
      <c r="Z56" s="1247">
        <v>54</v>
      </c>
      <c r="AA56" s="16" t="s">
        <v>756</v>
      </c>
    </row>
    <row r="57" spans="2:27" x14ac:dyDescent="0.2">
      <c r="H57" s="1409"/>
      <c r="I57" s="1409"/>
      <c r="J57" s="1409"/>
      <c r="K57" s="1409"/>
      <c r="L57" s="1409"/>
      <c r="M57" s="1409"/>
      <c r="N57" t="str">
        <f t="shared" si="0"/>
        <v/>
      </c>
      <c r="O57" t="str">
        <f t="shared" si="1"/>
        <v/>
      </c>
      <c r="Z57" s="1247">
        <v>55</v>
      </c>
      <c r="AA57" s="16" t="s">
        <v>362</v>
      </c>
    </row>
    <row r="58" spans="2:27" x14ac:dyDescent="0.2">
      <c r="H58" s="1409"/>
      <c r="I58" s="1409"/>
      <c r="J58" s="1409"/>
      <c r="K58" s="1409"/>
      <c r="L58" s="1409"/>
      <c r="M58" s="1409"/>
      <c r="N58" t="str">
        <f t="shared" si="0"/>
        <v/>
      </c>
      <c r="O58" t="str">
        <f t="shared" si="1"/>
        <v/>
      </c>
      <c r="Z58" s="1247">
        <v>56</v>
      </c>
      <c r="AA58" s="16" t="s">
        <v>363</v>
      </c>
    </row>
    <row r="59" spans="2:27" x14ac:dyDescent="0.2">
      <c r="H59" s="1409"/>
      <c r="I59" s="1409"/>
      <c r="J59" s="1409"/>
      <c r="K59" s="1409"/>
      <c r="L59" s="1409"/>
      <c r="M59" s="1409"/>
      <c r="N59" t="str">
        <f t="shared" si="0"/>
        <v/>
      </c>
      <c r="O59" t="str">
        <f t="shared" si="1"/>
        <v/>
      </c>
      <c r="Z59" s="1247">
        <v>57</v>
      </c>
      <c r="AA59" s="16" t="s">
        <v>1185</v>
      </c>
    </row>
    <row r="60" spans="2:27" x14ac:dyDescent="0.2">
      <c r="H60" s="1409"/>
      <c r="I60" s="1409"/>
      <c r="J60" s="1409"/>
      <c r="K60" s="1409"/>
      <c r="L60" s="1409"/>
      <c r="M60" s="1409"/>
      <c r="N60" t="str">
        <f t="shared" si="0"/>
        <v/>
      </c>
      <c r="O60" t="str">
        <f t="shared" si="1"/>
        <v/>
      </c>
      <c r="Z60" s="1247">
        <v>58</v>
      </c>
      <c r="AA60" s="16" t="s">
        <v>364</v>
      </c>
    </row>
    <row r="61" spans="2:27" x14ac:dyDescent="0.2">
      <c r="H61" s="1409"/>
      <c r="I61" s="1409"/>
      <c r="J61" s="1409"/>
      <c r="K61" s="1409"/>
      <c r="L61" s="1409"/>
      <c r="M61" s="1409"/>
      <c r="N61" t="str">
        <f t="shared" si="0"/>
        <v/>
      </c>
      <c r="O61" t="str">
        <f t="shared" si="1"/>
        <v/>
      </c>
      <c r="Z61" s="1247">
        <v>59</v>
      </c>
      <c r="AA61" s="16" t="s">
        <v>365</v>
      </c>
    </row>
    <row r="62" spans="2:27" x14ac:dyDescent="0.2">
      <c r="H62" s="1409"/>
      <c r="I62" s="1409"/>
      <c r="J62" s="1409"/>
      <c r="K62" s="1409"/>
      <c r="L62" s="1409"/>
      <c r="M62" s="1409"/>
      <c r="N62" t="str">
        <f t="shared" si="0"/>
        <v/>
      </c>
      <c r="O62" t="str">
        <f t="shared" si="1"/>
        <v/>
      </c>
      <c r="Z62" s="1247">
        <v>60</v>
      </c>
      <c r="AA62" s="16" t="s">
        <v>366</v>
      </c>
    </row>
    <row r="63" spans="2:27" x14ac:dyDescent="0.2">
      <c r="H63" s="1409"/>
      <c r="I63" s="1409"/>
      <c r="J63" s="1409"/>
      <c r="K63" s="1409"/>
      <c r="L63" s="1409"/>
      <c r="M63" s="1409"/>
      <c r="N63" t="str">
        <f t="shared" si="0"/>
        <v/>
      </c>
      <c r="O63" t="str">
        <f t="shared" si="1"/>
        <v/>
      </c>
      <c r="Z63" s="1247">
        <v>61</v>
      </c>
      <c r="AA63" s="16" t="s">
        <v>367</v>
      </c>
    </row>
    <row r="64" spans="2:27" x14ac:dyDescent="0.2">
      <c r="H64" s="1409"/>
      <c r="I64" s="1409"/>
      <c r="J64" s="1409"/>
      <c r="K64" s="1409"/>
      <c r="L64" s="1409"/>
      <c r="M64" s="1409"/>
      <c r="N64" t="str">
        <f t="shared" si="0"/>
        <v/>
      </c>
      <c r="O64" t="str">
        <f t="shared" si="1"/>
        <v/>
      </c>
      <c r="Z64" s="1247">
        <v>62</v>
      </c>
      <c r="AA64" s="16" t="s">
        <v>369</v>
      </c>
    </row>
    <row r="65" spans="8:27" x14ac:dyDescent="0.2">
      <c r="H65" s="1409"/>
      <c r="I65" s="1409"/>
      <c r="J65" s="1409"/>
      <c r="K65" s="1409"/>
      <c r="L65" s="1409"/>
      <c r="M65" s="1409"/>
      <c r="N65" t="str">
        <f t="shared" si="0"/>
        <v/>
      </c>
      <c r="O65" t="str">
        <f t="shared" si="1"/>
        <v/>
      </c>
      <c r="Z65" s="1247">
        <v>63</v>
      </c>
      <c r="AA65" s="16" t="s">
        <v>368</v>
      </c>
    </row>
    <row r="66" spans="8:27" x14ac:dyDescent="0.2">
      <c r="H66" s="1409"/>
      <c r="I66" s="1409"/>
      <c r="J66" s="1409"/>
      <c r="K66" s="1409"/>
      <c r="L66" s="1409"/>
      <c r="M66" s="1409"/>
      <c r="N66" t="str">
        <f t="shared" si="0"/>
        <v/>
      </c>
      <c r="O66" t="str">
        <f t="shared" si="1"/>
        <v/>
      </c>
      <c r="Z66" s="1247">
        <v>64</v>
      </c>
      <c r="AA66" s="16" t="s">
        <v>757</v>
      </c>
    </row>
    <row r="67" spans="8:27" x14ac:dyDescent="0.2">
      <c r="H67" s="1409"/>
      <c r="I67" s="1409"/>
      <c r="J67" s="1409"/>
      <c r="K67" s="1409"/>
      <c r="L67" s="1409"/>
      <c r="M67" s="1409"/>
      <c r="N67" t="str">
        <f t="shared" si="0"/>
        <v/>
      </c>
      <c r="O67" t="str">
        <f t="shared" si="1"/>
        <v/>
      </c>
      <c r="Z67" s="1247">
        <v>65</v>
      </c>
      <c r="AA67" s="16" t="s">
        <v>370</v>
      </c>
    </row>
    <row r="68" spans="8:27" x14ac:dyDescent="0.2">
      <c r="H68" s="1409"/>
      <c r="I68" s="1409"/>
      <c r="J68" s="1409"/>
      <c r="K68" s="1409"/>
      <c r="L68" s="1409"/>
      <c r="M68" s="1409"/>
      <c r="N68" t="str">
        <f t="shared" si="0"/>
        <v/>
      </c>
      <c r="O68" t="str">
        <f t="shared" si="1"/>
        <v/>
      </c>
      <c r="Z68" s="1247">
        <v>66</v>
      </c>
      <c r="AA68" s="16" t="s">
        <v>371</v>
      </c>
    </row>
    <row r="69" spans="8:27" x14ac:dyDescent="0.2">
      <c r="H69" s="1409"/>
      <c r="I69" s="1409"/>
      <c r="J69" s="1409"/>
      <c r="K69" s="1409"/>
      <c r="L69" s="1409"/>
      <c r="M69" s="1409"/>
      <c r="N69" t="str">
        <f t="shared" si="0"/>
        <v/>
      </c>
      <c r="O69" t="str">
        <f t="shared" si="1"/>
        <v/>
      </c>
      <c r="Z69" s="1247">
        <v>67</v>
      </c>
      <c r="AA69" s="16" t="s">
        <v>372</v>
      </c>
    </row>
    <row r="70" spans="8:27" x14ac:dyDescent="0.2">
      <c r="H70" s="1409"/>
      <c r="I70" s="1409"/>
      <c r="J70" s="1409"/>
      <c r="K70" s="1409"/>
      <c r="L70" s="1409"/>
      <c r="M70" s="1409"/>
      <c r="N70" t="str">
        <f t="shared" si="0"/>
        <v/>
      </c>
      <c r="O70" t="str">
        <f t="shared" si="1"/>
        <v/>
      </c>
      <c r="Z70" s="1247">
        <v>68</v>
      </c>
      <c r="AA70" s="16" t="s">
        <v>373</v>
      </c>
    </row>
    <row r="71" spans="8:27" x14ac:dyDescent="0.2">
      <c r="H71" s="1409"/>
      <c r="I71" s="1409"/>
      <c r="J71" s="1409"/>
      <c r="K71" s="1409"/>
      <c r="L71" s="1409"/>
      <c r="M71" s="1409"/>
      <c r="N71" t="str">
        <f t="shared" si="0"/>
        <v/>
      </c>
      <c r="O71" t="str">
        <f t="shared" si="1"/>
        <v/>
      </c>
      <c r="Z71" s="1247">
        <v>69</v>
      </c>
      <c r="AA71" s="16" t="s">
        <v>374</v>
      </c>
    </row>
    <row r="72" spans="8:27" x14ac:dyDescent="0.2">
      <c r="H72" s="1409"/>
      <c r="I72" s="1409"/>
      <c r="J72" s="1409"/>
      <c r="K72" s="1409"/>
      <c r="L72" s="1409"/>
      <c r="M72" s="1409"/>
      <c r="N72" t="str">
        <f t="shared" si="0"/>
        <v/>
      </c>
      <c r="O72" t="str">
        <f t="shared" si="1"/>
        <v/>
      </c>
      <c r="Z72" s="1247">
        <v>70</v>
      </c>
      <c r="AA72" s="16" t="s">
        <v>758</v>
      </c>
    </row>
    <row r="73" spans="8:27" x14ac:dyDescent="0.2">
      <c r="H73" s="1409"/>
      <c r="I73" s="1409"/>
      <c r="J73" s="1409"/>
      <c r="K73" s="1409"/>
      <c r="L73" s="1409"/>
      <c r="M73" s="1409"/>
      <c r="N73" t="str">
        <f t="shared" si="0"/>
        <v/>
      </c>
      <c r="O73" t="str">
        <f t="shared" si="1"/>
        <v/>
      </c>
      <c r="Z73" s="1247">
        <v>71</v>
      </c>
      <c r="AA73" s="16" t="s">
        <v>375</v>
      </c>
    </row>
    <row r="74" spans="8:27" x14ac:dyDescent="0.2">
      <c r="H74" s="1409"/>
      <c r="I74" s="1409"/>
      <c r="J74" s="1409"/>
      <c r="K74" s="1409"/>
      <c r="L74" s="1409"/>
      <c r="M74" s="1409"/>
      <c r="N74" t="str">
        <f t="shared" si="0"/>
        <v/>
      </c>
      <c r="O74" t="str">
        <f t="shared" si="1"/>
        <v/>
      </c>
      <c r="Z74" s="1247">
        <v>72</v>
      </c>
      <c r="AA74" s="16" t="s">
        <v>376</v>
      </c>
    </row>
    <row r="75" spans="8:27" x14ac:dyDescent="0.2">
      <c r="Z75" s="1247">
        <v>73</v>
      </c>
      <c r="AA75" s="16" t="s">
        <v>377</v>
      </c>
    </row>
    <row r="76" spans="8:27" x14ac:dyDescent="0.2">
      <c r="Z76" s="1247">
        <v>74</v>
      </c>
      <c r="AA76" s="16" t="s">
        <v>378</v>
      </c>
    </row>
    <row r="77" spans="8:27" x14ac:dyDescent="0.2">
      <c r="Z77" s="1247">
        <v>75</v>
      </c>
      <c r="AA77" s="16" t="s">
        <v>379</v>
      </c>
    </row>
  </sheetData>
  <sheetProtection password="F8BD" sheet="1" objects="1" scenarios="1"/>
  <mergeCells count="19">
    <mergeCell ref="E18:K18"/>
    <mergeCell ref="E14:K14"/>
    <mergeCell ref="E16:I16"/>
    <mergeCell ref="E20:I20"/>
    <mergeCell ref="E26:G26"/>
    <mergeCell ref="E24:G24"/>
    <mergeCell ref="A46:D46"/>
    <mergeCell ref="C51:L51"/>
    <mergeCell ref="C55:M55"/>
    <mergeCell ref="C53:N53"/>
    <mergeCell ref="E28:G28"/>
    <mergeCell ref="E31:G31"/>
    <mergeCell ref="A30:D31"/>
    <mergeCell ref="A43:D44"/>
    <mergeCell ref="A39:D40"/>
    <mergeCell ref="E40:G40"/>
    <mergeCell ref="A33:D34"/>
    <mergeCell ref="E34:G34"/>
    <mergeCell ref="A36:D37"/>
  </mergeCells>
  <phoneticPr fontId="16" type="noConversion"/>
  <dataValidations count="9">
    <dataValidation allowBlank="1" showErrorMessage="1" error="Use the following date format when inserting a date:_x000a__x000a_Eg:  &quot;January 1, 2013&quot;" prompt="Use the following format eg: January 1, 2013" sqref="E26:G26 F46:G46"/>
    <dataValidation type="list" allowBlank="1" showErrorMessage="1" error="Use the following date format when inserting a date:_x000a__x000a_Eg:  &quot;January 1, 2013&quot;" prompt="Use the following format eg: January 1, 2013" sqref="E31:G31">
      <formula1>"MIFRS,USGAAP, ASPE"</formula1>
    </dataValidation>
    <dataValidation type="list" allowBlank="1" showErrorMessage="1" prompt="Use the following format eg: January 1, 2013" sqref="E44">
      <formula1>"Yes, No"</formula1>
    </dataValidation>
    <dataValidation type="list" allowBlank="1" showErrorMessage="1" error="Use the following date format when inserting a date:_x000a__x000a_Eg:  &quot;January 1, 2013&quot;" prompt="Use the following format eg: January 1, 2013" sqref="E40:G40">
      <formula1>"2012,2013, 2014, 2015 "</formula1>
    </dataValidation>
    <dataValidation type="list" allowBlank="1" showErrorMessage="1" error="Use the following date format when inserting a date:_x000a__x000a_Eg:  &quot;January 1, 2013&quot;" prompt="Use the following format eg: January 1, 2013" sqref="E34:G34 E46">
      <formula1>"Yes, No"</formula1>
    </dataValidation>
    <dataValidation type="list" allowBlank="1" showErrorMessage="1" error="Use the following date format when inserting a date:_x000a__x000a_Eg:  &quot;January 1, 2013&quot;" prompt="Use the following format eg: January 1, 2013" sqref="E28:G28">
      <formula1>"2008,2009,2010,2011,2012,2013, 2014,2015"</formula1>
    </dataValidation>
    <dataValidation type="list" allowBlank="1" showErrorMessage="1" error="Use the following date format when inserting a date:_x000a__x000a_Eg:  &quot;January 1, 2013&quot;" prompt="Use the following format eg: January 1, 2013" sqref="E24:G24">
      <formula1>"2010,2011,2012,2013, 2014, 2015, 2016, 2017"</formula1>
    </dataValidation>
    <dataValidation type="list" allowBlank="1" showErrorMessage="1" error="Use the following date format when inserting a date:_x000a__x000a_Eg:  &quot;January 1, 2013&quot;" prompt="Use the following format eg: January 1, 2013" sqref="F37">
      <formula1>"2012, 2013"</formula1>
    </dataValidation>
    <dataValidation type="list" allowBlank="1" showInputMessage="1" showErrorMessage="1" sqref="E14:K14">
      <formula1>LDCLIST</formula1>
    </dataValidation>
  </dataValidations>
  <pageMargins left="0.75" right="0.75" top="1" bottom="1" header="0.5" footer="0.5"/>
  <pageSetup scale="66" orientation="portrait" r:id="rId1"/>
  <headerFooter alignWithMargins="0"/>
  <colBreaks count="1" manualBreakCount="1">
    <brk id="15" max="1048575" man="1"/>
  </col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tabColor rgb="FF92D050"/>
    <pageSetUpPr fitToPage="1"/>
  </sheetPr>
  <dimension ref="A1:U56"/>
  <sheetViews>
    <sheetView showGridLines="0" zoomScaleNormal="100" workbookViewId="0">
      <selection activeCell="B34" sqref="B34"/>
    </sheetView>
  </sheetViews>
  <sheetFormatPr defaultRowHeight="12.75" x14ac:dyDescent="0.2"/>
  <cols>
    <col min="2" max="2" width="59.42578125" customWidth="1"/>
    <col min="3" max="3" width="10" customWidth="1"/>
    <col min="4" max="5" width="3" bestFit="1" customWidth="1"/>
    <col min="6" max="6" width="53" customWidth="1"/>
    <col min="13" max="13" width="33.42578125" bestFit="1" customWidth="1"/>
    <col min="15" max="15" width="121.42578125" bestFit="1" customWidth="1"/>
  </cols>
  <sheetData>
    <row r="1" spans="1:21" x14ac:dyDescent="0.2">
      <c r="M1" s="28"/>
      <c r="O1" s="54"/>
      <c r="U1" s="28"/>
    </row>
    <row r="2" spans="1:21" x14ac:dyDescent="0.2">
      <c r="M2" s="54"/>
      <c r="O2" s="54"/>
    </row>
    <row r="3" spans="1:21" x14ac:dyDescent="0.2">
      <c r="M3" s="28"/>
      <c r="O3" s="54"/>
    </row>
    <row r="4" spans="1:21" x14ac:dyDescent="0.2">
      <c r="M4" s="28"/>
      <c r="O4" s="54"/>
    </row>
    <row r="5" spans="1:21" x14ac:dyDescent="0.2">
      <c r="M5" s="28"/>
      <c r="O5" s="54"/>
    </row>
    <row r="6" spans="1:21" x14ac:dyDescent="0.2">
      <c r="M6" s="28"/>
      <c r="O6" s="54"/>
    </row>
    <row r="7" spans="1:21" ht="18" x14ac:dyDescent="0.25">
      <c r="C7" s="15"/>
      <c r="M7" s="28"/>
      <c r="O7" s="54"/>
    </row>
    <row r="8" spans="1:21" x14ac:dyDescent="0.2">
      <c r="C8" s="11"/>
      <c r="M8" s="28"/>
      <c r="O8" s="54"/>
    </row>
    <row r="9" spans="1:21" x14ac:dyDescent="0.2">
      <c r="C9" s="12"/>
      <c r="M9" s="28"/>
      <c r="O9" s="54"/>
    </row>
    <row r="10" spans="1:21" x14ac:dyDescent="0.2">
      <c r="C10" s="12"/>
      <c r="M10" s="28"/>
      <c r="O10" s="54"/>
    </row>
    <row r="11" spans="1:21" x14ac:dyDescent="0.2">
      <c r="C11" s="12"/>
      <c r="M11" s="28"/>
      <c r="O11" s="55"/>
    </row>
    <row r="12" spans="1:21" x14ac:dyDescent="0.2">
      <c r="C12" s="12"/>
      <c r="M12" s="28"/>
      <c r="O12" s="55"/>
    </row>
    <row r="13" spans="1:21" ht="15" customHeight="1" x14ac:dyDescent="0.2">
      <c r="A13" s="24"/>
      <c r="C13" s="12"/>
      <c r="M13" s="28"/>
      <c r="O13" s="55"/>
    </row>
    <row r="14" spans="1:21" x14ac:dyDescent="0.2">
      <c r="C14" s="3"/>
      <c r="M14" s="28"/>
      <c r="O14" s="55"/>
    </row>
    <row r="15" spans="1:21" x14ac:dyDescent="0.2">
      <c r="A15" s="27">
        <v>1</v>
      </c>
      <c r="B15" s="54" t="s">
        <v>444</v>
      </c>
      <c r="C15" s="49"/>
      <c r="D15" s="50"/>
      <c r="E15" s="3">
        <v>27</v>
      </c>
      <c r="F15" s="28" t="s">
        <v>974</v>
      </c>
      <c r="G15" s="49"/>
      <c r="M15" s="28"/>
      <c r="O15" s="55"/>
    </row>
    <row r="16" spans="1:21" x14ac:dyDescent="0.2">
      <c r="A16" s="3">
        <v>2</v>
      </c>
      <c r="B16" s="54" t="s">
        <v>443</v>
      </c>
      <c r="C16" s="13"/>
      <c r="E16" s="3">
        <v>28</v>
      </c>
      <c r="F16" s="28" t="s">
        <v>973</v>
      </c>
      <c r="G16" s="13"/>
      <c r="M16" s="28"/>
      <c r="O16" s="55"/>
    </row>
    <row r="17" spans="1:15" x14ac:dyDescent="0.2">
      <c r="A17" s="3">
        <v>3</v>
      </c>
      <c r="B17" s="54" t="s">
        <v>630</v>
      </c>
      <c r="C17" s="13"/>
      <c r="E17" s="3">
        <v>29</v>
      </c>
      <c r="F17" s="28" t="s">
        <v>975</v>
      </c>
      <c r="G17" s="13"/>
      <c r="M17" s="28"/>
      <c r="O17" s="55"/>
    </row>
    <row r="18" spans="1:15" x14ac:dyDescent="0.2">
      <c r="A18" s="3">
        <v>4</v>
      </c>
      <c r="B18" s="54" t="s">
        <v>620</v>
      </c>
      <c r="C18" s="13"/>
      <c r="E18" s="3">
        <v>30</v>
      </c>
      <c r="F18" s="28" t="s">
        <v>1215</v>
      </c>
      <c r="G18" s="13"/>
      <c r="M18" s="28"/>
      <c r="O18" s="55"/>
    </row>
    <row r="19" spans="1:15" x14ac:dyDescent="0.2">
      <c r="A19" s="3">
        <v>5</v>
      </c>
      <c r="B19" s="54" t="s">
        <v>1245</v>
      </c>
      <c r="C19" s="13"/>
      <c r="E19" s="3">
        <v>31</v>
      </c>
      <c r="F19" s="28" t="s">
        <v>1216</v>
      </c>
      <c r="G19" s="13"/>
      <c r="M19" s="28"/>
      <c r="O19" s="55"/>
    </row>
    <row r="20" spans="1:15" x14ac:dyDescent="0.2">
      <c r="A20" s="3">
        <v>6</v>
      </c>
      <c r="B20" s="54" t="s">
        <v>961</v>
      </c>
      <c r="C20" s="13"/>
      <c r="E20" s="3">
        <v>32</v>
      </c>
      <c r="F20" s="28" t="s">
        <v>976</v>
      </c>
      <c r="G20" s="13"/>
      <c r="M20" s="28"/>
      <c r="O20" s="55"/>
    </row>
    <row r="21" spans="1:15" x14ac:dyDescent="0.2">
      <c r="A21" s="3">
        <v>7</v>
      </c>
      <c r="B21" s="54" t="s">
        <v>962</v>
      </c>
      <c r="C21" s="13"/>
      <c r="E21" s="3">
        <v>33</v>
      </c>
      <c r="F21" s="28" t="s">
        <v>977</v>
      </c>
      <c r="G21" s="13"/>
      <c r="M21" s="28"/>
      <c r="O21" s="55"/>
    </row>
    <row r="22" spans="1:15" x14ac:dyDescent="0.2">
      <c r="A22" s="3">
        <v>8</v>
      </c>
      <c r="B22" s="54" t="s">
        <v>963</v>
      </c>
      <c r="C22" s="13"/>
      <c r="E22" s="3">
        <v>34</v>
      </c>
      <c r="F22" s="28" t="s">
        <v>1033</v>
      </c>
      <c r="G22" s="13"/>
      <c r="M22" s="28"/>
      <c r="O22" s="55"/>
    </row>
    <row r="23" spans="1:15" x14ac:dyDescent="0.2">
      <c r="A23" s="3">
        <v>9</v>
      </c>
      <c r="B23" s="54" t="s">
        <v>964</v>
      </c>
      <c r="C23" s="13"/>
      <c r="E23" s="3">
        <v>35</v>
      </c>
      <c r="F23" s="28" t="s">
        <v>978</v>
      </c>
      <c r="G23" s="13"/>
      <c r="L23" s="45"/>
      <c r="M23" s="28"/>
      <c r="O23" s="55"/>
    </row>
    <row r="24" spans="1:15" x14ac:dyDescent="0.2">
      <c r="A24" s="3">
        <v>10</v>
      </c>
      <c r="B24" s="54" t="s">
        <v>965</v>
      </c>
      <c r="C24" s="13"/>
      <c r="E24" s="3">
        <v>36</v>
      </c>
      <c r="F24" s="28" t="s">
        <v>1158</v>
      </c>
      <c r="G24" s="13"/>
      <c r="L24" s="45"/>
      <c r="M24" s="28"/>
      <c r="O24" s="54"/>
    </row>
    <row r="25" spans="1:15" x14ac:dyDescent="0.2">
      <c r="A25" s="3">
        <v>11</v>
      </c>
      <c r="B25" s="54" t="s">
        <v>631</v>
      </c>
      <c r="C25" s="13"/>
      <c r="E25" s="3">
        <v>37</v>
      </c>
      <c r="F25" s="28" t="s">
        <v>979</v>
      </c>
      <c r="G25" s="13"/>
      <c r="L25" s="45"/>
      <c r="M25" s="28"/>
      <c r="O25" s="54"/>
    </row>
    <row r="26" spans="1:15" x14ac:dyDescent="0.2">
      <c r="A26" s="3">
        <v>12</v>
      </c>
      <c r="B26" s="55" t="s">
        <v>1171</v>
      </c>
      <c r="C26" s="13"/>
      <c r="E26" s="3">
        <v>38</v>
      </c>
      <c r="F26" s="28" t="s">
        <v>980</v>
      </c>
      <c r="G26" s="13"/>
      <c r="L26" s="45"/>
      <c r="M26" s="28"/>
      <c r="O26" s="54"/>
    </row>
    <row r="27" spans="1:15" x14ac:dyDescent="0.2">
      <c r="A27" s="3">
        <v>13</v>
      </c>
      <c r="B27" s="55" t="s">
        <v>1172</v>
      </c>
      <c r="C27" s="13"/>
      <c r="E27" s="3">
        <v>39</v>
      </c>
      <c r="F27" s="28" t="s">
        <v>1238</v>
      </c>
      <c r="G27" s="13"/>
      <c r="L27" s="45"/>
      <c r="M27" s="28"/>
      <c r="O27" s="54"/>
    </row>
    <row r="28" spans="1:15" x14ac:dyDescent="0.2">
      <c r="A28" s="3">
        <v>14</v>
      </c>
      <c r="B28" s="55" t="s">
        <v>1173</v>
      </c>
      <c r="C28" s="13"/>
      <c r="E28" s="3">
        <v>40</v>
      </c>
      <c r="F28" s="28" t="s">
        <v>960</v>
      </c>
      <c r="G28" s="25"/>
      <c r="L28" s="45"/>
      <c r="M28" s="28"/>
      <c r="O28" s="54"/>
    </row>
    <row r="29" spans="1:15" x14ac:dyDescent="0.2">
      <c r="A29" s="3">
        <v>15</v>
      </c>
      <c r="B29" s="55" t="s">
        <v>1174</v>
      </c>
      <c r="C29" s="13"/>
      <c r="E29" s="3">
        <v>41</v>
      </c>
      <c r="F29" s="28" t="s">
        <v>959</v>
      </c>
      <c r="G29" s="25"/>
      <c r="L29" s="45"/>
      <c r="M29" s="28"/>
      <c r="O29" s="28"/>
    </row>
    <row r="30" spans="1:15" x14ac:dyDescent="0.2">
      <c r="A30" s="3">
        <v>16</v>
      </c>
      <c r="B30" s="55" t="s">
        <v>1175</v>
      </c>
      <c r="C30" s="13"/>
      <c r="E30" s="3">
        <v>42</v>
      </c>
      <c r="F30" s="28" t="s">
        <v>958</v>
      </c>
      <c r="G30" s="25"/>
      <c r="L30" s="45"/>
      <c r="M30" s="28"/>
      <c r="O30" s="28"/>
    </row>
    <row r="31" spans="1:15" x14ac:dyDescent="0.2">
      <c r="A31" s="3">
        <v>17</v>
      </c>
      <c r="B31" s="55" t="s">
        <v>1176</v>
      </c>
      <c r="C31" s="13"/>
      <c r="E31" s="3">
        <v>43</v>
      </c>
      <c r="F31" s="28" t="s">
        <v>957</v>
      </c>
      <c r="G31" s="13"/>
      <c r="L31" s="45"/>
      <c r="M31" s="28"/>
      <c r="O31" s="28"/>
    </row>
    <row r="32" spans="1:15" x14ac:dyDescent="0.2">
      <c r="A32" s="3">
        <v>18</v>
      </c>
      <c r="B32" s="55" t="s">
        <v>1177</v>
      </c>
      <c r="C32" s="13"/>
      <c r="E32" s="3">
        <v>44</v>
      </c>
      <c r="F32" s="28" t="s">
        <v>956</v>
      </c>
      <c r="G32" s="13"/>
      <c r="L32" s="45"/>
      <c r="M32" s="28"/>
      <c r="O32" s="28"/>
    </row>
    <row r="33" spans="1:15" x14ac:dyDescent="0.2">
      <c r="A33" s="3">
        <v>19</v>
      </c>
      <c r="B33" s="55" t="s">
        <v>1178</v>
      </c>
      <c r="C33" s="26"/>
      <c r="E33" s="3">
        <v>45</v>
      </c>
      <c r="F33" s="28" t="s">
        <v>955</v>
      </c>
      <c r="G33" s="13"/>
      <c r="M33" s="28"/>
      <c r="O33" s="28"/>
    </row>
    <row r="34" spans="1:15" x14ac:dyDescent="0.2">
      <c r="A34" s="3">
        <v>20</v>
      </c>
      <c r="B34" s="55" t="s">
        <v>966</v>
      </c>
      <c r="C34" s="2"/>
      <c r="E34" s="3">
        <v>46</v>
      </c>
      <c r="F34" s="28" t="s">
        <v>1237</v>
      </c>
      <c r="I34" s="2"/>
      <c r="M34" s="28"/>
      <c r="O34" s="28"/>
    </row>
    <row r="35" spans="1:15" x14ac:dyDescent="0.2">
      <c r="A35" s="3">
        <v>21</v>
      </c>
      <c r="B35" s="55" t="s">
        <v>967</v>
      </c>
      <c r="C35" s="2"/>
      <c r="E35" s="3"/>
      <c r="F35" s="3"/>
      <c r="I35" s="2"/>
      <c r="M35" s="28"/>
      <c r="O35" s="28"/>
    </row>
    <row r="36" spans="1:15" x14ac:dyDescent="0.2">
      <c r="A36" s="3">
        <v>22</v>
      </c>
      <c r="B36" s="54" t="s">
        <v>968</v>
      </c>
      <c r="C36" s="2"/>
      <c r="E36" s="3"/>
      <c r="F36" s="28"/>
      <c r="M36" s="28"/>
      <c r="O36" s="28"/>
    </row>
    <row r="37" spans="1:15" x14ac:dyDescent="0.2">
      <c r="A37" s="3">
        <v>23</v>
      </c>
      <c r="B37" s="54" t="s">
        <v>969</v>
      </c>
      <c r="C37" s="19"/>
      <c r="E37" s="3"/>
      <c r="F37" s="3"/>
      <c r="I37" s="2"/>
      <c r="M37" s="28"/>
      <c r="O37" s="28"/>
    </row>
    <row r="38" spans="1:15" ht="12.75" customHeight="1" x14ac:dyDescent="0.2">
      <c r="A38" s="3">
        <v>24</v>
      </c>
      <c r="B38" s="54" t="s">
        <v>970</v>
      </c>
      <c r="C38" s="2"/>
      <c r="E38" s="3"/>
      <c r="F38" s="3"/>
      <c r="I38" s="2"/>
      <c r="M38" s="28"/>
      <c r="O38" s="28"/>
    </row>
    <row r="39" spans="1:15" x14ac:dyDescent="0.2">
      <c r="A39" s="3">
        <v>25</v>
      </c>
      <c r="B39" s="54" t="s">
        <v>971</v>
      </c>
      <c r="C39" s="3"/>
      <c r="D39" s="28"/>
      <c r="E39" s="3"/>
      <c r="F39" s="28"/>
      <c r="I39" s="2"/>
      <c r="M39" s="28"/>
      <c r="O39" s="28"/>
    </row>
    <row r="40" spans="1:15" x14ac:dyDescent="0.2">
      <c r="A40" s="3">
        <v>26</v>
      </c>
      <c r="B40" s="54" t="s">
        <v>972</v>
      </c>
      <c r="C40" s="3"/>
      <c r="D40" s="28"/>
      <c r="E40" s="3"/>
      <c r="F40" s="29"/>
      <c r="I40" s="19"/>
      <c r="M40" s="28"/>
      <c r="O40" s="28"/>
    </row>
    <row r="41" spans="1:15" ht="12.75" customHeight="1" x14ac:dyDescent="0.2">
      <c r="A41" s="3"/>
      <c r="C41" s="3"/>
      <c r="D41" s="28"/>
      <c r="E41" s="3"/>
      <c r="G41" s="3"/>
      <c r="H41" s="3"/>
      <c r="M41" s="28"/>
      <c r="O41" s="28"/>
    </row>
    <row r="42" spans="1:15" ht="27.75" customHeight="1" x14ac:dyDescent="0.2">
      <c r="A42" s="1422" t="s">
        <v>117</v>
      </c>
      <c r="B42" s="1543" t="s">
        <v>1256</v>
      </c>
      <c r="C42" s="1543"/>
      <c r="D42" s="1543"/>
      <c r="E42" s="1543"/>
      <c r="F42" s="1543"/>
      <c r="G42" s="3"/>
      <c r="H42" s="3"/>
      <c r="M42" s="28"/>
      <c r="O42" s="28"/>
    </row>
    <row r="43" spans="1:15" x14ac:dyDescent="0.2">
      <c r="A43" s="8"/>
      <c r="C43" s="3"/>
      <c r="D43" s="3"/>
      <c r="E43" s="3"/>
      <c r="G43" s="3"/>
      <c r="H43" s="3"/>
      <c r="M43" s="28"/>
      <c r="O43" s="28"/>
    </row>
    <row r="44" spans="1:15" x14ac:dyDescent="0.2">
      <c r="A44" s="3"/>
      <c r="C44" s="3"/>
      <c r="D44" s="3"/>
      <c r="E44" s="3"/>
      <c r="G44" s="3"/>
      <c r="H44" s="3"/>
      <c r="M44" s="28"/>
      <c r="O44" s="28"/>
    </row>
    <row r="45" spans="1:15" x14ac:dyDescent="0.2">
      <c r="A45" s="3"/>
      <c r="D45" s="3"/>
      <c r="G45" s="3"/>
      <c r="H45" s="3"/>
      <c r="M45" s="28"/>
      <c r="O45" s="28"/>
    </row>
    <row r="46" spans="1:15" x14ac:dyDescent="0.2">
      <c r="A46" s="3"/>
      <c r="D46" s="3"/>
      <c r="G46" s="3"/>
      <c r="H46" s="3"/>
      <c r="M46" s="28"/>
      <c r="O46" s="28"/>
    </row>
    <row r="47" spans="1:15" x14ac:dyDescent="0.2">
      <c r="A47" s="3"/>
      <c r="D47" s="3"/>
      <c r="M47" s="28"/>
      <c r="O47" s="28"/>
    </row>
    <row r="48" spans="1:15" x14ac:dyDescent="0.2">
      <c r="A48" s="3"/>
      <c r="D48" s="28"/>
      <c r="M48" s="28"/>
      <c r="O48" s="28"/>
    </row>
    <row r="49" spans="1:15" x14ac:dyDescent="0.2">
      <c r="A49" s="3"/>
      <c r="D49" s="28"/>
      <c r="M49" s="28"/>
      <c r="O49" s="28"/>
    </row>
    <row r="50" spans="1:15" x14ac:dyDescent="0.2">
      <c r="D50" s="28"/>
      <c r="M50" s="28"/>
      <c r="O50" s="28"/>
    </row>
    <row r="51" spans="1:15" x14ac:dyDescent="0.2">
      <c r="D51" s="28"/>
      <c r="G51" s="13"/>
      <c r="M51" s="28"/>
      <c r="O51" s="28"/>
    </row>
    <row r="52" spans="1:15" x14ac:dyDescent="0.2">
      <c r="D52" s="28"/>
      <c r="F52" s="13"/>
      <c r="M52" s="28"/>
      <c r="O52" s="28"/>
    </row>
    <row r="53" spans="1:15" x14ac:dyDescent="0.2">
      <c r="D53" s="28"/>
      <c r="F53" s="13"/>
      <c r="M53" s="28"/>
      <c r="O53" s="3"/>
    </row>
    <row r="54" spans="1:15" x14ac:dyDescent="0.2">
      <c r="F54" s="13"/>
      <c r="M54" s="28"/>
    </row>
    <row r="55" spans="1:15" x14ac:dyDescent="0.2">
      <c r="M55" s="28"/>
    </row>
    <row r="56" spans="1:15" x14ac:dyDescent="0.2">
      <c r="M56" s="28"/>
    </row>
  </sheetData>
  <sheetProtection password="F8BD" sheet="1" objects="1" scenarios="1"/>
  <mergeCells count="1">
    <mergeCell ref="B42:F42"/>
  </mergeCells>
  <phoneticPr fontId="16" type="noConversion"/>
  <hyperlinks>
    <hyperlink ref="B15" location="'LDC Info'!A1" display="LDC Information Sheet"/>
    <hyperlink ref="B16:B39" display="Index"/>
    <hyperlink ref="B39:B40" display="App.2-FB: Calculation of Renewable Generation Connection Direct Benefits/Provincial Amount: Renewable Enabling Improvement Investments"/>
    <hyperlink ref="B16" location="Index!A1" display="Index"/>
    <hyperlink ref="B17" location="'COS Flowchart'!A1" display="Cost of Service Application Flowchart"/>
    <hyperlink ref="B18" location="'List of Key References'!A1" display="List of Key References"/>
    <hyperlink ref="B20" location="'App.2-AA_Capital Projects'!A1" display="App.2-AA: Capital Projects Table"/>
    <hyperlink ref="B21" location="'App.2-AB_Capital Expenditures'!A1" display="App.2-AB: Capital Expenditures"/>
    <hyperlink ref="B22" location="'App.2-AC_Customer Engagement'!A1" display="App. 2-AC: Customer Engagement Worksheet"/>
    <hyperlink ref="B23" location="'App.2-B_Acctg Instructions'!A1" display="App.2-B: General Accounting Instructions"/>
    <hyperlink ref="B24" location="'App.2-BA_Fixed Asset Cont'!A1" display="App.2-BA: Fixed Asset Continuity Schedule"/>
    <hyperlink ref="B25" location="'Appendix 2-BB Service Life  '!A1" display="Appendix 2-BB: Service Life Comparison"/>
    <hyperlink ref="B26" location="'App.2-CA_OldCGAAPDepExp_Yr1'!A1" display="App.2-CA: Year 1 Depreciation and Amortization Expense (Old CGAAP)"/>
    <hyperlink ref="B27" location="'App.2-CB_NewCGAAP_DepExp_Yr1'!A1" display="App.2-CB: Year 1 Depreciation and Amortization Expense (New CGAAP)"/>
    <hyperlink ref="B28" location="'App.2-CC_DepExp_Yr2'!A1" display="App.2-CC: Year 2 Depreciation and Amortization Expense (New CGAAP)"/>
    <hyperlink ref="B29" location="'App.2-CD_DepExp_Yr3'!A1" display="App.2-CD: Year 3 Depreciation and Amortization Expense (New CGAAP or MIFRS)"/>
    <hyperlink ref="B30" location="'App.2-CE_DepExp_Yr4'!A1" display="App.2-CE: Year 4 Depreciation and Amortization Expense (MIFRS)"/>
    <hyperlink ref="B31" location="'App.2-CF_DepExp_Yr5'!A1" display="App.2-CF: Year 5 Depreciation and Amortization Expense (MIFRS)"/>
    <hyperlink ref="B32" location="'App.2-CG_DepExp_Yr6'!A1" display="App.2-CG: Year 6 Depreciation and Amortization Expense (Old CGAAP)"/>
    <hyperlink ref="B33" location="'App.2-CH_DepExp'!A1" display="App.2-CH: Depreciation and Amortization Expense (MIFRS)"/>
    <hyperlink ref="B34" location="'App.2-D_Overhead'!A1" display="App.2-D: Overhead Expenses"/>
    <hyperlink ref="B35" location="'App.2-EA_Account 1575 (2015)'!A1" display="App.2-EA: Account 1575 PP&amp;E Deferral Account (2015 IFRS Adopters)"/>
    <hyperlink ref="B36" location="'App.2-EB_Account 1576 (2012)'!A1" display="App.2-EB: Account 1576 - Accounting Changes Under CGAAP (2012 Changes)"/>
    <hyperlink ref="B37" location="'App.2-EC_Account 1576 (2013)'!A1" display="App.2-EC: Account 1576 - Accounting Changes Under CGAAP (2013 Changes)"/>
    <hyperlink ref="B38" location="'App.2-FA Proposed REG Invest.'!A1" display="App.2-FA: Renewable Generation Connection Investment Summary"/>
    <hyperlink ref="B39" location="'App.2-FB Calc of REG Improvemnt'!A1" display="App.2-FB: Calculation of Renewable Generation Connection Direct Benefits/Provincial Amount: Renewable Enabling Improvement Investments"/>
    <hyperlink ref="B40" location="'App.2-FC Calc of REG Expansion'!A1" display="App.2-FC: Calculation of Renewable Generation Connection Direct Benefits/Provincial Amount: Renewable Expansion Investments"/>
    <hyperlink ref="F15" location="'App.2-G SQI'!A1" display="App.2-G: Service Reliability Indicators"/>
    <hyperlink ref="F16" location="'App.2-H_Other_Oper_Rev'!A1" display="App.2-H: Other Operating Revenue"/>
    <hyperlink ref="F17" location="'App_2-I LF_CDM'!A1" display="App.2-I: Load Forecast CDM Adjustment Workform"/>
    <hyperlink ref="F19" location="'App.2-IB_Load_Forecast_Analysis'!A1" display="App.2-IB:  Actual and Forecast Load and Customer Data"/>
    <hyperlink ref="F20" location="'App.2-JA_OM&amp;A_Summary_Analys'!A1" display="App.2-JA: OM&amp;A Summary Analysis"/>
    <hyperlink ref="F21" location="'App.2-JB_OM&amp;A_Cost _Drivers'!A1" display="App.2-JB: Recoverable OM&amp;A Cost Driver Table"/>
    <hyperlink ref="F22" location="'App.2-JC_OMA Programs'!A1" display="App.2-JC: OM&amp;A Programs Table"/>
    <hyperlink ref="F23" location="'App.2-K_Employee Costs'!A1" display="App.2-K: Employee Costs"/>
    <hyperlink ref="F25" location="'App.2-L_OM&amp;A_per_Cust_FTE'!A1" display="App.2-L: Recoverable OM&amp;A Cost per Customer and per FTE"/>
    <hyperlink ref="F26" location="'App.2-M_Regulatory_Costs'!A1" display="App.2-M: Regulatory Costs Schedule"/>
    <hyperlink ref="F27" location="'App.2-N_Corp_Cost_Allocation'!A1" display="App.2-N: Shared Servcies and Corporate Cost Allocation"/>
    <hyperlink ref="F28" location="'App.2-OA Capital Structure'!A1" display="App.2-OA: Capital Structure and Cost of Capital"/>
    <hyperlink ref="F29" location="'App.2-OB_Debt Instruments'!A1" display="App.2-OB: Debt Instruments"/>
    <hyperlink ref="F30" location="'App.2-Q_Cost of Serv. Emb. Dx'!A1" display="App.2-Q: Cost of Serving Embedded Distributor(s)"/>
    <hyperlink ref="F31" location="'App.2-R_Loss Factors'!A1" display="App.2-R: Loss Factors"/>
    <hyperlink ref="F32" location="'App.2-S_Stranded Meters'!A1" display="App.2-S: Stranded Meter Treatment"/>
    <hyperlink ref="F33" location="'App.2-Y_MIFRS Summary Impacts'!A1" display="App.2-Y: Transition to MIFRS Summary Impact"/>
    <hyperlink ref="F24" location="'App.2-KA_P_OPEBs'!A1" display="App.2-KA: Pensions and OPEBs Costs"/>
    <hyperlink ref="F18" location="'App.2-IA_Load_Forecast_Instrct'!A1" display="App.2-IA: Load Forecast Data Instructions"/>
    <hyperlink ref="F34" location="'App.2-YA_IFRS Transition Costs'!A1" display="App.2-YA: One-Time Incremental IFRS Transition Costs"/>
    <hyperlink ref="B19" location="'App.2-A_Requested_Approvals'!A1" display="App.2-A: List of Requested Approvals"/>
  </hyperlinks>
  <pageMargins left="0.75" right="0.75" top="1" bottom="1" header="0.5" footer="0.5"/>
  <pageSetup scale="84" orientation="landscape"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3">
    <tabColor rgb="FFFFFF00"/>
    <pageSetUpPr fitToPage="1"/>
  </sheetPr>
  <dimension ref="B3:J6"/>
  <sheetViews>
    <sheetView showGridLines="0" zoomScaleNormal="100" workbookViewId="0"/>
  </sheetViews>
  <sheetFormatPr defaultRowHeight="12.75" x14ac:dyDescent="0.2"/>
  <cols>
    <col min="1" max="1" width="2.7109375" style="43" customWidth="1"/>
    <col min="2" max="2" width="81.85546875" style="43" customWidth="1"/>
    <col min="3" max="5" width="9.140625" style="43"/>
    <col min="6" max="6" width="12.7109375" style="43" bestFit="1" customWidth="1"/>
    <col min="7" max="7" width="10.7109375" style="43" customWidth="1"/>
    <col min="8" max="16384" width="9.140625" style="43"/>
  </cols>
  <sheetData>
    <row r="3" spans="2:10" ht="18" x14ac:dyDescent="0.25">
      <c r="B3" s="1546"/>
      <c r="C3" s="1546"/>
      <c r="D3" s="1546"/>
      <c r="E3" s="1546"/>
      <c r="F3" s="1546"/>
      <c r="G3" s="1546"/>
    </row>
    <row r="4" spans="2:10" ht="18" x14ac:dyDescent="0.25">
      <c r="B4" s="1546" t="s">
        <v>107</v>
      </c>
      <c r="C4" s="1546"/>
      <c r="D4" s="1546"/>
      <c r="E4" s="1546"/>
      <c r="F4" s="1546"/>
      <c r="G4" s="1546"/>
    </row>
    <row r="6" spans="2:10" ht="51" customHeight="1" x14ac:dyDescent="0.2">
      <c r="B6" s="1544" t="s">
        <v>1268</v>
      </c>
      <c r="C6" s="1545"/>
      <c r="D6" s="1545"/>
      <c r="E6" s="1545"/>
      <c r="F6" s="1545"/>
      <c r="G6" s="1545"/>
      <c r="J6" s="1430"/>
    </row>
  </sheetData>
  <sheetProtection password="F8BD" sheet="1" objects="1" scenarios="1"/>
  <mergeCells count="3">
    <mergeCell ref="B6:G6"/>
    <mergeCell ref="B3:G3"/>
    <mergeCell ref="B4:G4"/>
  </mergeCells>
  <phoneticPr fontId="16" type="noConversion"/>
  <pageMargins left="0.75" right="0.75" top="1" bottom="1" header="0.5" footer="0.5"/>
  <pageSetup scale="87" orientation="landscape" r:id="rId1"/>
  <headerFooter alignWithMargins="0"/>
  <drawing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67">
    <tabColor rgb="FFFFFF00"/>
  </sheetPr>
  <dimension ref="A1:N73"/>
  <sheetViews>
    <sheetView showGridLines="0" zoomScaleNormal="100" workbookViewId="0"/>
  </sheetViews>
  <sheetFormatPr defaultRowHeight="12.75" x14ac:dyDescent="0.2"/>
  <cols>
    <col min="1" max="1" width="9.140625" style="43"/>
    <col min="2" max="2" width="9.140625" style="43" customWidth="1"/>
    <col min="3" max="16384" width="9.140625" style="43"/>
  </cols>
  <sheetData>
    <row r="1" spans="1:14" ht="15.75" x14ac:dyDescent="0.2">
      <c r="B1" s="84"/>
    </row>
    <row r="2" spans="1:14" ht="18" x14ac:dyDescent="0.25">
      <c r="B2" s="85"/>
      <c r="C2" s="1042"/>
      <c r="D2" s="1042"/>
      <c r="E2" s="1042"/>
      <c r="F2" s="1042"/>
      <c r="G2" s="1042"/>
      <c r="H2" s="86"/>
      <c r="I2" s="86"/>
      <c r="J2" s="86"/>
      <c r="K2" s="86"/>
      <c r="L2" s="86"/>
      <c r="M2" s="86"/>
      <c r="N2" s="86"/>
    </row>
    <row r="3" spans="1:14" ht="18" x14ac:dyDescent="0.2">
      <c r="B3" s="1547" t="s">
        <v>620</v>
      </c>
      <c r="C3" s="1547"/>
      <c r="D3" s="1547"/>
      <c r="E3" s="1547"/>
      <c r="F3" s="1547"/>
      <c r="G3" s="1547"/>
      <c r="H3" s="1547"/>
      <c r="I3" s="1547"/>
      <c r="J3" s="1547"/>
      <c r="K3" s="1547"/>
      <c r="L3" s="1547"/>
    </row>
    <row r="4" spans="1:14" ht="15" x14ac:dyDescent="0.2">
      <c r="B4" s="87"/>
    </row>
    <row r="5" spans="1:14" ht="52.5" customHeight="1" x14ac:dyDescent="0.2">
      <c r="A5" s="1548" t="s">
        <v>1035</v>
      </c>
      <c r="B5" s="1549"/>
      <c r="C5" s="1549"/>
      <c r="D5" s="1549"/>
      <c r="E5" s="1549"/>
      <c r="F5" s="1549"/>
      <c r="G5" s="1549"/>
      <c r="H5" s="1549"/>
      <c r="I5" s="1549"/>
      <c r="J5" s="1549"/>
      <c r="K5" s="1549"/>
      <c r="L5" s="1549"/>
      <c r="M5" s="86"/>
      <c r="N5" s="86"/>
    </row>
    <row r="6" spans="1:14" ht="15" customHeight="1" x14ac:dyDescent="0.2">
      <c r="A6" s="87"/>
      <c r="C6" s="86"/>
      <c r="D6" s="86"/>
      <c r="E6" s="86"/>
      <c r="F6" s="86"/>
      <c r="G6" s="86"/>
      <c r="H6" s="86"/>
      <c r="I6" s="86"/>
      <c r="J6" s="86"/>
      <c r="K6" s="86"/>
      <c r="L6" s="86"/>
      <c r="M6" s="86"/>
      <c r="N6" s="86"/>
    </row>
    <row r="7" spans="1:14" ht="15" customHeight="1" x14ac:dyDescent="0.2">
      <c r="A7" s="88"/>
      <c r="C7" s="86"/>
      <c r="D7" s="86"/>
      <c r="E7" s="86"/>
      <c r="F7" s="86"/>
      <c r="G7" s="86"/>
      <c r="H7" s="86"/>
      <c r="I7" s="86"/>
      <c r="J7" s="86"/>
      <c r="K7" s="86"/>
    </row>
    <row r="8" spans="1:14" ht="15" x14ac:dyDescent="0.2">
      <c r="A8" s="89"/>
      <c r="B8" s="90"/>
    </row>
    <row r="9" spans="1:14" ht="15" x14ac:dyDescent="0.2">
      <c r="A9" s="89"/>
      <c r="B9" s="90"/>
    </row>
    <row r="10" spans="1:14" ht="15" x14ac:dyDescent="0.2">
      <c r="A10" s="89"/>
      <c r="B10" s="90"/>
    </row>
    <row r="11" spans="1:14" ht="15" x14ac:dyDescent="0.2">
      <c r="A11" s="89"/>
      <c r="B11" s="91"/>
    </row>
    <row r="12" spans="1:14" s="92" customFormat="1" ht="15" x14ac:dyDescent="0.2">
      <c r="A12" s="89"/>
      <c r="B12" s="91"/>
    </row>
    <row r="13" spans="1:14" s="92" customFormat="1" ht="15" x14ac:dyDescent="0.2">
      <c r="A13" s="89"/>
      <c r="B13" s="90"/>
    </row>
    <row r="14" spans="1:14" ht="15" x14ac:dyDescent="0.2">
      <c r="A14" s="89"/>
      <c r="B14" s="91"/>
    </row>
    <row r="15" spans="1:14" s="92" customFormat="1" ht="15" x14ac:dyDescent="0.2">
      <c r="A15" s="89"/>
      <c r="B15" s="91"/>
    </row>
    <row r="16" spans="1:14" s="92" customFormat="1" ht="15" x14ac:dyDescent="0.2">
      <c r="A16" s="89"/>
      <c r="B16" s="91"/>
    </row>
    <row r="17" spans="2:2" s="92" customFormat="1" ht="15" x14ac:dyDescent="0.2">
      <c r="B17" s="87"/>
    </row>
    <row r="18" spans="2:2" ht="15" x14ac:dyDescent="0.2">
      <c r="B18" s="88"/>
    </row>
    <row r="19" spans="2:2" ht="15" x14ac:dyDescent="0.2">
      <c r="B19" s="93"/>
    </row>
    <row r="20" spans="2:2" x14ac:dyDescent="0.2">
      <c r="B20" s="94"/>
    </row>
    <row r="21" spans="2:2" s="92" customFormat="1" ht="15.75" x14ac:dyDescent="0.2">
      <c r="B21" s="95"/>
    </row>
    <row r="22" spans="2:2" s="92" customFormat="1" ht="15" x14ac:dyDescent="0.2">
      <c r="B22" s="94"/>
    </row>
    <row r="23" spans="2:2" s="92" customFormat="1" ht="15" x14ac:dyDescent="0.2">
      <c r="B23" s="88"/>
    </row>
    <row r="24" spans="2:2" s="92" customFormat="1" ht="15" x14ac:dyDescent="0.2">
      <c r="B24" s="93"/>
    </row>
    <row r="25" spans="2:2" x14ac:dyDescent="0.2">
      <c r="B25" s="94"/>
    </row>
    <row r="26" spans="2:2" x14ac:dyDescent="0.2">
      <c r="B26" s="94"/>
    </row>
    <row r="27" spans="2:2" s="92" customFormat="1" ht="15" x14ac:dyDescent="0.2">
      <c r="B27" s="94"/>
    </row>
    <row r="28" spans="2:2" s="92" customFormat="1" ht="15" x14ac:dyDescent="0.2">
      <c r="B28" s="87"/>
    </row>
    <row r="29" spans="2:2" s="92" customFormat="1" ht="15" x14ac:dyDescent="0.2">
      <c r="B29" s="88"/>
    </row>
    <row r="30" spans="2:2" ht="15" x14ac:dyDescent="0.2">
      <c r="B30" s="96"/>
    </row>
    <row r="31" spans="2:2" ht="15" x14ac:dyDescent="0.2">
      <c r="B31" s="87"/>
    </row>
    <row r="32" spans="2:2" ht="15" x14ac:dyDescent="0.2">
      <c r="B32" s="88"/>
    </row>
    <row r="33" spans="2:2" ht="15" x14ac:dyDescent="0.2">
      <c r="B33" s="93"/>
    </row>
    <row r="34" spans="2:2" x14ac:dyDescent="0.2">
      <c r="B34" s="94"/>
    </row>
    <row r="35" spans="2:2" x14ac:dyDescent="0.2">
      <c r="B35" s="94"/>
    </row>
    <row r="36" spans="2:2" x14ac:dyDescent="0.2">
      <c r="B36" s="94"/>
    </row>
    <row r="37" spans="2:2" s="92" customFormat="1" ht="15" x14ac:dyDescent="0.2">
      <c r="B37" s="94"/>
    </row>
    <row r="38" spans="2:2" s="92" customFormat="1" ht="15" x14ac:dyDescent="0.2">
      <c r="B38" s="94"/>
    </row>
    <row r="39" spans="2:2" s="92" customFormat="1" ht="15" x14ac:dyDescent="0.2">
      <c r="B39" s="94"/>
    </row>
    <row r="40" spans="2:2" s="92" customFormat="1" ht="15" x14ac:dyDescent="0.2">
      <c r="B40" s="97"/>
    </row>
    <row r="41" spans="2:2" s="92" customFormat="1" ht="15" x14ac:dyDescent="0.2">
      <c r="B41" s="98"/>
    </row>
    <row r="42" spans="2:2" s="92" customFormat="1" ht="15" x14ac:dyDescent="0.2">
      <c r="B42" s="88"/>
    </row>
    <row r="43" spans="2:2" s="92" customFormat="1" ht="15" x14ac:dyDescent="0.2">
      <c r="B43" s="87"/>
    </row>
    <row r="44" spans="2:2" x14ac:dyDescent="0.2">
      <c r="B44" s="97"/>
    </row>
    <row r="45" spans="2:2" ht="15" x14ac:dyDescent="0.2">
      <c r="B45" s="90"/>
    </row>
    <row r="46" spans="2:2" x14ac:dyDescent="0.2">
      <c r="B46" s="97"/>
    </row>
    <row r="47" spans="2:2" s="92" customFormat="1" ht="15" x14ac:dyDescent="0.2">
      <c r="B47" s="87"/>
    </row>
    <row r="48" spans="2:2" s="92" customFormat="1" ht="15" x14ac:dyDescent="0.2">
      <c r="B48" s="97"/>
    </row>
    <row r="49" spans="2:2" s="92" customFormat="1" ht="15" x14ac:dyDescent="0.2">
      <c r="B49" s="87"/>
    </row>
    <row r="50" spans="2:2" s="92" customFormat="1" ht="15" x14ac:dyDescent="0.2">
      <c r="B50" s="88"/>
    </row>
    <row r="51" spans="2:2" s="92" customFormat="1" ht="15" x14ac:dyDescent="0.2">
      <c r="B51" s="96"/>
    </row>
    <row r="52" spans="2:2" ht="15" x14ac:dyDescent="0.2">
      <c r="B52" s="98"/>
    </row>
    <row r="53" spans="2:2" ht="15" x14ac:dyDescent="0.2">
      <c r="B53" s="88"/>
    </row>
    <row r="54" spans="2:2" ht="15" x14ac:dyDescent="0.2">
      <c r="B54" s="93"/>
    </row>
    <row r="55" spans="2:2" x14ac:dyDescent="0.2">
      <c r="B55" s="94"/>
    </row>
    <row r="56" spans="2:2" x14ac:dyDescent="0.2">
      <c r="B56" s="99"/>
    </row>
    <row r="57" spans="2:2" ht="15.75" x14ac:dyDescent="0.2">
      <c r="B57" s="95"/>
    </row>
    <row r="58" spans="2:2" s="92" customFormat="1" ht="15" x14ac:dyDescent="0.2">
      <c r="B58" s="94"/>
    </row>
    <row r="59" spans="2:2" s="92" customFormat="1" ht="15" x14ac:dyDescent="0.2">
      <c r="B59" s="93"/>
    </row>
    <row r="60" spans="2:2" s="92" customFormat="1" ht="15" x14ac:dyDescent="0.2">
      <c r="B60" s="88"/>
    </row>
    <row r="61" spans="2:2" s="92" customFormat="1" ht="15" x14ac:dyDescent="0.2">
      <c r="B61" s="96"/>
    </row>
    <row r="62" spans="2:2" ht="15" x14ac:dyDescent="0.2">
      <c r="B62" s="87"/>
    </row>
    <row r="63" spans="2:2" ht="15" x14ac:dyDescent="0.2">
      <c r="B63" s="88"/>
    </row>
    <row r="64" spans="2:2" x14ac:dyDescent="0.2">
      <c r="B64" s="97"/>
    </row>
    <row r="65" spans="2:2" ht="15" x14ac:dyDescent="0.2">
      <c r="B65" s="93"/>
    </row>
    <row r="66" spans="2:2" ht="15" x14ac:dyDescent="0.2">
      <c r="B66" s="88"/>
    </row>
    <row r="67" spans="2:2" s="92" customFormat="1" ht="15" x14ac:dyDescent="0.2">
      <c r="B67" s="97"/>
    </row>
    <row r="68" spans="2:2" ht="15" x14ac:dyDescent="0.2">
      <c r="B68" s="93"/>
    </row>
    <row r="69" spans="2:2" ht="15" x14ac:dyDescent="0.2">
      <c r="B69" s="98"/>
    </row>
    <row r="70" spans="2:2" s="92" customFormat="1" ht="15.75" x14ac:dyDescent="0.2">
      <c r="B70" s="85"/>
    </row>
    <row r="71" spans="2:2" ht="15" x14ac:dyDescent="0.2">
      <c r="B71" s="98"/>
    </row>
    <row r="72" spans="2:2" ht="15.75" x14ac:dyDescent="0.2">
      <c r="B72" s="85"/>
    </row>
    <row r="73" spans="2:2" ht="15.75" x14ac:dyDescent="0.2">
      <c r="B73" s="85"/>
    </row>
  </sheetData>
  <sheetProtection password="F8BD" sheet="1" objects="1" scenarios="1"/>
  <mergeCells count="2">
    <mergeCell ref="B3:L3"/>
    <mergeCell ref="A5:L5"/>
  </mergeCells>
  <pageMargins left="0.7" right="0.7" top="0.75" bottom="0.75" header="0.3" footer="0.3"/>
  <pageSetup scale="84" orientation="portrait" r:id="rId1"/>
  <drawing r:id="rId2"/>
  <legacyDrawing r:id="rId3"/>
  <oleObjects>
    <mc:AlternateContent xmlns:mc="http://schemas.openxmlformats.org/markup-compatibility/2006">
      <mc:Choice Requires="x14">
        <oleObject progId="Acrobat Document" dvAspect="DVASPECT_ICON" shapeId="140295" r:id="rId4">
          <objectPr defaultSize="0" autoPict="0" r:id="rId5">
            <anchor moveWithCells="1">
              <from>
                <xdr:col>3</xdr:col>
                <xdr:colOff>466725</xdr:colOff>
                <xdr:row>4</xdr:row>
                <xdr:rowOff>638175</xdr:rowOff>
              </from>
              <to>
                <xdr:col>7</xdr:col>
                <xdr:colOff>66675</xdr:colOff>
                <xdr:row>12</xdr:row>
                <xdr:rowOff>171450</xdr:rowOff>
              </to>
            </anchor>
          </objectPr>
        </oleObject>
      </mc:Choice>
      <mc:Fallback>
        <oleObject progId="Acrobat Document" dvAspect="DVASPECT_ICON" shapeId="140295" r:id="rId4"/>
      </mc:Fallback>
    </mc:AlternateContent>
  </oleObjects>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6"/>
    <pageSetUpPr fitToPage="1"/>
  </sheetPr>
  <dimension ref="A1:H44"/>
  <sheetViews>
    <sheetView showGridLines="0" zoomScaleNormal="100" workbookViewId="0">
      <selection activeCell="F42" sqref="F42:H42"/>
    </sheetView>
  </sheetViews>
  <sheetFormatPr defaultRowHeight="12.75" x14ac:dyDescent="0.2"/>
  <cols>
    <col min="1" max="1" width="2.7109375" customWidth="1"/>
    <col min="2" max="2" width="4.7109375" customWidth="1"/>
    <col min="3" max="3" width="2.7109375" customWidth="1"/>
    <col min="4" max="4" width="4.7109375" customWidth="1"/>
    <col min="5" max="5" width="2.7109375" customWidth="1"/>
    <col min="6" max="6" width="70.7109375" customWidth="1"/>
    <col min="7" max="7" width="13.42578125" customWidth="1"/>
    <col min="8" max="8" width="15.7109375" customWidth="1"/>
    <col min="9" max="9" width="31.28515625" customWidth="1"/>
  </cols>
  <sheetData>
    <row r="1" spans="1:8" x14ac:dyDescent="0.2">
      <c r="A1" s="43"/>
      <c r="B1" s="43"/>
      <c r="C1" s="43"/>
      <c r="D1" s="43"/>
      <c r="E1" s="43"/>
      <c r="F1" s="43"/>
      <c r="G1" s="60" t="s">
        <v>301</v>
      </c>
      <c r="H1" s="61" t="str">
        <f>EBNUMBER</f>
        <v>EB-2016-0066</v>
      </c>
    </row>
    <row r="2" spans="1:8" x14ac:dyDescent="0.2">
      <c r="A2" s="43"/>
      <c r="B2" s="43"/>
      <c r="C2" s="43"/>
      <c r="D2" s="43"/>
      <c r="E2" s="43"/>
      <c r="F2" s="43"/>
      <c r="G2" s="60" t="s">
        <v>302</v>
      </c>
      <c r="H2" s="62"/>
    </row>
    <row r="3" spans="1:8" x14ac:dyDescent="0.2">
      <c r="A3" s="43"/>
      <c r="B3" s="43"/>
      <c r="C3" s="43"/>
      <c r="D3" s="43"/>
      <c r="E3" s="43"/>
      <c r="F3" s="43"/>
      <c r="G3" s="60" t="s">
        <v>303</v>
      </c>
      <c r="H3" s="62"/>
    </row>
    <row r="4" spans="1:8" x14ac:dyDescent="0.2">
      <c r="A4" s="43"/>
      <c r="B4" s="43"/>
      <c r="C4" s="43"/>
      <c r="D4" s="43"/>
      <c r="E4" s="43"/>
      <c r="F4" s="43"/>
      <c r="G4" s="60" t="s">
        <v>304</v>
      </c>
      <c r="H4" s="62"/>
    </row>
    <row r="5" spans="1:8" x14ac:dyDescent="0.2">
      <c r="A5" s="43"/>
      <c r="B5" s="43"/>
      <c r="C5" s="43"/>
      <c r="D5" s="43"/>
      <c r="E5" s="43"/>
      <c r="F5" s="43"/>
      <c r="G5" s="60" t="s">
        <v>305</v>
      </c>
      <c r="H5" s="63"/>
    </row>
    <row r="6" spans="1:8" x14ac:dyDescent="0.2">
      <c r="A6" s="43"/>
      <c r="B6" s="43"/>
      <c r="C6" s="43"/>
      <c r="D6" s="43"/>
      <c r="E6" s="43"/>
      <c r="F6" s="43"/>
      <c r="G6" s="60"/>
      <c r="H6" s="61"/>
    </row>
    <row r="7" spans="1:8" x14ac:dyDescent="0.2">
      <c r="A7" s="43"/>
      <c r="B7" s="43"/>
      <c r="C7" s="43"/>
      <c r="D7" s="43"/>
      <c r="E7" s="43"/>
      <c r="F7" s="43"/>
      <c r="G7" s="60" t="s">
        <v>306</v>
      </c>
      <c r="H7" s="63"/>
    </row>
    <row r="9" spans="1:8" ht="18" x14ac:dyDescent="0.25">
      <c r="B9" s="1552" t="s">
        <v>1249</v>
      </c>
      <c r="C9" s="1552"/>
      <c r="D9" s="1552"/>
      <c r="E9" s="1552"/>
      <c r="F9" s="1552"/>
      <c r="G9" s="1552"/>
      <c r="H9" s="1552"/>
    </row>
    <row r="10" spans="1:8" ht="18" x14ac:dyDescent="0.2">
      <c r="B10" s="1553" t="s">
        <v>1246</v>
      </c>
      <c r="C10" s="1553"/>
      <c r="D10" s="1553"/>
      <c r="E10" s="1553"/>
      <c r="F10" s="1553"/>
      <c r="G10" s="1553"/>
      <c r="H10" s="1553"/>
    </row>
    <row r="12" spans="1:8" ht="54" customHeight="1" x14ac:dyDescent="0.2">
      <c r="B12" s="1543" t="s">
        <v>1291</v>
      </c>
      <c r="C12" s="1543"/>
      <c r="D12" s="1543"/>
      <c r="E12" s="1543"/>
      <c r="F12" s="1543"/>
      <c r="G12" s="1543"/>
      <c r="H12" s="1543"/>
    </row>
    <row r="14" spans="1:8" x14ac:dyDescent="0.2">
      <c r="B14" s="1543" t="s">
        <v>1247</v>
      </c>
      <c r="C14" s="1543"/>
      <c r="D14" s="1543"/>
      <c r="E14" s="1543"/>
      <c r="F14" s="1543"/>
      <c r="G14" s="1543"/>
      <c r="H14" s="1543"/>
    </row>
    <row r="16" spans="1:8" ht="26.25" customHeight="1" x14ac:dyDescent="0.2">
      <c r="B16" s="1543" t="s">
        <v>1248</v>
      </c>
      <c r="C16" s="1543"/>
      <c r="D16" s="1543"/>
      <c r="E16" s="1543"/>
      <c r="F16" s="1543"/>
      <c r="G16" s="1543"/>
      <c r="H16" s="1543"/>
    </row>
    <row r="18" spans="2:8" x14ac:dyDescent="0.2">
      <c r="B18" s="1550" t="str">
        <f>CONCATENATE('LDC Info'!E14," is seeking the following approvals in this application:")</f>
        <v>E.L.K. Energy Inc. is seeking the following approvals in this application:</v>
      </c>
      <c r="C18" s="1550"/>
      <c r="D18" s="1550"/>
      <c r="E18" s="1550"/>
      <c r="F18" s="1550"/>
      <c r="G18" s="1550"/>
      <c r="H18" s="1550"/>
    </row>
    <row r="20" spans="2:8" ht="46.5" customHeight="1" x14ac:dyDescent="0.2">
      <c r="B20" s="1410">
        <v>1</v>
      </c>
      <c r="D20" s="1410"/>
      <c r="F20" s="1551" t="s">
        <v>1433</v>
      </c>
      <c r="G20" s="1551"/>
      <c r="H20" s="1551"/>
    </row>
    <row r="22" spans="2:8" ht="26.25" customHeight="1" x14ac:dyDescent="0.2">
      <c r="B22" s="1410">
        <v>2</v>
      </c>
      <c r="D22" s="1410"/>
      <c r="F22" s="1551" t="s">
        <v>1307</v>
      </c>
      <c r="G22" s="1551"/>
      <c r="H22" s="1551"/>
    </row>
    <row r="24" spans="2:8" ht="32.25" customHeight="1" x14ac:dyDescent="0.2">
      <c r="B24" s="1410">
        <v>3</v>
      </c>
      <c r="D24" s="1410"/>
      <c r="F24" s="1551" t="s">
        <v>1308</v>
      </c>
      <c r="G24" s="1551"/>
      <c r="H24" s="1551"/>
    </row>
    <row r="26" spans="2:8" ht="26.25" customHeight="1" x14ac:dyDescent="0.2">
      <c r="B26" s="1410">
        <v>4</v>
      </c>
      <c r="D26" s="1410"/>
      <c r="F26" s="1551" t="s">
        <v>1309</v>
      </c>
      <c r="G26" s="1551"/>
      <c r="H26" s="1551"/>
    </row>
    <row r="28" spans="2:8" ht="41.25" customHeight="1" x14ac:dyDescent="0.2">
      <c r="B28" s="1410">
        <v>5</v>
      </c>
      <c r="D28" s="1410"/>
      <c r="F28" s="1551" t="s">
        <v>1310</v>
      </c>
      <c r="G28" s="1551"/>
      <c r="H28" s="1551"/>
    </row>
    <row r="30" spans="2:8" ht="40.5" customHeight="1" x14ac:dyDescent="0.2">
      <c r="B30" s="1410">
        <v>6</v>
      </c>
      <c r="D30" s="1410"/>
      <c r="F30" s="1551" t="s">
        <v>1311</v>
      </c>
      <c r="G30" s="1551"/>
      <c r="H30" s="1551"/>
    </row>
    <row r="32" spans="2:8" ht="27" customHeight="1" x14ac:dyDescent="0.2">
      <c r="B32" s="1410">
        <v>7</v>
      </c>
      <c r="D32" s="1410"/>
      <c r="F32" s="1551" t="s">
        <v>1312</v>
      </c>
      <c r="G32" s="1551"/>
      <c r="H32" s="1551"/>
    </row>
    <row r="34" spans="2:8" ht="38.25" customHeight="1" x14ac:dyDescent="0.2">
      <c r="B34" s="1410">
        <v>8</v>
      </c>
      <c r="D34" s="1410"/>
      <c r="F34" s="1551" t="s">
        <v>1435</v>
      </c>
      <c r="G34" s="1551"/>
      <c r="H34" s="1551"/>
    </row>
    <row r="36" spans="2:8" ht="48.75" customHeight="1" x14ac:dyDescent="0.2">
      <c r="B36" s="1410">
        <v>9</v>
      </c>
      <c r="D36" s="1410"/>
      <c r="F36" s="1551" t="s">
        <v>1436</v>
      </c>
      <c r="G36" s="1551"/>
      <c r="H36" s="1551"/>
    </row>
    <row r="38" spans="2:8" ht="76.5" customHeight="1" x14ac:dyDescent="0.2">
      <c r="B38" s="1410">
        <v>10</v>
      </c>
      <c r="D38" s="1410"/>
      <c r="F38" s="1551" t="s">
        <v>1527</v>
      </c>
      <c r="G38" s="1551"/>
      <c r="H38" s="1551"/>
    </row>
    <row r="40" spans="2:8" ht="76.5" customHeight="1" x14ac:dyDescent="0.2">
      <c r="B40" s="1410">
        <v>11</v>
      </c>
      <c r="D40" s="1410"/>
      <c r="F40" s="1551" t="s">
        <v>1528</v>
      </c>
      <c r="G40" s="1551"/>
      <c r="H40" s="1551"/>
    </row>
    <row r="42" spans="2:8" ht="52.5" customHeight="1" x14ac:dyDescent="0.2">
      <c r="B42" s="1410">
        <v>12</v>
      </c>
      <c r="D42" s="1410"/>
      <c r="F42" s="1551" t="s">
        <v>1526</v>
      </c>
      <c r="G42" s="1551"/>
      <c r="H42" s="1551"/>
    </row>
    <row r="44" spans="2:8" ht="48.75" customHeight="1" x14ac:dyDescent="0.2">
      <c r="B44" s="1410">
        <v>13</v>
      </c>
      <c r="D44" s="1410"/>
      <c r="F44" s="1551" t="s">
        <v>1432</v>
      </c>
      <c r="G44" s="1551"/>
      <c r="H44" s="1551"/>
    </row>
  </sheetData>
  <mergeCells count="19">
    <mergeCell ref="B9:H9"/>
    <mergeCell ref="F34:H34"/>
    <mergeCell ref="F36:H36"/>
    <mergeCell ref="F38:H38"/>
    <mergeCell ref="B10:H10"/>
    <mergeCell ref="B12:H12"/>
    <mergeCell ref="F30:H30"/>
    <mergeCell ref="F24:H24"/>
    <mergeCell ref="F26:H26"/>
    <mergeCell ref="F28:H28"/>
    <mergeCell ref="F32:H32"/>
    <mergeCell ref="F22:H22"/>
    <mergeCell ref="B14:H14"/>
    <mergeCell ref="B16:H16"/>
    <mergeCell ref="B18:H18"/>
    <mergeCell ref="F20:H20"/>
    <mergeCell ref="F42:H42"/>
    <mergeCell ref="F44:H44"/>
    <mergeCell ref="F40:H40"/>
  </mergeCells>
  <pageMargins left="0.7" right="0.7" top="0.75" bottom="0.75" header="0.3" footer="0.3"/>
  <pageSetup scale="78" fitToHeight="0" orientation="portrait" r:id="rId1"/>
  <legacyDrawing r:id="rId2"/>
  <extLst>
    <ext xmlns:x14="http://schemas.microsoft.com/office/spreadsheetml/2009/9/main" uri="{78C0D931-6437-407d-A8EE-F0AAD7539E65}">
      <x14:conditionalFormattings>
        <x14:conditionalFormatting xmlns:xm="http://schemas.microsoft.com/office/excel/2006/main">
          <x14:cfRule type="expression" priority="1" id="{6BF23DFD-526D-4374-8B19-C9F6268B6EBA}">
            <xm:f>'LDC Info'!$E$14:$K$14=""</xm:f>
            <x14:dxf>
              <font>
                <color theme="0"/>
              </font>
            </x14:dxf>
          </x14:cfRule>
          <xm:sqref>B18:H18</xm:sqref>
        </x14:conditionalFormatting>
      </x14:conditionalFormatting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tabColor rgb="FF00B0F0"/>
    <pageSetUpPr fitToPage="1"/>
  </sheetPr>
  <dimension ref="A1:J182"/>
  <sheetViews>
    <sheetView showGridLines="0" zoomScaleNormal="100" workbookViewId="0">
      <selection activeCell="A156" sqref="A156:I176"/>
    </sheetView>
  </sheetViews>
  <sheetFormatPr defaultRowHeight="12.75" x14ac:dyDescent="0.2"/>
  <cols>
    <col min="1" max="1" width="30.28515625" style="43" customWidth="1"/>
    <col min="2" max="2" width="19.28515625" style="43" customWidth="1"/>
    <col min="3" max="3" width="13" style="43" customWidth="1"/>
    <col min="4" max="4" width="14.42578125" style="43" customWidth="1"/>
    <col min="5" max="8" width="12.7109375" style="43" customWidth="1"/>
    <col min="9" max="9" width="11.85546875" style="43" customWidth="1"/>
    <col min="10" max="16384" width="9.140625" style="43"/>
  </cols>
  <sheetData>
    <row r="1" spans="1:10" x14ac:dyDescent="0.2">
      <c r="H1" s="60" t="s">
        <v>301</v>
      </c>
      <c r="I1" s="61" t="str">
        <f>EBNUMBER</f>
        <v>EB-2016-0066</v>
      </c>
    </row>
    <row r="2" spans="1:10" x14ac:dyDescent="0.2">
      <c r="H2" s="60" t="s">
        <v>302</v>
      </c>
      <c r="I2" s="62"/>
    </row>
    <row r="3" spans="1:10" x14ac:dyDescent="0.2">
      <c r="H3" s="60" t="s">
        <v>303</v>
      </c>
      <c r="I3" s="62"/>
    </row>
    <row r="4" spans="1:10" x14ac:dyDescent="0.2">
      <c r="H4" s="60" t="s">
        <v>304</v>
      </c>
      <c r="I4" s="62"/>
    </row>
    <row r="5" spans="1:10" x14ac:dyDescent="0.2">
      <c r="H5" s="60" t="s">
        <v>305</v>
      </c>
      <c r="I5" s="63"/>
    </row>
    <row r="6" spans="1:10" x14ac:dyDescent="0.2">
      <c r="H6" s="60"/>
      <c r="I6" s="61"/>
    </row>
    <row r="7" spans="1:10" x14ac:dyDescent="0.2">
      <c r="H7" s="60" t="s">
        <v>306</v>
      </c>
      <c r="I7" s="63"/>
    </row>
    <row r="9" spans="1:10" ht="18" x14ac:dyDescent="0.25">
      <c r="A9" s="1555" t="s">
        <v>706</v>
      </c>
      <c r="B9" s="1555"/>
      <c r="C9" s="1555"/>
      <c r="D9" s="1555"/>
      <c r="E9" s="1555"/>
      <c r="F9" s="1555"/>
      <c r="G9" s="1555"/>
      <c r="H9" s="1555"/>
      <c r="I9" s="1555"/>
      <c r="J9" s="64"/>
    </row>
    <row r="10" spans="1:10" ht="18" x14ac:dyDescent="0.25">
      <c r="A10" s="1555" t="s">
        <v>25</v>
      </c>
      <c r="B10" s="1555"/>
      <c r="C10" s="1555"/>
      <c r="D10" s="1555"/>
      <c r="E10" s="1555"/>
      <c r="F10" s="1555"/>
      <c r="G10" s="1555"/>
      <c r="H10" s="1555"/>
      <c r="I10" s="1555"/>
      <c r="J10" s="64"/>
    </row>
    <row r="12" spans="1:10" ht="13.5" thickBot="1" x14ac:dyDescent="0.25">
      <c r="A12" s="1545"/>
      <c r="B12" s="1545"/>
      <c r="C12" s="1545"/>
      <c r="D12" s="1545"/>
      <c r="E12" s="1545"/>
      <c r="F12" s="1545"/>
      <c r="G12" s="1545"/>
      <c r="H12" s="1545"/>
      <c r="I12" s="1545"/>
    </row>
    <row r="13" spans="1:10" ht="25.5" x14ac:dyDescent="0.2">
      <c r="A13" s="65" t="s">
        <v>198</v>
      </c>
      <c r="B13" s="1513" t="s">
        <v>1525</v>
      </c>
      <c r="C13" s="66">
        <f>D13-1</f>
        <v>2012</v>
      </c>
      <c r="D13" s="66">
        <f>E13-1</f>
        <v>2013</v>
      </c>
      <c r="E13" s="66">
        <f>F13-1</f>
        <v>2014</v>
      </c>
      <c r="F13" s="66">
        <f>BridgeYear - 1</f>
        <v>2015</v>
      </c>
      <c r="G13" s="66" t="str">
        <f>BridgeYear &amp; " Bridge Year"</f>
        <v>2016 Bridge Year</v>
      </c>
      <c r="H13" s="66" t="str">
        <f>TestYear &amp; " Test Year"</f>
        <v>2017 Test Year</v>
      </c>
    </row>
    <row r="14" spans="1:10" x14ac:dyDescent="0.2">
      <c r="A14" s="67" t="s">
        <v>103</v>
      </c>
      <c r="B14" s="67"/>
      <c r="C14" s="68"/>
      <c r="D14" s="68"/>
      <c r="E14" s="68"/>
      <c r="F14" s="68"/>
      <c r="G14" s="68"/>
      <c r="H14" s="68"/>
    </row>
    <row r="15" spans="1:10" x14ac:dyDescent="0.2">
      <c r="A15" s="69" t="s">
        <v>200</v>
      </c>
      <c r="B15" s="69"/>
      <c r="C15" s="70"/>
      <c r="D15" s="70"/>
      <c r="E15" s="70"/>
      <c r="F15" s="70"/>
      <c r="G15" s="70"/>
      <c r="H15" s="70"/>
    </row>
    <row r="16" spans="1:10" x14ac:dyDescent="0.2">
      <c r="A16" s="69" t="s">
        <v>1453</v>
      </c>
      <c r="B16" s="1514">
        <v>165527</v>
      </c>
      <c r="C16" s="71">
        <v>206859</v>
      </c>
      <c r="D16" s="71">
        <v>109702</v>
      </c>
      <c r="E16" s="71">
        <v>133322</v>
      </c>
      <c r="F16" s="71">
        <v>494469</v>
      </c>
      <c r="G16" s="71">
        <v>261632</v>
      </c>
      <c r="H16" s="71">
        <v>261793</v>
      </c>
    </row>
    <row r="17" spans="1:8" x14ac:dyDescent="0.2">
      <c r="A17" s="69"/>
      <c r="B17" s="1511"/>
      <c r="C17" s="73"/>
      <c r="D17" s="73"/>
      <c r="E17" s="73"/>
      <c r="F17" s="73"/>
      <c r="G17" s="73"/>
      <c r="H17" s="73"/>
    </row>
    <row r="18" spans="1:8" x14ac:dyDescent="0.2">
      <c r="A18" s="69"/>
      <c r="B18" s="1511"/>
      <c r="C18" s="73"/>
      <c r="D18" s="73"/>
      <c r="E18" s="73"/>
      <c r="F18" s="73"/>
      <c r="G18" s="73"/>
      <c r="H18" s="73"/>
    </row>
    <row r="19" spans="1:8" x14ac:dyDescent="0.2">
      <c r="A19" s="74" t="s">
        <v>204</v>
      </c>
      <c r="B19" s="75">
        <f t="shared" ref="B19" si="0">SUM(B16:B18)</f>
        <v>165527</v>
      </c>
      <c r="C19" s="75">
        <f t="shared" ref="C19:H19" si="1">SUM(C16:C18)</f>
        <v>206859</v>
      </c>
      <c r="D19" s="75">
        <f t="shared" si="1"/>
        <v>109702</v>
      </c>
      <c r="E19" s="75">
        <f t="shared" si="1"/>
        <v>133322</v>
      </c>
      <c r="F19" s="75">
        <f t="shared" si="1"/>
        <v>494469</v>
      </c>
      <c r="G19" s="75">
        <f t="shared" si="1"/>
        <v>261632</v>
      </c>
      <c r="H19" s="75">
        <f t="shared" si="1"/>
        <v>261793</v>
      </c>
    </row>
    <row r="20" spans="1:8" x14ac:dyDescent="0.2">
      <c r="A20" s="76" t="s">
        <v>201</v>
      </c>
      <c r="B20" s="76"/>
      <c r="C20" s="70"/>
      <c r="D20" s="70"/>
      <c r="E20" s="70"/>
      <c r="F20" s="70"/>
      <c r="G20" s="70"/>
      <c r="H20" s="70"/>
    </row>
    <row r="21" spans="1:8" x14ac:dyDescent="0.2">
      <c r="A21" s="69" t="s">
        <v>1454</v>
      </c>
      <c r="B21" s="1510">
        <v>0</v>
      </c>
      <c r="C21" s="71">
        <v>60300</v>
      </c>
      <c r="D21" s="71">
        <v>45000</v>
      </c>
      <c r="E21" s="71">
        <v>28893</v>
      </c>
      <c r="F21" s="71">
        <v>42300</v>
      </c>
      <c r="G21" s="71">
        <v>63900</v>
      </c>
      <c r="H21" s="71"/>
    </row>
    <row r="22" spans="1:8" x14ac:dyDescent="0.2">
      <c r="A22" s="69"/>
      <c r="B22" s="69"/>
      <c r="C22" s="72"/>
      <c r="D22" s="72"/>
      <c r="E22" s="72"/>
      <c r="F22" s="72"/>
      <c r="G22" s="72"/>
      <c r="H22" s="72"/>
    </row>
    <row r="23" spans="1:8" x14ac:dyDescent="0.2">
      <c r="A23" s="74" t="s">
        <v>204</v>
      </c>
      <c r="B23" s="75">
        <f t="shared" ref="B23" si="2">SUM(B21:B22)</f>
        <v>0</v>
      </c>
      <c r="C23" s="75">
        <f t="shared" ref="C23:H23" si="3">SUM(C21:C22)</f>
        <v>60300</v>
      </c>
      <c r="D23" s="75">
        <f t="shared" si="3"/>
        <v>45000</v>
      </c>
      <c r="E23" s="75">
        <f t="shared" si="3"/>
        <v>28893</v>
      </c>
      <c r="F23" s="75">
        <f t="shared" si="3"/>
        <v>42300</v>
      </c>
      <c r="G23" s="75">
        <f t="shared" si="3"/>
        <v>63900</v>
      </c>
      <c r="H23" s="75">
        <f t="shared" si="3"/>
        <v>0</v>
      </c>
    </row>
    <row r="24" spans="1:8" x14ac:dyDescent="0.2">
      <c r="A24" s="76" t="s">
        <v>202</v>
      </c>
      <c r="B24" s="76"/>
      <c r="C24" s="70"/>
      <c r="D24" s="70"/>
      <c r="E24" s="70"/>
      <c r="F24" s="70"/>
      <c r="G24" s="70"/>
      <c r="H24" s="70"/>
    </row>
    <row r="25" spans="1:8" x14ac:dyDescent="0.2">
      <c r="A25" s="69" t="s">
        <v>1455</v>
      </c>
      <c r="B25" s="1514"/>
      <c r="C25" s="71"/>
      <c r="D25" s="71"/>
      <c r="E25" s="71">
        <v>70712</v>
      </c>
      <c r="F25" s="71"/>
      <c r="G25" s="71"/>
      <c r="H25" s="71"/>
    </row>
    <row r="26" spans="1:8" x14ac:dyDescent="0.2">
      <c r="A26" s="69"/>
      <c r="B26" s="69"/>
      <c r="C26" s="72"/>
      <c r="D26" s="72"/>
      <c r="E26" s="72"/>
      <c r="F26" s="72"/>
      <c r="G26" s="72"/>
      <c r="H26" s="72"/>
    </row>
    <row r="27" spans="1:8" x14ac:dyDescent="0.2">
      <c r="A27" s="74" t="s">
        <v>204</v>
      </c>
      <c r="B27" s="75">
        <f t="shared" ref="B27" si="4">SUM(B25:B26)</f>
        <v>0</v>
      </c>
      <c r="C27" s="75">
        <f t="shared" ref="C27:H27" si="5">SUM(C25:C26)</f>
        <v>0</v>
      </c>
      <c r="D27" s="75">
        <f t="shared" si="5"/>
        <v>0</v>
      </c>
      <c r="E27" s="75">
        <f t="shared" si="5"/>
        <v>70712</v>
      </c>
      <c r="F27" s="75">
        <f t="shared" si="5"/>
        <v>0</v>
      </c>
      <c r="G27" s="75">
        <f t="shared" si="5"/>
        <v>0</v>
      </c>
      <c r="H27" s="75">
        <f t="shared" si="5"/>
        <v>0</v>
      </c>
    </row>
    <row r="28" spans="1:8" x14ac:dyDescent="0.2">
      <c r="A28" s="76" t="s">
        <v>203</v>
      </c>
      <c r="B28" s="1512"/>
      <c r="C28" s="77"/>
      <c r="D28" s="77"/>
      <c r="E28" s="77"/>
      <c r="F28" s="77"/>
      <c r="G28" s="77"/>
      <c r="H28" s="77"/>
    </row>
    <row r="29" spans="1:8" x14ac:dyDescent="0.2">
      <c r="A29" s="69" t="s">
        <v>857</v>
      </c>
      <c r="B29" s="1510">
        <v>0</v>
      </c>
      <c r="C29" s="71">
        <v>57319</v>
      </c>
      <c r="D29" s="71"/>
      <c r="E29" s="71"/>
      <c r="F29" s="71"/>
      <c r="G29" s="71"/>
      <c r="H29" s="71"/>
    </row>
    <row r="30" spans="1:8" x14ac:dyDescent="0.2">
      <c r="A30" s="69"/>
      <c r="B30" s="69"/>
      <c r="C30" s="72"/>
      <c r="D30" s="72"/>
      <c r="E30" s="72"/>
      <c r="F30" s="72"/>
      <c r="G30" s="72"/>
      <c r="H30" s="72"/>
    </row>
    <row r="31" spans="1:8" x14ac:dyDescent="0.2">
      <c r="A31" s="74" t="s">
        <v>204</v>
      </c>
      <c r="B31" s="75">
        <f t="shared" ref="B31" si="6">SUM(B29:B30)</f>
        <v>0</v>
      </c>
      <c r="C31" s="75">
        <f t="shared" ref="C31:H31" si="7">SUM(C29:C30)</f>
        <v>57319</v>
      </c>
      <c r="D31" s="75">
        <f t="shared" si="7"/>
        <v>0</v>
      </c>
      <c r="E31" s="75">
        <f t="shared" si="7"/>
        <v>0</v>
      </c>
      <c r="F31" s="75">
        <f t="shared" si="7"/>
        <v>0</v>
      </c>
      <c r="G31" s="75">
        <f t="shared" si="7"/>
        <v>0</v>
      </c>
      <c r="H31" s="75">
        <f t="shared" si="7"/>
        <v>0</v>
      </c>
    </row>
    <row r="32" spans="1:8" x14ac:dyDescent="0.2">
      <c r="A32" s="76" t="s">
        <v>1456</v>
      </c>
      <c r="B32" s="76"/>
      <c r="C32" s="70"/>
      <c r="D32" s="70"/>
      <c r="E32" s="70"/>
      <c r="F32" s="70"/>
      <c r="G32" s="70"/>
      <c r="H32" s="70"/>
    </row>
    <row r="33" spans="1:8" x14ac:dyDescent="0.2">
      <c r="A33" s="69" t="s">
        <v>1457</v>
      </c>
      <c r="B33" s="1514">
        <v>36800</v>
      </c>
      <c r="C33" s="71">
        <v>67810</v>
      </c>
      <c r="D33" s="71"/>
      <c r="E33" s="71"/>
      <c r="F33" s="71"/>
      <c r="G33" s="71"/>
      <c r="H33" s="71"/>
    </row>
    <row r="34" spans="1:8" x14ac:dyDescent="0.2">
      <c r="A34" s="69"/>
      <c r="B34" s="69"/>
      <c r="C34" s="72"/>
      <c r="D34" s="72"/>
      <c r="E34" s="72"/>
      <c r="F34" s="72"/>
      <c r="G34" s="72"/>
      <c r="H34" s="72"/>
    </row>
    <row r="35" spans="1:8" x14ac:dyDescent="0.2">
      <c r="A35" s="74" t="s">
        <v>204</v>
      </c>
      <c r="B35" s="75">
        <f t="shared" ref="B35" si="8">SUM(B33:B34)</f>
        <v>36800</v>
      </c>
      <c r="C35" s="75">
        <f t="shared" ref="C35:H35" si="9">SUM(C33:C34)</f>
        <v>67810</v>
      </c>
      <c r="D35" s="75">
        <f t="shared" si="9"/>
        <v>0</v>
      </c>
      <c r="E35" s="75">
        <f t="shared" si="9"/>
        <v>0</v>
      </c>
      <c r="F35" s="75">
        <f t="shared" si="9"/>
        <v>0</v>
      </c>
      <c r="G35" s="75">
        <f t="shared" si="9"/>
        <v>0</v>
      </c>
      <c r="H35" s="75">
        <f t="shared" si="9"/>
        <v>0</v>
      </c>
    </row>
    <row r="36" spans="1:8" x14ac:dyDescent="0.2">
      <c r="A36" s="76" t="s">
        <v>1458</v>
      </c>
      <c r="B36" s="76"/>
      <c r="C36" s="70"/>
      <c r="D36" s="70"/>
      <c r="E36" s="70"/>
      <c r="F36" s="70"/>
      <c r="G36" s="70"/>
      <c r="H36" s="70"/>
    </row>
    <row r="37" spans="1:8" x14ac:dyDescent="0.2">
      <c r="A37" s="69" t="s">
        <v>1459</v>
      </c>
      <c r="B37" s="1514">
        <v>77500</v>
      </c>
      <c r="C37" s="71">
        <v>66701</v>
      </c>
      <c r="D37" s="71"/>
      <c r="E37" s="71"/>
      <c r="F37" s="71"/>
      <c r="G37" s="71"/>
      <c r="H37" s="71"/>
    </row>
    <row r="38" spans="1:8" x14ac:dyDescent="0.2">
      <c r="A38" s="69"/>
      <c r="B38" s="69"/>
      <c r="C38" s="72"/>
      <c r="D38" s="72"/>
      <c r="E38" s="72"/>
      <c r="F38" s="72"/>
      <c r="G38" s="72"/>
      <c r="H38" s="72"/>
    </row>
    <row r="39" spans="1:8" x14ac:dyDescent="0.2">
      <c r="A39" s="74" t="s">
        <v>204</v>
      </c>
      <c r="B39" s="75">
        <f t="shared" ref="B39" si="10">SUM(B37:B38)</f>
        <v>77500</v>
      </c>
      <c r="C39" s="75">
        <f t="shared" ref="C39:H39" si="11">SUM(C37:C38)</f>
        <v>66701</v>
      </c>
      <c r="D39" s="75">
        <f t="shared" si="11"/>
        <v>0</v>
      </c>
      <c r="E39" s="75">
        <f t="shared" si="11"/>
        <v>0</v>
      </c>
      <c r="F39" s="75">
        <f t="shared" si="11"/>
        <v>0</v>
      </c>
      <c r="G39" s="75">
        <f t="shared" si="11"/>
        <v>0</v>
      </c>
      <c r="H39" s="75">
        <f t="shared" si="11"/>
        <v>0</v>
      </c>
    </row>
    <row r="40" spans="1:8" x14ac:dyDescent="0.2">
      <c r="A40" s="76" t="s">
        <v>1460</v>
      </c>
      <c r="B40" s="1512"/>
      <c r="C40" s="77"/>
      <c r="D40" s="77"/>
      <c r="E40" s="77"/>
      <c r="F40" s="77"/>
      <c r="G40" s="77"/>
      <c r="H40" s="77"/>
    </row>
    <row r="41" spans="1:8" x14ac:dyDescent="0.2">
      <c r="A41" s="69" t="s">
        <v>1461</v>
      </c>
      <c r="B41" s="1510"/>
      <c r="C41" s="71">
        <v>125965</v>
      </c>
      <c r="D41" s="71"/>
      <c r="E41" s="71"/>
      <c r="F41" s="71"/>
      <c r="G41" s="71"/>
      <c r="H41" s="71"/>
    </row>
    <row r="42" spans="1:8" x14ac:dyDescent="0.2">
      <c r="A42" s="69"/>
      <c r="B42" s="69"/>
      <c r="C42" s="72"/>
      <c r="D42" s="72"/>
      <c r="E42" s="72"/>
      <c r="F42" s="72"/>
      <c r="G42" s="72"/>
      <c r="H42" s="72"/>
    </row>
    <row r="43" spans="1:8" x14ac:dyDescent="0.2">
      <c r="A43" s="74" t="s">
        <v>204</v>
      </c>
      <c r="B43" s="75">
        <f t="shared" ref="B43" si="12">SUM(B41:B42)</f>
        <v>0</v>
      </c>
      <c r="C43" s="75">
        <f t="shared" ref="C43:H43" si="13">SUM(C41:C42)</f>
        <v>125965</v>
      </c>
      <c r="D43" s="75">
        <f t="shared" si="13"/>
        <v>0</v>
      </c>
      <c r="E43" s="75">
        <f t="shared" si="13"/>
        <v>0</v>
      </c>
      <c r="F43" s="75">
        <f t="shared" si="13"/>
        <v>0</v>
      </c>
      <c r="G43" s="75">
        <f t="shared" si="13"/>
        <v>0</v>
      </c>
      <c r="H43" s="75">
        <f t="shared" si="13"/>
        <v>0</v>
      </c>
    </row>
    <row r="44" spans="1:8" x14ac:dyDescent="0.2">
      <c r="A44" s="76" t="s">
        <v>1462</v>
      </c>
      <c r="B44" s="76"/>
      <c r="C44" s="70"/>
      <c r="D44" s="70"/>
      <c r="E44" s="70"/>
      <c r="F44" s="70"/>
      <c r="G44" s="70"/>
      <c r="H44" s="70"/>
    </row>
    <row r="45" spans="1:8" x14ac:dyDescent="0.2">
      <c r="A45" s="69" t="s">
        <v>1463</v>
      </c>
      <c r="B45" s="1514">
        <v>67701</v>
      </c>
      <c r="C45" s="71">
        <v>52865</v>
      </c>
      <c r="D45" s="71"/>
      <c r="E45" s="71"/>
      <c r="F45" s="71"/>
      <c r="G45" s="71"/>
      <c r="H45" s="71"/>
    </row>
    <row r="46" spans="1:8" x14ac:dyDescent="0.2">
      <c r="A46" s="69"/>
      <c r="B46" s="69"/>
      <c r="C46" s="72"/>
      <c r="D46" s="72"/>
      <c r="E46" s="72"/>
      <c r="F46" s="72"/>
      <c r="G46" s="72"/>
      <c r="H46" s="72"/>
    </row>
    <row r="47" spans="1:8" x14ac:dyDescent="0.2">
      <c r="A47" s="74" t="s">
        <v>204</v>
      </c>
      <c r="B47" s="75">
        <f t="shared" ref="B47" si="14">SUM(B45:B46)</f>
        <v>67701</v>
      </c>
      <c r="C47" s="75">
        <f t="shared" ref="C47:H47" si="15">SUM(C45:C46)</f>
        <v>52865</v>
      </c>
      <c r="D47" s="75">
        <f t="shared" si="15"/>
        <v>0</v>
      </c>
      <c r="E47" s="75">
        <f t="shared" si="15"/>
        <v>0</v>
      </c>
      <c r="F47" s="75">
        <f t="shared" si="15"/>
        <v>0</v>
      </c>
      <c r="G47" s="75">
        <f t="shared" si="15"/>
        <v>0</v>
      </c>
      <c r="H47" s="75">
        <f t="shared" si="15"/>
        <v>0</v>
      </c>
    </row>
    <row r="48" spans="1:8" x14ac:dyDescent="0.2">
      <c r="A48" s="76" t="s">
        <v>1464</v>
      </c>
      <c r="B48" s="76"/>
      <c r="C48" s="70"/>
      <c r="D48" s="70"/>
      <c r="E48" s="70"/>
      <c r="F48" s="70"/>
      <c r="G48" s="70"/>
      <c r="H48" s="70"/>
    </row>
    <row r="49" spans="1:8" x14ac:dyDescent="0.2">
      <c r="A49" s="69" t="s">
        <v>1465</v>
      </c>
      <c r="B49" s="1510"/>
      <c r="C49" s="71"/>
      <c r="D49" s="71">
        <v>122068</v>
      </c>
      <c r="E49" s="71">
        <v>37754</v>
      </c>
      <c r="F49" s="71"/>
      <c r="G49" s="71"/>
      <c r="H49" s="71"/>
    </row>
    <row r="50" spans="1:8" x14ac:dyDescent="0.2">
      <c r="A50" s="69" t="s">
        <v>1466</v>
      </c>
      <c r="B50" s="69"/>
      <c r="C50" s="72"/>
      <c r="D50" s="72">
        <v>25252</v>
      </c>
      <c r="E50" s="72"/>
      <c r="F50" s="72"/>
      <c r="G50" s="72"/>
      <c r="H50" s="72"/>
    </row>
    <row r="51" spans="1:8" x14ac:dyDescent="0.2">
      <c r="A51" s="74" t="s">
        <v>204</v>
      </c>
      <c r="B51" s="75">
        <f t="shared" ref="B51" si="16">SUM(B49:B50)</f>
        <v>0</v>
      </c>
      <c r="C51" s="75">
        <f t="shared" ref="C51:H51" si="17">SUM(C49:C50)</f>
        <v>0</v>
      </c>
      <c r="D51" s="75">
        <f t="shared" si="17"/>
        <v>147320</v>
      </c>
      <c r="E51" s="75">
        <f t="shared" si="17"/>
        <v>37754</v>
      </c>
      <c r="F51" s="75">
        <f t="shared" si="17"/>
        <v>0</v>
      </c>
      <c r="G51" s="75">
        <f t="shared" si="17"/>
        <v>0</v>
      </c>
      <c r="H51" s="75">
        <f t="shared" si="17"/>
        <v>0</v>
      </c>
    </row>
    <row r="52" spans="1:8" x14ac:dyDescent="0.2">
      <c r="A52" s="76" t="s">
        <v>1467</v>
      </c>
      <c r="B52" s="1512"/>
      <c r="C52" s="77"/>
      <c r="D52" s="77"/>
      <c r="E52" s="77"/>
      <c r="F52" s="77"/>
      <c r="G52" s="77"/>
      <c r="H52" s="77"/>
    </row>
    <row r="53" spans="1:8" x14ac:dyDescent="0.2">
      <c r="A53" s="69" t="s">
        <v>1468</v>
      </c>
      <c r="B53" s="1514"/>
      <c r="C53" s="71"/>
      <c r="D53" s="71">
        <v>161193</v>
      </c>
      <c r="E53" s="71"/>
      <c r="F53" s="71"/>
      <c r="G53" s="71"/>
      <c r="H53" s="71"/>
    </row>
    <row r="54" spans="1:8" x14ac:dyDescent="0.2">
      <c r="A54" s="69"/>
      <c r="B54" s="69"/>
      <c r="C54" s="72"/>
      <c r="D54" s="72"/>
      <c r="E54" s="72"/>
      <c r="F54" s="72"/>
      <c r="G54" s="72"/>
      <c r="H54" s="72"/>
    </row>
    <row r="55" spans="1:8" x14ac:dyDescent="0.2">
      <c r="A55" s="74" t="s">
        <v>204</v>
      </c>
      <c r="B55" s="75">
        <f t="shared" ref="B55" si="18">SUM(B53:B54)</f>
        <v>0</v>
      </c>
      <c r="C55" s="75">
        <f t="shared" ref="C55:H55" si="19">SUM(C53:C54)</f>
        <v>0</v>
      </c>
      <c r="D55" s="75">
        <f t="shared" si="19"/>
        <v>161193</v>
      </c>
      <c r="E55" s="75">
        <f t="shared" si="19"/>
        <v>0</v>
      </c>
      <c r="F55" s="75">
        <f t="shared" si="19"/>
        <v>0</v>
      </c>
      <c r="G55" s="75">
        <f t="shared" si="19"/>
        <v>0</v>
      </c>
      <c r="H55" s="75">
        <f t="shared" si="19"/>
        <v>0</v>
      </c>
    </row>
    <row r="56" spans="1:8" x14ac:dyDescent="0.2">
      <c r="A56" s="76" t="s">
        <v>1469</v>
      </c>
      <c r="B56" s="76"/>
      <c r="C56" s="70"/>
      <c r="D56" s="70"/>
      <c r="E56" s="70"/>
      <c r="F56" s="70"/>
      <c r="G56" s="70"/>
      <c r="H56" s="70"/>
    </row>
    <row r="57" spans="1:8" x14ac:dyDescent="0.2">
      <c r="A57" s="69" t="s">
        <v>1470</v>
      </c>
      <c r="B57" s="1510"/>
      <c r="C57" s="71"/>
      <c r="D57" s="71">
        <v>80885</v>
      </c>
      <c r="E57" s="71"/>
      <c r="F57" s="71"/>
      <c r="G57" s="71"/>
      <c r="H57" s="71"/>
    </row>
    <row r="58" spans="1:8" x14ac:dyDescent="0.2">
      <c r="A58" s="69"/>
      <c r="B58" s="69"/>
      <c r="C58" s="72"/>
      <c r="D58" s="72"/>
      <c r="E58" s="72"/>
      <c r="F58" s="72"/>
      <c r="G58" s="72"/>
      <c r="H58" s="72"/>
    </row>
    <row r="59" spans="1:8" x14ac:dyDescent="0.2">
      <c r="A59" s="74" t="s">
        <v>204</v>
      </c>
      <c r="B59" s="75">
        <f t="shared" ref="B59" si="20">SUM(B57:B58)</f>
        <v>0</v>
      </c>
      <c r="C59" s="75">
        <f t="shared" ref="C59:H59" si="21">SUM(C57:C58)</f>
        <v>0</v>
      </c>
      <c r="D59" s="75">
        <f t="shared" si="21"/>
        <v>80885</v>
      </c>
      <c r="E59" s="75">
        <f t="shared" si="21"/>
        <v>0</v>
      </c>
      <c r="F59" s="75">
        <f t="shared" si="21"/>
        <v>0</v>
      </c>
      <c r="G59" s="75">
        <f t="shared" si="21"/>
        <v>0</v>
      </c>
      <c r="H59" s="75">
        <f t="shared" si="21"/>
        <v>0</v>
      </c>
    </row>
    <row r="60" spans="1:8" x14ac:dyDescent="0.2">
      <c r="A60" s="76" t="s">
        <v>1471</v>
      </c>
      <c r="B60" s="76"/>
      <c r="C60" s="70"/>
      <c r="D60" s="70"/>
      <c r="E60" s="70"/>
      <c r="F60" s="70"/>
      <c r="G60" s="70"/>
      <c r="H60" s="70"/>
    </row>
    <row r="61" spans="1:8" x14ac:dyDescent="0.2">
      <c r="A61" s="69" t="s">
        <v>1472</v>
      </c>
      <c r="B61" s="1510"/>
      <c r="C61" s="71"/>
      <c r="D61" s="71">
        <v>51328</v>
      </c>
      <c r="E61" s="71"/>
      <c r="F61" s="71"/>
      <c r="G61" s="71"/>
      <c r="H61" s="71"/>
    </row>
    <row r="62" spans="1:8" x14ac:dyDescent="0.2">
      <c r="A62" s="69"/>
      <c r="B62" s="69"/>
      <c r="C62" s="72"/>
      <c r="D62" s="72"/>
      <c r="E62" s="72"/>
      <c r="F62" s="72"/>
      <c r="G62" s="72"/>
      <c r="H62" s="72"/>
    </row>
    <row r="63" spans="1:8" x14ac:dyDescent="0.2">
      <c r="A63" s="74" t="s">
        <v>204</v>
      </c>
      <c r="B63" s="75">
        <f t="shared" ref="B63" si="22">SUM(B61:B62)</f>
        <v>0</v>
      </c>
      <c r="C63" s="75">
        <f t="shared" ref="C63:H63" si="23">SUM(C61:C62)</f>
        <v>0</v>
      </c>
      <c r="D63" s="75">
        <f t="shared" si="23"/>
        <v>51328</v>
      </c>
      <c r="E63" s="75">
        <f t="shared" si="23"/>
        <v>0</v>
      </c>
      <c r="F63" s="75">
        <f t="shared" si="23"/>
        <v>0</v>
      </c>
      <c r="G63" s="75">
        <f t="shared" si="23"/>
        <v>0</v>
      </c>
      <c r="H63" s="75">
        <f t="shared" si="23"/>
        <v>0</v>
      </c>
    </row>
    <row r="64" spans="1:8" x14ac:dyDescent="0.2">
      <c r="A64" s="76" t="s">
        <v>1473</v>
      </c>
      <c r="B64" s="1512"/>
      <c r="C64" s="77"/>
      <c r="D64" s="77"/>
      <c r="E64" s="77"/>
      <c r="F64" s="77"/>
      <c r="G64" s="77"/>
      <c r="H64" s="77"/>
    </row>
    <row r="65" spans="1:8" x14ac:dyDescent="0.2">
      <c r="A65" s="69" t="s">
        <v>1474</v>
      </c>
      <c r="B65" s="1510"/>
      <c r="C65" s="71"/>
      <c r="D65" s="71">
        <v>65634</v>
      </c>
      <c r="E65" s="71"/>
      <c r="F65" s="71"/>
      <c r="G65" s="71"/>
      <c r="H65" s="71"/>
    </row>
    <row r="66" spans="1:8" x14ac:dyDescent="0.2">
      <c r="A66" s="69"/>
      <c r="B66" s="69"/>
      <c r="C66" s="72"/>
      <c r="D66" s="72"/>
      <c r="E66" s="72"/>
      <c r="F66" s="72"/>
      <c r="G66" s="72"/>
      <c r="H66" s="72"/>
    </row>
    <row r="67" spans="1:8" x14ac:dyDescent="0.2">
      <c r="A67" s="74" t="s">
        <v>204</v>
      </c>
      <c r="B67" s="75">
        <f t="shared" ref="B67" si="24">SUM(B65:B66)</f>
        <v>0</v>
      </c>
      <c r="C67" s="75">
        <f t="shared" ref="C67:H67" si="25">SUM(C65:C66)</f>
        <v>0</v>
      </c>
      <c r="D67" s="75">
        <f t="shared" si="25"/>
        <v>65634</v>
      </c>
      <c r="E67" s="75">
        <f t="shared" si="25"/>
        <v>0</v>
      </c>
      <c r="F67" s="75">
        <f t="shared" si="25"/>
        <v>0</v>
      </c>
      <c r="G67" s="75">
        <f t="shared" si="25"/>
        <v>0</v>
      </c>
      <c r="H67" s="75">
        <f t="shared" si="25"/>
        <v>0</v>
      </c>
    </row>
    <row r="68" spans="1:8" x14ac:dyDescent="0.2">
      <c r="A68" s="76" t="s">
        <v>1475</v>
      </c>
      <c r="B68" s="76"/>
      <c r="C68" s="70"/>
      <c r="D68" s="70"/>
      <c r="E68" s="70"/>
      <c r="F68" s="70"/>
      <c r="G68" s="70"/>
      <c r="H68" s="70"/>
    </row>
    <row r="69" spans="1:8" x14ac:dyDescent="0.2">
      <c r="A69" s="69" t="s">
        <v>1476</v>
      </c>
      <c r="B69" s="1514">
        <v>102000</v>
      </c>
      <c r="C69" s="71">
        <v>62729</v>
      </c>
      <c r="D69" s="71"/>
      <c r="E69" s="71"/>
      <c r="F69" s="71"/>
      <c r="G69" s="71"/>
      <c r="H69" s="71"/>
    </row>
    <row r="70" spans="1:8" x14ac:dyDescent="0.2">
      <c r="A70" s="69"/>
      <c r="B70" s="69"/>
      <c r="C70" s="72"/>
      <c r="D70" s="72"/>
      <c r="E70" s="72"/>
      <c r="F70" s="72"/>
      <c r="G70" s="72"/>
      <c r="H70" s="72"/>
    </row>
    <row r="71" spans="1:8" x14ac:dyDescent="0.2">
      <c r="A71" s="74" t="s">
        <v>204</v>
      </c>
      <c r="B71" s="75">
        <f t="shared" ref="B71" si="26">SUM(B69:B70)</f>
        <v>102000</v>
      </c>
      <c r="C71" s="75">
        <f t="shared" ref="C71:H71" si="27">SUM(C69:C70)</f>
        <v>62729</v>
      </c>
      <c r="D71" s="75">
        <f t="shared" si="27"/>
        <v>0</v>
      </c>
      <c r="E71" s="75">
        <f t="shared" si="27"/>
        <v>0</v>
      </c>
      <c r="F71" s="75">
        <f t="shared" si="27"/>
        <v>0</v>
      </c>
      <c r="G71" s="75">
        <f t="shared" si="27"/>
        <v>0</v>
      </c>
      <c r="H71" s="75">
        <f t="shared" si="27"/>
        <v>0</v>
      </c>
    </row>
    <row r="72" spans="1:8" x14ac:dyDescent="0.2">
      <c r="A72" s="76" t="s">
        <v>1477</v>
      </c>
      <c r="B72" s="76"/>
      <c r="C72" s="70"/>
      <c r="D72" s="70"/>
      <c r="E72" s="70"/>
      <c r="F72" s="70"/>
      <c r="G72" s="70"/>
      <c r="H72" s="70"/>
    </row>
    <row r="73" spans="1:8" x14ac:dyDescent="0.2">
      <c r="A73" s="69" t="s">
        <v>1478</v>
      </c>
      <c r="B73" s="1514">
        <v>400000</v>
      </c>
      <c r="C73" s="71"/>
      <c r="D73" s="71">
        <v>620528</v>
      </c>
      <c r="E73" s="71"/>
      <c r="F73" s="71"/>
      <c r="G73" s="71"/>
      <c r="H73" s="71"/>
    </row>
    <row r="74" spans="1:8" x14ac:dyDescent="0.2">
      <c r="A74" s="69"/>
      <c r="B74" s="69"/>
      <c r="C74" s="72"/>
      <c r="D74" s="72"/>
      <c r="E74" s="72"/>
      <c r="F74" s="72"/>
      <c r="G74" s="72"/>
      <c r="H74" s="72"/>
    </row>
    <row r="75" spans="1:8" x14ac:dyDescent="0.2">
      <c r="A75" s="74" t="s">
        <v>204</v>
      </c>
      <c r="B75" s="75">
        <f t="shared" ref="B75" si="28">SUM(B73:B74)</f>
        <v>400000</v>
      </c>
      <c r="C75" s="75">
        <f t="shared" ref="C75:H75" si="29">SUM(C73:C74)</f>
        <v>0</v>
      </c>
      <c r="D75" s="75">
        <f t="shared" si="29"/>
        <v>620528</v>
      </c>
      <c r="E75" s="75">
        <f t="shared" si="29"/>
        <v>0</v>
      </c>
      <c r="F75" s="75">
        <f t="shared" si="29"/>
        <v>0</v>
      </c>
      <c r="G75" s="75">
        <f t="shared" si="29"/>
        <v>0</v>
      </c>
      <c r="H75" s="75">
        <f t="shared" si="29"/>
        <v>0</v>
      </c>
    </row>
    <row r="76" spans="1:8" x14ac:dyDescent="0.2">
      <c r="A76" s="76" t="s">
        <v>1479</v>
      </c>
      <c r="B76" s="1512"/>
      <c r="C76" s="77"/>
      <c r="D76" s="77"/>
      <c r="E76" s="77"/>
      <c r="F76" s="77"/>
      <c r="G76" s="77"/>
      <c r="H76" s="77"/>
    </row>
    <row r="77" spans="1:8" x14ac:dyDescent="0.2">
      <c r="A77" s="69" t="s">
        <v>1480</v>
      </c>
      <c r="B77" s="1510"/>
      <c r="C77" s="71"/>
      <c r="D77" s="71"/>
      <c r="E77" s="71">
        <v>39500</v>
      </c>
      <c r="F77" s="71"/>
      <c r="G77" s="71">
        <v>67015</v>
      </c>
      <c r="H77" s="71"/>
    </row>
    <row r="78" spans="1:8" x14ac:dyDescent="0.2">
      <c r="A78" s="69"/>
      <c r="B78" s="69"/>
      <c r="C78" s="72"/>
      <c r="D78" s="72"/>
      <c r="E78" s="72"/>
      <c r="F78" s="72"/>
      <c r="G78" s="72"/>
      <c r="H78" s="72"/>
    </row>
    <row r="79" spans="1:8" x14ac:dyDescent="0.2">
      <c r="A79" s="74" t="s">
        <v>204</v>
      </c>
      <c r="B79" s="75">
        <f t="shared" ref="B79" si="30">SUM(B77:B78)</f>
        <v>0</v>
      </c>
      <c r="C79" s="75">
        <f t="shared" ref="C79:H79" si="31">SUM(C77:C78)</f>
        <v>0</v>
      </c>
      <c r="D79" s="75">
        <f t="shared" si="31"/>
        <v>0</v>
      </c>
      <c r="E79" s="75">
        <f t="shared" si="31"/>
        <v>39500</v>
      </c>
      <c r="F79" s="75">
        <f t="shared" si="31"/>
        <v>0</v>
      </c>
      <c r="G79" s="75">
        <f t="shared" si="31"/>
        <v>67015</v>
      </c>
      <c r="H79" s="75">
        <f t="shared" si="31"/>
        <v>0</v>
      </c>
    </row>
    <row r="80" spans="1:8" x14ac:dyDescent="0.2">
      <c r="A80" s="76" t="s">
        <v>1481</v>
      </c>
      <c r="B80" s="1512"/>
      <c r="C80" s="77"/>
      <c r="D80" s="77"/>
      <c r="E80" s="77"/>
      <c r="F80" s="77"/>
      <c r="G80" s="77"/>
      <c r="H80" s="77"/>
    </row>
    <row r="81" spans="1:8" x14ac:dyDescent="0.2">
      <c r="A81" s="69" t="s">
        <v>1482</v>
      </c>
      <c r="B81" s="1510"/>
      <c r="C81" s="71"/>
      <c r="D81" s="71"/>
      <c r="E81" s="71">
        <v>103369</v>
      </c>
      <c r="F81" s="71"/>
      <c r="G81" s="71"/>
      <c r="H81" s="71"/>
    </row>
    <row r="82" spans="1:8" x14ac:dyDescent="0.2">
      <c r="A82" s="69"/>
      <c r="B82" s="69"/>
      <c r="C82" s="72"/>
      <c r="D82" s="72"/>
      <c r="E82" s="72"/>
      <c r="F82" s="72"/>
      <c r="G82" s="72"/>
      <c r="H82" s="72"/>
    </row>
    <row r="83" spans="1:8" x14ac:dyDescent="0.2">
      <c r="A83" s="74" t="s">
        <v>204</v>
      </c>
      <c r="B83" s="75">
        <f t="shared" ref="B83" si="32">SUM(B81:B82)</f>
        <v>0</v>
      </c>
      <c r="C83" s="75">
        <f t="shared" ref="C83:H83" si="33">SUM(C81:C82)</f>
        <v>0</v>
      </c>
      <c r="D83" s="75">
        <f t="shared" si="33"/>
        <v>0</v>
      </c>
      <c r="E83" s="75">
        <f t="shared" si="33"/>
        <v>103369</v>
      </c>
      <c r="F83" s="75">
        <f t="shared" si="33"/>
        <v>0</v>
      </c>
      <c r="G83" s="75">
        <f t="shared" si="33"/>
        <v>0</v>
      </c>
      <c r="H83" s="75">
        <f t="shared" si="33"/>
        <v>0</v>
      </c>
    </row>
    <row r="84" spans="1:8" x14ac:dyDescent="0.2">
      <c r="A84" s="76" t="s">
        <v>1483</v>
      </c>
      <c r="B84" s="76"/>
      <c r="C84" s="70"/>
      <c r="D84" s="70"/>
      <c r="E84" s="70"/>
      <c r="F84" s="70"/>
      <c r="G84" s="70"/>
      <c r="H84" s="70"/>
    </row>
    <row r="85" spans="1:8" x14ac:dyDescent="0.2">
      <c r="A85" s="69" t="s">
        <v>1484</v>
      </c>
      <c r="B85" s="1510"/>
      <c r="C85" s="71"/>
      <c r="D85" s="71"/>
      <c r="E85" s="71">
        <v>92733</v>
      </c>
      <c r="F85" s="71"/>
      <c r="G85" s="71"/>
      <c r="H85" s="71"/>
    </row>
    <row r="86" spans="1:8" x14ac:dyDescent="0.2">
      <c r="A86" s="69"/>
      <c r="B86" s="69"/>
      <c r="C86" s="72"/>
      <c r="D86" s="72"/>
      <c r="E86" s="72"/>
      <c r="F86" s="72"/>
      <c r="G86" s="72"/>
      <c r="H86" s="72"/>
    </row>
    <row r="87" spans="1:8" x14ac:dyDescent="0.2">
      <c r="A87" s="74" t="s">
        <v>204</v>
      </c>
      <c r="B87" s="75">
        <f t="shared" ref="B87" si="34">SUM(B85:B86)</f>
        <v>0</v>
      </c>
      <c r="C87" s="75">
        <f t="shared" ref="C87:H87" si="35">SUM(C85:C86)</f>
        <v>0</v>
      </c>
      <c r="D87" s="75">
        <f t="shared" si="35"/>
        <v>0</v>
      </c>
      <c r="E87" s="75">
        <f t="shared" si="35"/>
        <v>92733</v>
      </c>
      <c r="F87" s="75">
        <f t="shared" si="35"/>
        <v>0</v>
      </c>
      <c r="G87" s="75">
        <f t="shared" si="35"/>
        <v>0</v>
      </c>
      <c r="H87" s="75">
        <f t="shared" si="35"/>
        <v>0</v>
      </c>
    </row>
    <row r="88" spans="1:8" x14ac:dyDescent="0.2">
      <c r="A88" s="76" t="s">
        <v>1485</v>
      </c>
      <c r="B88" s="76"/>
      <c r="C88" s="70"/>
      <c r="D88" s="70"/>
      <c r="E88" s="70"/>
      <c r="F88" s="70"/>
      <c r="G88" s="70"/>
      <c r="H88" s="70"/>
    </row>
    <row r="89" spans="1:8" x14ac:dyDescent="0.2">
      <c r="A89" s="69" t="s">
        <v>1486</v>
      </c>
      <c r="B89" s="1510"/>
      <c r="C89" s="71"/>
      <c r="D89" s="71"/>
      <c r="E89" s="71">
        <v>69148</v>
      </c>
      <c r="F89" s="71">
        <v>56870</v>
      </c>
      <c r="G89" s="71"/>
      <c r="H89" s="71"/>
    </row>
    <row r="90" spans="1:8" x14ac:dyDescent="0.2">
      <c r="A90" s="69"/>
      <c r="B90" s="69"/>
      <c r="C90" s="72"/>
      <c r="D90" s="72"/>
      <c r="E90" s="72"/>
      <c r="F90" s="72"/>
      <c r="G90" s="72"/>
      <c r="H90" s="72"/>
    </row>
    <row r="91" spans="1:8" x14ac:dyDescent="0.2">
      <c r="A91" s="74" t="s">
        <v>204</v>
      </c>
      <c r="B91" s="75">
        <f t="shared" ref="B91" si="36">SUM(B89:B90)</f>
        <v>0</v>
      </c>
      <c r="C91" s="75">
        <f t="shared" ref="C91:H91" si="37">SUM(C89:C90)</f>
        <v>0</v>
      </c>
      <c r="D91" s="75">
        <f t="shared" si="37"/>
        <v>0</v>
      </c>
      <c r="E91" s="75">
        <f t="shared" si="37"/>
        <v>69148</v>
      </c>
      <c r="F91" s="75">
        <f t="shared" si="37"/>
        <v>56870</v>
      </c>
      <c r="G91" s="75">
        <f t="shared" si="37"/>
        <v>0</v>
      </c>
      <c r="H91" s="75">
        <f t="shared" si="37"/>
        <v>0</v>
      </c>
    </row>
    <row r="92" spans="1:8" x14ac:dyDescent="0.2">
      <c r="A92" s="76" t="s">
        <v>1487</v>
      </c>
      <c r="B92" s="1512"/>
      <c r="C92" s="77"/>
      <c r="D92" s="77"/>
      <c r="E92" s="77"/>
      <c r="F92" s="77"/>
      <c r="G92" s="77"/>
      <c r="H92" s="77"/>
    </row>
    <row r="93" spans="1:8" x14ac:dyDescent="0.2">
      <c r="A93" s="69" t="s">
        <v>1488</v>
      </c>
      <c r="B93" s="1510"/>
      <c r="C93" s="71"/>
      <c r="D93" s="71"/>
      <c r="E93" s="71">
        <v>57145</v>
      </c>
      <c r="F93" s="71"/>
      <c r="G93" s="71"/>
      <c r="H93" s="71"/>
    </row>
    <row r="94" spans="1:8" x14ac:dyDescent="0.2">
      <c r="A94" s="69"/>
      <c r="B94" s="69"/>
      <c r="C94" s="72"/>
      <c r="D94" s="72"/>
      <c r="E94" s="72"/>
      <c r="F94" s="72"/>
      <c r="G94" s="72"/>
      <c r="H94" s="72"/>
    </row>
    <row r="95" spans="1:8" x14ac:dyDescent="0.2">
      <c r="A95" s="74" t="s">
        <v>204</v>
      </c>
      <c r="B95" s="75">
        <f t="shared" ref="B95" si="38">SUM(B93:B94)</f>
        <v>0</v>
      </c>
      <c r="C95" s="75">
        <f t="shared" ref="C95:H95" si="39">SUM(C93:C94)</f>
        <v>0</v>
      </c>
      <c r="D95" s="75">
        <f t="shared" si="39"/>
        <v>0</v>
      </c>
      <c r="E95" s="75">
        <f t="shared" si="39"/>
        <v>57145</v>
      </c>
      <c r="F95" s="75">
        <f t="shared" si="39"/>
        <v>0</v>
      </c>
      <c r="G95" s="75">
        <f t="shared" si="39"/>
        <v>0</v>
      </c>
      <c r="H95" s="75">
        <f t="shared" si="39"/>
        <v>0</v>
      </c>
    </row>
    <row r="96" spans="1:8" x14ac:dyDescent="0.2">
      <c r="A96" s="76" t="s">
        <v>1489</v>
      </c>
      <c r="B96" s="76"/>
      <c r="C96" s="70"/>
      <c r="D96" s="70"/>
      <c r="E96" s="70"/>
      <c r="F96" s="70"/>
      <c r="G96" s="70"/>
      <c r="H96" s="70"/>
    </row>
    <row r="97" spans="1:8" x14ac:dyDescent="0.2">
      <c r="A97" s="69" t="s">
        <v>1490</v>
      </c>
      <c r="B97" s="1510"/>
      <c r="C97" s="71"/>
      <c r="D97" s="71"/>
      <c r="E97" s="71">
        <v>89944</v>
      </c>
      <c r="F97" s="71"/>
      <c r="G97" s="71"/>
      <c r="H97" s="71"/>
    </row>
    <row r="98" spans="1:8" x14ac:dyDescent="0.2">
      <c r="A98" s="69"/>
      <c r="B98" s="69"/>
      <c r="C98" s="72"/>
      <c r="D98" s="72"/>
      <c r="E98" s="72"/>
      <c r="F98" s="72"/>
      <c r="G98" s="72"/>
      <c r="H98" s="72"/>
    </row>
    <row r="99" spans="1:8" x14ac:dyDescent="0.2">
      <c r="A99" s="74" t="s">
        <v>204</v>
      </c>
      <c r="B99" s="75">
        <f t="shared" ref="B99" si="40">SUM(B97:B98)</f>
        <v>0</v>
      </c>
      <c r="C99" s="75">
        <f t="shared" ref="C99:H99" si="41">SUM(C97:C98)</f>
        <v>0</v>
      </c>
      <c r="D99" s="75">
        <f t="shared" si="41"/>
        <v>0</v>
      </c>
      <c r="E99" s="75">
        <f t="shared" si="41"/>
        <v>89944</v>
      </c>
      <c r="F99" s="75">
        <f t="shared" si="41"/>
        <v>0</v>
      </c>
      <c r="G99" s="75">
        <f t="shared" si="41"/>
        <v>0</v>
      </c>
      <c r="H99" s="75">
        <f t="shared" si="41"/>
        <v>0</v>
      </c>
    </row>
    <row r="100" spans="1:8" x14ac:dyDescent="0.2">
      <c r="A100" s="76" t="s">
        <v>1491</v>
      </c>
      <c r="B100" s="76"/>
      <c r="C100" s="70"/>
      <c r="D100" s="70"/>
      <c r="E100" s="70"/>
      <c r="F100" s="70"/>
      <c r="G100" s="70"/>
      <c r="H100" s="70"/>
    </row>
    <row r="101" spans="1:8" x14ac:dyDescent="0.2">
      <c r="A101" s="69" t="s">
        <v>1492</v>
      </c>
      <c r="B101" s="1510"/>
      <c r="C101" s="71"/>
      <c r="D101" s="71"/>
      <c r="E101" s="71">
        <v>102047</v>
      </c>
      <c r="F101" s="71"/>
      <c r="G101" s="71"/>
      <c r="H101" s="71"/>
    </row>
    <row r="102" spans="1:8" x14ac:dyDescent="0.2">
      <c r="A102" s="69"/>
      <c r="B102" s="69"/>
      <c r="C102" s="72"/>
      <c r="D102" s="72"/>
      <c r="E102" s="72"/>
      <c r="F102" s="72"/>
      <c r="G102" s="72"/>
      <c r="H102" s="72"/>
    </row>
    <row r="103" spans="1:8" x14ac:dyDescent="0.2">
      <c r="A103" s="74" t="s">
        <v>204</v>
      </c>
      <c r="B103" s="75">
        <f t="shared" ref="B103" si="42">SUM(B101:B102)</f>
        <v>0</v>
      </c>
      <c r="C103" s="75">
        <f t="shared" ref="C103:H103" si="43">SUM(C101:C102)</f>
        <v>0</v>
      </c>
      <c r="D103" s="75">
        <f t="shared" si="43"/>
        <v>0</v>
      </c>
      <c r="E103" s="75">
        <f t="shared" si="43"/>
        <v>102047</v>
      </c>
      <c r="F103" s="75">
        <f t="shared" si="43"/>
        <v>0</v>
      </c>
      <c r="G103" s="75">
        <f t="shared" si="43"/>
        <v>0</v>
      </c>
      <c r="H103" s="75">
        <f t="shared" si="43"/>
        <v>0</v>
      </c>
    </row>
    <row r="104" spans="1:8" x14ac:dyDescent="0.2">
      <c r="A104" s="76" t="s">
        <v>1493</v>
      </c>
      <c r="B104" s="1512"/>
      <c r="C104" s="77"/>
      <c r="D104" s="77"/>
      <c r="E104" s="77"/>
      <c r="F104" s="77"/>
      <c r="G104" s="77"/>
      <c r="H104" s="77"/>
    </row>
    <row r="105" spans="1:8" x14ac:dyDescent="0.2">
      <c r="A105" s="69" t="s">
        <v>1494</v>
      </c>
      <c r="B105" s="1510"/>
      <c r="C105" s="71"/>
      <c r="D105" s="71">
        <v>53027</v>
      </c>
      <c r="E105" s="71"/>
      <c r="F105" s="71"/>
      <c r="G105" s="71"/>
      <c r="H105" s="71"/>
    </row>
    <row r="106" spans="1:8" x14ac:dyDescent="0.2">
      <c r="A106" s="69"/>
      <c r="B106" s="69"/>
      <c r="C106" s="72"/>
      <c r="D106" s="72"/>
      <c r="E106" s="72"/>
      <c r="F106" s="72"/>
      <c r="G106" s="72"/>
      <c r="H106" s="72"/>
    </row>
    <row r="107" spans="1:8" x14ac:dyDescent="0.2">
      <c r="A107" s="74" t="s">
        <v>204</v>
      </c>
      <c r="B107" s="75">
        <f t="shared" ref="B107" si="44">SUM(B105:B106)</f>
        <v>0</v>
      </c>
      <c r="C107" s="75">
        <f t="shared" ref="C107:H107" si="45">SUM(C105:C106)</f>
        <v>0</v>
      </c>
      <c r="D107" s="75">
        <f t="shared" si="45"/>
        <v>53027</v>
      </c>
      <c r="E107" s="75">
        <f t="shared" si="45"/>
        <v>0</v>
      </c>
      <c r="F107" s="75">
        <f t="shared" si="45"/>
        <v>0</v>
      </c>
      <c r="G107" s="75">
        <f t="shared" si="45"/>
        <v>0</v>
      </c>
      <c r="H107" s="75">
        <f t="shared" si="45"/>
        <v>0</v>
      </c>
    </row>
    <row r="108" spans="1:8" x14ac:dyDescent="0.2">
      <c r="A108" s="76" t="s">
        <v>1495</v>
      </c>
      <c r="B108" s="1512"/>
      <c r="C108" s="77"/>
      <c r="D108" s="77"/>
      <c r="E108" s="77"/>
      <c r="F108" s="77"/>
      <c r="G108" s="77"/>
      <c r="H108" s="77"/>
    </row>
    <row r="109" spans="1:8" x14ac:dyDescent="0.2">
      <c r="A109" s="69" t="s">
        <v>1496</v>
      </c>
      <c r="B109" s="1510"/>
      <c r="C109" s="71"/>
      <c r="D109" s="71"/>
      <c r="E109" s="71"/>
      <c r="F109" s="71">
        <v>72206</v>
      </c>
      <c r="G109" s="71"/>
      <c r="H109" s="71"/>
    </row>
    <row r="110" spans="1:8" x14ac:dyDescent="0.2">
      <c r="A110" s="69"/>
      <c r="B110" s="69"/>
      <c r="C110" s="72"/>
      <c r="D110" s="72"/>
      <c r="E110" s="72"/>
      <c r="F110" s="72"/>
      <c r="G110" s="72"/>
      <c r="H110" s="72"/>
    </row>
    <row r="111" spans="1:8" x14ac:dyDescent="0.2">
      <c r="A111" s="74" t="s">
        <v>204</v>
      </c>
      <c r="B111" s="75">
        <f t="shared" ref="B111" si="46">SUM(B109:B110)</f>
        <v>0</v>
      </c>
      <c r="C111" s="75">
        <f t="shared" ref="C111:H111" si="47">SUM(C109:C110)</f>
        <v>0</v>
      </c>
      <c r="D111" s="75">
        <f t="shared" si="47"/>
        <v>0</v>
      </c>
      <c r="E111" s="75">
        <f t="shared" si="47"/>
        <v>0</v>
      </c>
      <c r="F111" s="75">
        <f t="shared" si="47"/>
        <v>72206</v>
      </c>
      <c r="G111" s="75">
        <f t="shared" si="47"/>
        <v>0</v>
      </c>
      <c r="H111" s="75">
        <f t="shared" si="47"/>
        <v>0</v>
      </c>
    </row>
    <row r="112" spans="1:8" x14ac:dyDescent="0.2">
      <c r="A112" s="76" t="s">
        <v>1497</v>
      </c>
      <c r="B112" s="76"/>
      <c r="C112" s="70"/>
      <c r="D112" s="70"/>
      <c r="E112" s="70"/>
      <c r="F112" s="70"/>
      <c r="G112" s="70"/>
      <c r="H112" s="70"/>
    </row>
    <row r="113" spans="1:8" x14ac:dyDescent="0.2">
      <c r="A113" s="69" t="s">
        <v>1498</v>
      </c>
      <c r="B113" s="1510"/>
      <c r="C113" s="71"/>
      <c r="D113" s="71"/>
      <c r="E113" s="71"/>
      <c r="F113" s="71">
        <v>84647</v>
      </c>
      <c r="G113" s="71"/>
      <c r="H113" s="71"/>
    </row>
    <row r="114" spans="1:8" x14ac:dyDescent="0.2">
      <c r="A114" s="69"/>
      <c r="B114" s="69"/>
      <c r="C114" s="72"/>
      <c r="D114" s="72"/>
      <c r="E114" s="72"/>
      <c r="F114" s="72"/>
      <c r="G114" s="72"/>
      <c r="H114" s="72"/>
    </row>
    <row r="115" spans="1:8" x14ac:dyDescent="0.2">
      <c r="A115" s="74" t="s">
        <v>204</v>
      </c>
      <c r="B115" s="75">
        <f t="shared" ref="B115" si="48">SUM(B113:B114)</f>
        <v>0</v>
      </c>
      <c r="C115" s="75">
        <f t="shared" ref="C115:H115" si="49">SUM(C113:C114)</f>
        <v>0</v>
      </c>
      <c r="D115" s="75">
        <f t="shared" si="49"/>
        <v>0</v>
      </c>
      <c r="E115" s="75">
        <f t="shared" si="49"/>
        <v>0</v>
      </c>
      <c r="F115" s="75">
        <f t="shared" si="49"/>
        <v>84647</v>
      </c>
      <c r="G115" s="75">
        <f t="shared" si="49"/>
        <v>0</v>
      </c>
      <c r="H115" s="75">
        <f t="shared" si="49"/>
        <v>0</v>
      </c>
    </row>
    <row r="116" spans="1:8" x14ac:dyDescent="0.2">
      <c r="A116" s="76" t="s">
        <v>1499</v>
      </c>
      <c r="B116" s="76"/>
      <c r="C116" s="70"/>
      <c r="D116" s="70"/>
      <c r="E116" s="70"/>
      <c r="F116" s="70"/>
      <c r="G116" s="70"/>
      <c r="H116" s="70"/>
    </row>
    <row r="117" spans="1:8" x14ac:dyDescent="0.2">
      <c r="A117" s="69" t="s">
        <v>1500</v>
      </c>
      <c r="B117" s="1510"/>
      <c r="C117" s="71"/>
      <c r="D117" s="71"/>
      <c r="E117" s="71"/>
      <c r="F117" s="71">
        <v>72916</v>
      </c>
      <c r="G117" s="71"/>
      <c r="H117" s="71"/>
    </row>
    <row r="118" spans="1:8" x14ac:dyDescent="0.2">
      <c r="A118" s="69"/>
      <c r="B118" s="69"/>
      <c r="C118" s="72"/>
      <c r="D118" s="72"/>
      <c r="E118" s="72"/>
      <c r="F118" s="72"/>
      <c r="G118" s="72"/>
      <c r="H118" s="72"/>
    </row>
    <row r="119" spans="1:8" x14ac:dyDescent="0.2">
      <c r="A119" s="74" t="s">
        <v>204</v>
      </c>
      <c r="B119" s="75">
        <f t="shared" ref="B119" si="50">SUM(B117:B118)</f>
        <v>0</v>
      </c>
      <c r="C119" s="75">
        <f t="shared" ref="C119:H119" si="51">SUM(C117:C118)</f>
        <v>0</v>
      </c>
      <c r="D119" s="75">
        <f t="shared" si="51"/>
        <v>0</v>
      </c>
      <c r="E119" s="75">
        <f t="shared" si="51"/>
        <v>0</v>
      </c>
      <c r="F119" s="75">
        <f t="shared" si="51"/>
        <v>72916</v>
      </c>
      <c r="G119" s="75">
        <f t="shared" si="51"/>
        <v>0</v>
      </c>
      <c r="H119" s="75">
        <f t="shared" si="51"/>
        <v>0</v>
      </c>
    </row>
    <row r="120" spans="1:8" x14ac:dyDescent="0.2">
      <c r="A120" s="76" t="s">
        <v>1501</v>
      </c>
      <c r="B120" s="1512"/>
      <c r="C120" s="77"/>
      <c r="D120" s="77"/>
      <c r="E120" s="77"/>
      <c r="F120" s="77"/>
      <c r="G120" s="77"/>
      <c r="H120" s="77"/>
    </row>
    <row r="121" spans="1:8" x14ac:dyDescent="0.2">
      <c r="A121" s="69" t="s">
        <v>1502</v>
      </c>
      <c r="B121" s="1510"/>
      <c r="C121" s="71"/>
      <c r="D121" s="71"/>
      <c r="E121" s="71"/>
      <c r="F121" s="71"/>
      <c r="G121" s="71">
        <v>50972</v>
      </c>
      <c r="H121" s="71"/>
    </row>
    <row r="122" spans="1:8" x14ac:dyDescent="0.2">
      <c r="A122" s="69"/>
      <c r="B122" s="69"/>
      <c r="C122" s="72"/>
      <c r="D122" s="72"/>
      <c r="E122" s="72"/>
      <c r="F122" s="72"/>
      <c r="G122" s="72"/>
      <c r="H122" s="72"/>
    </row>
    <row r="123" spans="1:8" x14ac:dyDescent="0.2">
      <c r="A123" s="74" t="s">
        <v>204</v>
      </c>
      <c r="B123" s="75">
        <f t="shared" ref="B123" si="52">SUM(B121:B122)</f>
        <v>0</v>
      </c>
      <c r="C123" s="75">
        <f t="shared" ref="C123:H123" si="53">SUM(C121:C122)</f>
        <v>0</v>
      </c>
      <c r="D123" s="75">
        <f t="shared" si="53"/>
        <v>0</v>
      </c>
      <c r="E123" s="75">
        <f t="shared" si="53"/>
        <v>0</v>
      </c>
      <c r="F123" s="75">
        <f t="shared" si="53"/>
        <v>0</v>
      </c>
      <c r="G123" s="75">
        <f t="shared" si="53"/>
        <v>50972</v>
      </c>
      <c r="H123" s="75">
        <f t="shared" si="53"/>
        <v>0</v>
      </c>
    </row>
    <row r="124" spans="1:8" x14ac:dyDescent="0.2">
      <c r="A124" s="76" t="s">
        <v>1503</v>
      </c>
      <c r="B124" s="76"/>
      <c r="C124" s="70"/>
      <c r="D124" s="70"/>
      <c r="E124" s="70"/>
      <c r="F124" s="70"/>
      <c r="G124" s="70"/>
      <c r="H124" s="70"/>
    </row>
    <row r="125" spans="1:8" x14ac:dyDescent="0.2">
      <c r="A125" s="69" t="s">
        <v>1504</v>
      </c>
      <c r="B125" s="1510"/>
      <c r="C125" s="71"/>
      <c r="D125" s="71"/>
      <c r="E125" s="71"/>
      <c r="F125" s="71"/>
      <c r="G125" s="71">
        <v>51816</v>
      </c>
      <c r="H125" s="71"/>
    </row>
    <row r="126" spans="1:8" x14ac:dyDescent="0.2">
      <c r="A126" s="69"/>
      <c r="B126" s="69"/>
      <c r="C126" s="72"/>
      <c r="D126" s="72"/>
      <c r="E126" s="72"/>
      <c r="F126" s="72"/>
      <c r="G126" s="72"/>
      <c r="H126" s="72"/>
    </row>
    <row r="127" spans="1:8" x14ac:dyDescent="0.2">
      <c r="A127" s="74" t="s">
        <v>204</v>
      </c>
      <c r="B127" s="75">
        <f t="shared" ref="B127" si="54">SUM(B125:B126)</f>
        <v>0</v>
      </c>
      <c r="C127" s="75">
        <f t="shared" ref="C127:H127" si="55">SUM(C125:C126)</f>
        <v>0</v>
      </c>
      <c r="D127" s="75">
        <f t="shared" si="55"/>
        <v>0</v>
      </c>
      <c r="E127" s="75">
        <f t="shared" si="55"/>
        <v>0</v>
      </c>
      <c r="F127" s="75">
        <f t="shared" si="55"/>
        <v>0</v>
      </c>
      <c r="G127" s="75">
        <f t="shared" si="55"/>
        <v>51816</v>
      </c>
      <c r="H127" s="75">
        <f t="shared" si="55"/>
        <v>0</v>
      </c>
    </row>
    <row r="128" spans="1:8" x14ac:dyDescent="0.2">
      <c r="A128" s="76" t="s">
        <v>1505</v>
      </c>
      <c r="B128" s="76"/>
      <c r="C128" s="70"/>
      <c r="D128" s="70"/>
      <c r="E128" s="70"/>
      <c r="F128" s="70"/>
      <c r="G128" s="70"/>
      <c r="H128" s="70"/>
    </row>
    <row r="129" spans="1:8" x14ac:dyDescent="0.2">
      <c r="A129" s="69" t="s">
        <v>1506</v>
      </c>
      <c r="B129" s="1510"/>
      <c r="C129" s="71"/>
      <c r="D129" s="71"/>
      <c r="E129" s="71"/>
      <c r="F129" s="71"/>
      <c r="G129" s="71">
        <v>169043</v>
      </c>
      <c r="H129" s="71"/>
    </row>
    <row r="130" spans="1:8" x14ac:dyDescent="0.2">
      <c r="A130" s="69"/>
      <c r="B130" s="69"/>
      <c r="C130" s="72"/>
      <c r="D130" s="72"/>
      <c r="E130" s="72"/>
      <c r="F130" s="72"/>
      <c r="G130" s="72"/>
      <c r="H130" s="72"/>
    </row>
    <row r="131" spans="1:8" x14ac:dyDescent="0.2">
      <c r="A131" s="74" t="s">
        <v>204</v>
      </c>
      <c r="B131" s="75">
        <f t="shared" ref="B131" si="56">SUM(B129:B130)</f>
        <v>0</v>
      </c>
      <c r="C131" s="75">
        <f t="shared" ref="C131:H131" si="57">SUM(C129:C130)</f>
        <v>0</v>
      </c>
      <c r="D131" s="75">
        <f t="shared" si="57"/>
        <v>0</v>
      </c>
      <c r="E131" s="75">
        <f t="shared" si="57"/>
        <v>0</v>
      </c>
      <c r="F131" s="75">
        <f t="shared" si="57"/>
        <v>0</v>
      </c>
      <c r="G131" s="75">
        <f t="shared" si="57"/>
        <v>169043</v>
      </c>
      <c r="H131" s="75">
        <f t="shared" si="57"/>
        <v>0</v>
      </c>
    </row>
    <row r="132" spans="1:8" x14ac:dyDescent="0.2">
      <c r="A132" s="76" t="s">
        <v>1507</v>
      </c>
      <c r="B132" s="1512"/>
      <c r="C132" s="77"/>
      <c r="D132" s="77"/>
      <c r="E132" s="77"/>
      <c r="F132" s="77"/>
      <c r="G132" s="77"/>
      <c r="H132" s="77"/>
    </row>
    <row r="133" spans="1:8" x14ac:dyDescent="0.2">
      <c r="A133" s="69" t="s">
        <v>1508</v>
      </c>
      <c r="B133" s="1510"/>
      <c r="C133" s="71"/>
      <c r="D133" s="71"/>
      <c r="E133" s="71"/>
      <c r="F133" s="71"/>
      <c r="G133" s="71">
        <v>84853</v>
      </c>
      <c r="H133" s="71"/>
    </row>
    <row r="134" spans="1:8" x14ac:dyDescent="0.2">
      <c r="A134" s="69"/>
      <c r="B134" s="69"/>
      <c r="C134" s="72"/>
      <c r="D134" s="72"/>
      <c r="E134" s="72"/>
      <c r="F134" s="72"/>
      <c r="G134" s="72"/>
      <c r="H134" s="72"/>
    </row>
    <row r="135" spans="1:8" x14ac:dyDescent="0.2">
      <c r="A135" s="74" t="s">
        <v>204</v>
      </c>
      <c r="B135" s="75">
        <f t="shared" ref="B135" si="58">SUM(B133:B134)</f>
        <v>0</v>
      </c>
      <c r="C135" s="75">
        <f t="shared" ref="C135:H135" si="59">SUM(C133:C134)</f>
        <v>0</v>
      </c>
      <c r="D135" s="75">
        <f t="shared" si="59"/>
        <v>0</v>
      </c>
      <c r="E135" s="75">
        <f t="shared" si="59"/>
        <v>0</v>
      </c>
      <c r="F135" s="75">
        <f t="shared" si="59"/>
        <v>0</v>
      </c>
      <c r="G135" s="75">
        <f t="shared" si="59"/>
        <v>84853</v>
      </c>
      <c r="H135" s="75">
        <f t="shared" si="59"/>
        <v>0</v>
      </c>
    </row>
    <row r="136" spans="1:8" x14ac:dyDescent="0.2">
      <c r="A136" s="76" t="s">
        <v>1509</v>
      </c>
      <c r="B136" s="1512"/>
      <c r="C136" s="77"/>
      <c r="D136" s="77"/>
      <c r="E136" s="77"/>
      <c r="F136" s="77"/>
      <c r="G136" s="77"/>
      <c r="H136" s="77"/>
    </row>
    <row r="137" spans="1:8" x14ac:dyDescent="0.2">
      <c r="A137" s="69" t="s">
        <v>1510</v>
      </c>
      <c r="B137" s="1510"/>
      <c r="C137" s="71"/>
      <c r="D137" s="71"/>
      <c r="E137" s="71"/>
      <c r="F137" s="71"/>
      <c r="G137" s="71">
        <v>79796</v>
      </c>
      <c r="H137" s="71"/>
    </row>
    <row r="138" spans="1:8" x14ac:dyDescent="0.2">
      <c r="A138" s="69"/>
      <c r="B138" s="69"/>
      <c r="C138" s="72"/>
      <c r="D138" s="72"/>
      <c r="E138" s="72"/>
      <c r="F138" s="72"/>
      <c r="G138" s="72"/>
      <c r="H138" s="72"/>
    </row>
    <row r="139" spans="1:8" x14ac:dyDescent="0.2">
      <c r="A139" s="74" t="s">
        <v>204</v>
      </c>
      <c r="B139" s="74"/>
      <c r="C139" s="75">
        <f t="shared" ref="C139:H139" si="60">SUM(C137:C138)</f>
        <v>0</v>
      </c>
      <c r="D139" s="75">
        <f t="shared" si="60"/>
        <v>0</v>
      </c>
      <c r="E139" s="75">
        <f t="shared" si="60"/>
        <v>0</v>
      </c>
      <c r="F139" s="75">
        <f t="shared" si="60"/>
        <v>0</v>
      </c>
      <c r="G139" s="75">
        <f t="shared" si="60"/>
        <v>79796</v>
      </c>
      <c r="H139" s="75">
        <f t="shared" si="60"/>
        <v>0</v>
      </c>
    </row>
    <row r="140" spans="1:8" x14ac:dyDescent="0.2">
      <c r="A140" s="76" t="s">
        <v>1511</v>
      </c>
      <c r="B140" s="76"/>
      <c r="C140" s="70"/>
      <c r="D140" s="70"/>
      <c r="E140" s="70"/>
      <c r="F140" s="70"/>
      <c r="G140" s="70"/>
      <c r="H140" s="70"/>
    </row>
    <row r="141" spans="1:8" x14ac:dyDescent="0.2">
      <c r="A141" s="69" t="s">
        <v>1512</v>
      </c>
      <c r="B141" s="1510"/>
      <c r="C141" s="71"/>
      <c r="D141" s="71"/>
      <c r="E141" s="71"/>
      <c r="F141" s="71"/>
      <c r="G141" s="71">
        <v>111183</v>
      </c>
      <c r="H141" s="71"/>
    </row>
    <row r="142" spans="1:8" x14ac:dyDescent="0.2">
      <c r="A142" s="69"/>
      <c r="B142" s="69"/>
      <c r="C142" s="72"/>
      <c r="D142" s="72"/>
      <c r="E142" s="72"/>
      <c r="F142" s="72"/>
      <c r="G142" s="72"/>
      <c r="H142" s="72"/>
    </row>
    <row r="143" spans="1:8" x14ac:dyDescent="0.2">
      <c r="A143" s="74" t="s">
        <v>204</v>
      </c>
      <c r="B143" s="74"/>
      <c r="C143" s="75">
        <f t="shared" ref="C143:H143" si="61">SUM(C141:C142)</f>
        <v>0</v>
      </c>
      <c r="D143" s="75">
        <f t="shared" si="61"/>
        <v>0</v>
      </c>
      <c r="E143" s="75">
        <f t="shared" si="61"/>
        <v>0</v>
      </c>
      <c r="F143" s="75">
        <f t="shared" si="61"/>
        <v>0</v>
      </c>
      <c r="G143" s="75">
        <f t="shared" si="61"/>
        <v>111183</v>
      </c>
      <c r="H143" s="75">
        <f t="shared" si="61"/>
        <v>0</v>
      </c>
    </row>
    <row r="144" spans="1:8" x14ac:dyDescent="0.2">
      <c r="A144" s="76" t="s">
        <v>1513</v>
      </c>
      <c r="B144" s="76"/>
      <c r="C144" s="70"/>
      <c r="D144" s="70"/>
      <c r="E144" s="70"/>
      <c r="F144" s="70"/>
      <c r="G144" s="70"/>
      <c r="H144" s="70"/>
    </row>
    <row r="145" spans="1:8" x14ac:dyDescent="0.2">
      <c r="A145" s="69" t="s">
        <v>1514</v>
      </c>
      <c r="B145" s="1510"/>
      <c r="C145" s="71"/>
      <c r="D145" s="71"/>
      <c r="E145" s="71"/>
      <c r="F145" s="71"/>
      <c r="G145" s="71">
        <v>86309</v>
      </c>
      <c r="H145" s="71"/>
    </row>
    <row r="146" spans="1:8" x14ac:dyDescent="0.2">
      <c r="A146" s="69"/>
      <c r="B146" s="69"/>
      <c r="C146" s="72"/>
      <c r="D146" s="72"/>
      <c r="E146" s="72"/>
      <c r="F146" s="72"/>
      <c r="G146" s="72"/>
      <c r="H146" s="72"/>
    </row>
    <row r="147" spans="1:8" x14ac:dyDescent="0.2">
      <c r="A147" s="74" t="s">
        <v>204</v>
      </c>
      <c r="B147" s="74"/>
      <c r="C147" s="75">
        <f t="shared" ref="C147:H147" si="62">SUM(C145:C146)</f>
        <v>0</v>
      </c>
      <c r="D147" s="75">
        <f t="shared" si="62"/>
        <v>0</v>
      </c>
      <c r="E147" s="75">
        <f t="shared" si="62"/>
        <v>0</v>
      </c>
      <c r="F147" s="75">
        <f t="shared" si="62"/>
        <v>0</v>
      </c>
      <c r="G147" s="75">
        <f t="shared" si="62"/>
        <v>86309</v>
      </c>
      <c r="H147" s="75">
        <f t="shared" si="62"/>
        <v>0</v>
      </c>
    </row>
    <row r="148" spans="1:8" x14ac:dyDescent="0.2">
      <c r="A148" s="76" t="s">
        <v>1515</v>
      </c>
      <c r="B148" s="1512"/>
      <c r="C148" s="77"/>
      <c r="D148" s="77"/>
      <c r="E148" s="77"/>
      <c r="F148" s="77"/>
      <c r="G148" s="77"/>
      <c r="H148" s="77"/>
    </row>
    <row r="149" spans="1:8" x14ac:dyDescent="0.2">
      <c r="A149" s="69" t="s">
        <v>1516</v>
      </c>
      <c r="B149" s="1510"/>
      <c r="C149" s="71"/>
      <c r="D149" s="71"/>
      <c r="E149" s="71"/>
      <c r="F149" s="71">
        <v>366021</v>
      </c>
      <c r="G149" s="71"/>
      <c r="H149" s="71"/>
    </row>
    <row r="150" spans="1:8" x14ac:dyDescent="0.2">
      <c r="A150" s="69"/>
      <c r="B150" s="69"/>
      <c r="C150" s="72"/>
      <c r="D150" s="72"/>
      <c r="E150" s="72"/>
      <c r="F150" s="72"/>
      <c r="G150" s="72"/>
      <c r="H150" s="72"/>
    </row>
    <row r="151" spans="1:8" x14ac:dyDescent="0.2">
      <c r="A151" s="74" t="s">
        <v>204</v>
      </c>
      <c r="B151" s="74"/>
      <c r="C151" s="75">
        <f t="shared" ref="C151:H151" si="63">SUM(C149:C150)</f>
        <v>0</v>
      </c>
      <c r="D151" s="75">
        <f t="shared" si="63"/>
        <v>0</v>
      </c>
      <c r="E151" s="75">
        <f t="shared" si="63"/>
        <v>0</v>
      </c>
      <c r="F151" s="75">
        <f t="shared" si="63"/>
        <v>366021</v>
      </c>
      <c r="G151" s="75">
        <f t="shared" si="63"/>
        <v>0</v>
      </c>
      <c r="H151" s="75">
        <f t="shared" si="63"/>
        <v>0</v>
      </c>
    </row>
    <row r="152" spans="1:8" x14ac:dyDescent="0.2">
      <c r="A152" s="76" t="s">
        <v>1517</v>
      </c>
      <c r="B152" s="76"/>
      <c r="C152" s="70"/>
      <c r="D152" s="70"/>
      <c r="E152" s="70"/>
      <c r="F152" s="70"/>
      <c r="G152" s="70"/>
      <c r="H152" s="70"/>
    </row>
    <row r="153" spans="1:8" x14ac:dyDescent="0.2">
      <c r="A153" s="69" t="s">
        <v>1518</v>
      </c>
      <c r="B153" s="1510"/>
      <c r="C153" s="71">
        <v>72965</v>
      </c>
      <c r="D153" s="71">
        <v>91490</v>
      </c>
      <c r="E153" s="71">
        <v>96768</v>
      </c>
      <c r="F153" s="71">
        <v>98936</v>
      </c>
      <c r="G153" s="71">
        <v>128000</v>
      </c>
      <c r="H153" s="71">
        <v>59000</v>
      </c>
    </row>
    <row r="154" spans="1:8" x14ac:dyDescent="0.2">
      <c r="A154" s="69"/>
      <c r="B154" s="69"/>
      <c r="C154" s="72"/>
      <c r="D154" s="72"/>
      <c r="E154" s="72"/>
      <c r="F154" s="72"/>
      <c r="G154" s="72"/>
      <c r="H154" s="72"/>
    </row>
    <row r="155" spans="1:8" x14ac:dyDescent="0.2">
      <c r="A155" s="74" t="s">
        <v>204</v>
      </c>
      <c r="B155" s="74"/>
      <c r="C155" s="75">
        <f t="shared" ref="C155:H155" si="64">SUM(C153:C154)</f>
        <v>72965</v>
      </c>
      <c r="D155" s="75">
        <f t="shared" si="64"/>
        <v>91490</v>
      </c>
      <c r="E155" s="75">
        <f t="shared" si="64"/>
        <v>96768</v>
      </c>
      <c r="F155" s="75">
        <f t="shared" si="64"/>
        <v>98936</v>
      </c>
      <c r="G155" s="75">
        <f t="shared" si="64"/>
        <v>128000</v>
      </c>
      <c r="H155" s="75">
        <f t="shared" si="64"/>
        <v>59000</v>
      </c>
    </row>
    <row r="156" spans="1:8" x14ac:dyDescent="0.2">
      <c r="A156" s="76" t="s">
        <v>1519</v>
      </c>
      <c r="B156" s="76"/>
      <c r="C156" s="70"/>
      <c r="D156" s="70"/>
      <c r="E156" s="70"/>
      <c r="F156" s="70"/>
      <c r="G156" s="70"/>
      <c r="H156" s="70"/>
    </row>
    <row r="157" spans="1:8" x14ac:dyDescent="0.2">
      <c r="A157" s="69" t="s">
        <v>1520</v>
      </c>
      <c r="B157" s="1510"/>
      <c r="C157" s="71"/>
      <c r="D157" s="71"/>
      <c r="E157" s="71"/>
      <c r="F157" s="71"/>
      <c r="G157" s="71"/>
      <c r="H157" s="71">
        <v>445000</v>
      </c>
    </row>
    <row r="158" spans="1:8" x14ac:dyDescent="0.2">
      <c r="A158" s="69"/>
      <c r="B158" s="69"/>
      <c r="C158" s="72"/>
      <c r="D158" s="72"/>
      <c r="E158" s="72"/>
      <c r="F158" s="72"/>
      <c r="G158" s="72"/>
      <c r="H158" s="72"/>
    </row>
    <row r="159" spans="1:8" x14ac:dyDescent="0.2">
      <c r="A159" s="74" t="s">
        <v>204</v>
      </c>
      <c r="B159" s="74"/>
      <c r="C159" s="75">
        <f t="shared" ref="C159:H159" si="65">SUM(C157:C158)</f>
        <v>0</v>
      </c>
      <c r="D159" s="75">
        <f t="shared" si="65"/>
        <v>0</v>
      </c>
      <c r="E159" s="75">
        <f t="shared" si="65"/>
        <v>0</v>
      </c>
      <c r="F159" s="75">
        <f t="shared" si="65"/>
        <v>0</v>
      </c>
      <c r="G159" s="75">
        <f t="shared" si="65"/>
        <v>0</v>
      </c>
      <c r="H159" s="75">
        <f t="shared" si="65"/>
        <v>445000</v>
      </c>
    </row>
    <row r="160" spans="1:8" x14ac:dyDescent="0.2">
      <c r="A160" s="76" t="s">
        <v>1521</v>
      </c>
      <c r="B160" s="1512"/>
      <c r="C160" s="77"/>
      <c r="D160" s="77"/>
      <c r="E160" s="77"/>
      <c r="F160" s="77"/>
      <c r="G160" s="77"/>
      <c r="H160" s="77"/>
    </row>
    <row r="161" spans="1:10" x14ac:dyDescent="0.2">
      <c r="A161" s="69" t="s">
        <v>1522</v>
      </c>
      <c r="B161" s="1510"/>
      <c r="C161" s="71"/>
      <c r="D161" s="71"/>
      <c r="E161" s="71"/>
      <c r="F161" s="71"/>
      <c r="G161" s="71">
        <v>43375</v>
      </c>
      <c r="H161" s="71"/>
    </row>
    <row r="162" spans="1:10" x14ac:dyDescent="0.2">
      <c r="A162" s="69"/>
      <c r="B162" s="69"/>
      <c r="C162" s="72"/>
      <c r="D162" s="72"/>
      <c r="E162" s="72"/>
      <c r="F162" s="72"/>
      <c r="G162" s="72"/>
      <c r="H162" s="72"/>
    </row>
    <row r="163" spans="1:10" x14ac:dyDescent="0.2">
      <c r="A163" s="74" t="s">
        <v>204</v>
      </c>
      <c r="B163" s="74"/>
      <c r="C163" s="75">
        <f t="shared" ref="C163:H163" si="66">SUM(C161:C162)</f>
        <v>0</v>
      </c>
      <c r="D163" s="75">
        <f t="shared" si="66"/>
        <v>0</v>
      </c>
      <c r="E163" s="75">
        <f t="shared" si="66"/>
        <v>0</v>
      </c>
      <c r="F163" s="75">
        <f t="shared" si="66"/>
        <v>0</v>
      </c>
      <c r="G163" s="75">
        <f t="shared" si="66"/>
        <v>43375</v>
      </c>
      <c r="H163" s="75">
        <f t="shared" si="66"/>
        <v>0</v>
      </c>
    </row>
    <row r="164" spans="1:10" x14ac:dyDescent="0.2">
      <c r="A164" s="76" t="s">
        <v>1523</v>
      </c>
      <c r="B164" s="1512"/>
      <c r="C164" s="77"/>
      <c r="D164" s="77"/>
      <c r="E164" s="77"/>
      <c r="F164" s="77"/>
      <c r="G164" s="77"/>
      <c r="H164" s="77"/>
    </row>
    <row r="165" spans="1:10" x14ac:dyDescent="0.2">
      <c r="A165" s="69" t="s">
        <v>1524</v>
      </c>
      <c r="B165" s="1510"/>
      <c r="C165" s="71"/>
      <c r="D165" s="71"/>
      <c r="E165" s="71"/>
      <c r="F165" s="71"/>
      <c r="G165" s="71"/>
      <c r="H165" s="71">
        <v>501210</v>
      </c>
    </row>
    <row r="166" spans="1:10" x14ac:dyDescent="0.2">
      <c r="A166" s="69"/>
      <c r="B166" s="1515">
        <v>171620</v>
      </c>
      <c r="C166" s="72"/>
      <c r="D166" s="72"/>
      <c r="E166" s="72"/>
      <c r="F166" s="72"/>
      <c r="G166" s="72"/>
      <c r="H166" s="72"/>
    </row>
    <row r="167" spans="1:10" x14ac:dyDescent="0.2">
      <c r="A167" s="74" t="s">
        <v>204</v>
      </c>
      <c r="B167" s="74"/>
      <c r="C167" s="75">
        <f t="shared" ref="C167:H167" si="67">SUM(C165:C166)</f>
        <v>0</v>
      </c>
      <c r="D167" s="75">
        <f t="shared" si="67"/>
        <v>0</v>
      </c>
      <c r="E167" s="75">
        <f t="shared" si="67"/>
        <v>0</v>
      </c>
      <c r="F167" s="75">
        <f t="shared" si="67"/>
        <v>0</v>
      </c>
      <c r="G167" s="75">
        <f t="shared" si="67"/>
        <v>0</v>
      </c>
      <c r="H167" s="75">
        <f t="shared" si="67"/>
        <v>501210</v>
      </c>
    </row>
    <row r="168" spans="1:10" ht="13.5" thickBot="1" x14ac:dyDescent="0.25">
      <c r="A168" s="76" t="s">
        <v>199</v>
      </c>
      <c r="B168" s="1516">
        <v>165955</v>
      </c>
      <c r="C168" s="72">
        <v>11101</v>
      </c>
      <c r="D168" s="72">
        <v>52779</v>
      </c>
      <c r="E168" s="72">
        <v>64843</v>
      </c>
      <c r="F168" s="72">
        <v>39655</v>
      </c>
      <c r="G168" s="72">
        <v>281606</v>
      </c>
      <c r="H168" s="72">
        <v>46500</v>
      </c>
    </row>
    <row r="169" spans="1:10" ht="14.25" thickTop="1" thickBot="1" x14ac:dyDescent="0.25">
      <c r="A169" s="78" t="s">
        <v>295</v>
      </c>
      <c r="B169" s="79">
        <f>SUM(B19+B23+B27+B31+B35+B39+B43+B47+B51+B55+B59+B63+B67+B71+B75+B79+B83+B87+B91+B95+B99+B103+B107+B111+B115+B119+B123+B127+B131+B135+B139+B143+B147+B151+B155+B159+B163+B166+B167+B168)</f>
        <v>1187103</v>
      </c>
      <c r="C169" s="79">
        <f>SUM(C19+C23+C27+C31+C35+C39+C43+C47+C51+C55+C59+C63+C67+C71+C75+C79+C83+C87+C91+C95+C99+C103+C107+C111+C115+C119+C123+C127+C131+C135+C139+C143+C147+C151+C155+C159+C163+C167+C168)</f>
        <v>784614</v>
      </c>
      <c r="D169" s="79">
        <f t="shared" ref="D169:H169" si="68">SUM(D19+D23+D27+D31+D35+D39+D43+D47+D51+D55+D59+D63+D67+D71+D75+D79+D83+D87+D91+D95+D99+D103+D107+D111+D115+D119+D123+D127+D131+D135+D139+D143+D147+D151+D155+D159+D163+D167+D168)</f>
        <v>1478886</v>
      </c>
      <c r="E169" s="79">
        <f t="shared" si="68"/>
        <v>986178</v>
      </c>
      <c r="F169" s="79">
        <f t="shared" si="68"/>
        <v>1328020</v>
      </c>
      <c r="G169" s="79">
        <f t="shared" si="68"/>
        <v>1479500</v>
      </c>
      <c r="H169" s="79">
        <f t="shared" si="68"/>
        <v>1313503</v>
      </c>
    </row>
    <row r="170" spans="1:10" ht="51.75" thickBot="1" x14ac:dyDescent="0.25">
      <c r="A170" s="80" t="s">
        <v>998</v>
      </c>
      <c r="B170" s="80"/>
      <c r="C170" s="72"/>
      <c r="D170" s="72"/>
      <c r="E170" s="72"/>
      <c r="F170" s="72"/>
      <c r="G170" s="72"/>
      <c r="H170" s="72"/>
    </row>
    <row r="171" spans="1:10" ht="14.25" thickTop="1" thickBot="1" x14ac:dyDescent="0.25">
      <c r="A171" s="81" t="s">
        <v>295</v>
      </c>
      <c r="B171" s="79">
        <f t="shared" ref="B171" si="69">B169+B170</f>
        <v>1187103</v>
      </c>
      <c r="C171" s="79">
        <f t="shared" ref="C171:H171" si="70">C169+C170</f>
        <v>784614</v>
      </c>
      <c r="D171" s="79">
        <f t="shared" si="70"/>
        <v>1478886</v>
      </c>
      <c r="E171" s="79">
        <f t="shared" si="70"/>
        <v>986178</v>
      </c>
      <c r="F171" s="79">
        <f t="shared" si="70"/>
        <v>1328020</v>
      </c>
      <c r="G171" s="79">
        <f t="shared" si="70"/>
        <v>1479500</v>
      </c>
      <c r="H171" s="79">
        <f t="shared" si="70"/>
        <v>1313503</v>
      </c>
    </row>
    <row r="173" spans="1:10" x14ac:dyDescent="0.2">
      <c r="A173" s="82" t="s">
        <v>11</v>
      </c>
      <c r="B173" s="82"/>
      <c r="H173" s="83"/>
    </row>
    <row r="175" spans="1:10" ht="27.75" customHeight="1" x14ac:dyDescent="0.2">
      <c r="A175" s="1556" t="s">
        <v>482</v>
      </c>
      <c r="B175" s="1556"/>
      <c r="C175" s="1557"/>
      <c r="D175" s="1557"/>
      <c r="E175" s="1557"/>
      <c r="F175" s="1557"/>
      <c r="G175" s="1557"/>
      <c r="H175" s="1557"/>
      <c r="I175" s="1557"/>
    </row>
    <row r="176" spans="1:10" ht="28.5" customHeight="1" x14ac:dyDescent="0.2">
      <c r="A176" s="1556" t="s">
        <v>909</v>
      </c>
      <c r="B176" s="1556"/>
      <c r="C176" s="1557"/>
      <c r="D176" s="1557"/>
      <c r="E176" s="1557"/>
      <c r="F176" s="1557"/>
      <c r="G176" s="1557"/>
      <c r="H176" s="1557"/>
      <c r="I176" s="1557"/>
      <c r="J176" s="1043"/>
    </row>
    <row r="177" spans="1:10" ht="27" customHeight="1" x14ac:dyDescent="0.2">
      <c r="A177" s="1556"/>
      <c r="B177" s="1556"/>
      <c r="C177" s="1557"/>
      <c r="D177" s="1557"/>
      <c r="E177" s="1557"/>
      <c r="F177" s="1557"/>
      <c r="G177" s="1557"/>
      <c r="H177" s="1557"/>
      <c r="I177" s="1557"/>
    </row>
    <row r="179" spans="1:10" x14ac:dyDescent="0.2">
      <c r="A179" s="1554"/>
      <c r="B179" s="1554"/>
      <c r="C179" s="1554"/>
      <c r="D179" s="1554"/>
      <c r="E179" s="1554"/>
      <c r="F179" s="1554"/>
      <c r="G179" s="1554"/>
      <c r="H179" s="1554"/>
      <c r="I179" s="1554"/>
      <c r="J179" s="1554"/>
    </row>
    <row r="180" spans="1:10" x14ac:dyDescent="0.2">
      <c r="A180" s="1554"/>
      <c r="B180" s="1554"/>
      <c r="C180" s="1554"/>
      <c r="D180" s="1554"/>
      <c r="E180" s="1554"/>
      <c r="F180" s="1554"/>
      <c r="G180" s="1554"/>
      <c r="H180" s="1554"/>
      <c r="I180" s="1554"/>
      <c r="J180" s="1554"/>
    </row>
    <row r="182" spans="1:10" x14ac:dyDescent="0.2">
      <c r="A182" s="60"/>
      <c r="B182" s="60"/>
    </row>
  </sheetData>
  <mergeCells count="7">
    <mergeCell ref="A12:I12"/>
    <mergeCell ref="A179:J180"/>
    <mergeCell ref="A10:I10"/>
    <mergeCell ref="A9:I9"/>
    <mergeCell ref="A175:I175"/>
    <mergeCell ref="A177:I177"/>
    <mergeCell ref="A176:I176"/>
  </mergeCells>
  <phoneticPr fontId="16" type="noConversion"/>
  <dataValidations disablePrompts="1" count="1">
    <dataValidation type="list" allowBlank="1" showInputMessage="1" showErrorMessage="1" sqref="C14:H14">
      <formula1>"CGAAP, MIFRS, USGAAP, ASPE"</formula1>
    </dataValidation>
  </dataValidations>
  <pageMargins left="0.75" right="0.75" top="1" bottom="1" header="0.5" footer="0.5"/>
  <pageSetup scale="28" orientation="portrait"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9">
    <tabColor rgb="FF00B0F0"/>
  </sheetPr>
  <dimension ref="A1:U37"/>
  <sheetViews>
    <sheetView showGridLines="0" topLeftCell="D1" zoomScale="85" zoomScaleNormal="85" workbookViewId="0">
      <selection activeCell="K21" sqref="K21:U21"/>
    </sheetView>
  </sheetViews>
  <sheetFormatPr defaultRowHeight="12.75" x14ac:dyDescent="0.2"/>
  <cols>
    <col min="1" max="1" width="28.140625" style="43" customWidth="1"/>
    <col min="2" max="2" width="10.28515625" style="43" bestFit="1" customWidth="1"/>
    <col min="3" max="3" width="9.7109375" style="43" bestFit="1" customWidth="1"/>
    <col min="4" max="4" width="9.140625" style="43"/>
    <col min="5" max="6" width="10.28515625" style="43" bestFit="1" customWidth="1"/>
    <col min="7" max="7" width="12.7109375" style="43" bestFit="1" customWidth="1"/>
    <col min="8" max="8" width="13.140625" style="43" customWidth="1"/>
    <col min="9" max="9" width="9.7109375" style="43" bestFit="1" customWidth="1"/>
    <col min="10" max="10" width="9.140625" style="43"/>
    <col min="11" max="11" width="10.28515625" style="43" bestFit="1" customWidth="1"/>
    <col min="12" max="12" width="11.28515625" style="43" bestFit="1" customWidth="1"/>
    <col min="13" max="13" width="9.140625" style="43"/>
    <col min="14" max="14" width="10.28515625" style="43" bestFit="1" customWidth="1"/>
    <col min="15" max="15" width="11.28515625" style="43" bestFit="1" customWidth="1"/>
    <col min="16" max="16" width="9.140625" style="43"/>
    <col min="17" max="21" width="11.28515625" style="43" bestFit="1" customWidth="1"/>
    <col min="22" max="16384" width="9.140625" style="43"/>
  </cols>
  <sheetData>
    <row r="1" spans="1:21" x14ac:dyDescent="0.2">
      <c r="S1" s="60" t="s">
        <v>301</v>
      </c>
      <c r="U1" s="61" t="str">
        <f>EBNUMBER</f>
        <v>EB-2016-0066</v>
      </c>
    </row>
    <row r="2" spans="1:21" x14ac:dyDescent="0.2">
      <c r="S2" s="60" t="s">
        <v>302</v>
      </c>
      <c r="U2" s="62"/>
    </row>
    <row r="3" spans="1:21" x14ac:dyDescent="0.2">
      <c r="S3" s="60" t="s">
        <v>303</v>
      </c>
      <c r="U3" s="62"/>
    </row>
    <row r="4" spans="1:21" x14ac:dyDescent="0.2">
      <c r="S4" s="60" t="s">
        <v>304</v>
      </c>
      <c r="U4" s="62"/>
    </row>
    <row r="5" spans="1:21" x14ac:dyDescent="0.2">
      <c r="S5" s="60" t="s">
        <v>305</v>
      </c>
      <c r="U5" s="63"/>
    </row>
    <row r="6" spans="1:21" x14ac:dyDescent="0.2">
      <c r="S6" s="60"/>
      <c r="U6" s="61"/>
    </row>
    <row r="7" spans="1:21" x14ac:dyDescent="0.2">
      <c r="S7" s="60" t="s">
        <v>306</v>
      </c>
      <c r="U7" s="63"/>
    </row>
    <row r="9" spans="1:21" ht="18" x14ac:dyDescent="0.2">
      <c r="A9" s="1555" t="s">
        <v>722</v>
      </c>
      <c r="B9" s="1555"/>
      <c r="C9" s="1555"/>
      <c r="D9" s="1555"/>
      <c r="E9" s="1555"/>
      <c r="F9" s="1555"/>
      <c r="G9" s="1555"/>
      <c r="H9" s="1555"/>
      <c r="I9" s="1555"/>
      <c r="J9" s="1555"/>
      <c r="K9" s="1555"/>
      <c r="L9" s="1555"/>
      <c r="M9" s="1555"/>
      <c r="N9" s="1555"/>
      <c r="O9" s="1555"/>
      <c r="P9" s="1555"/>
      <c r="Q9" s="1555"/>
      <c r="R9" s="1555"/>
      <c r="S9" s="1555"/>
      <c r="T9" s="1555"/>
      <c r="U9" s="1555"/>
    </row>
    <row r="10" spans="1:21" ht="36.75" customHeight="1" x14ac:dyDescent="0.2">
      <c r="A10" s="1588" t="s">
        <v>723</v>
      </c>
      <c r="B10" s="1588"/>
      <c r="C10" s="1588"/>
      <c r="D10" s="1588"/>
      <c r="E10" s="1588"/>
      <c r="F10" s="1588"/>
      <c r="G10" s="1588"/>
      <c r="H10" s="1588"/>
      <c r="I10" s="1588"/>
      <c r="J10" s="1588"/>
      <c r="K10" s="1588"/>
      <c r="L10" s="1588"/>
      <c r="M10" s="1588"/>
      <c r="N10" s="1588"/>
      <c r="O10" s="1588"/>
      <c r="P10" s="1588"/>
      <c r="Q10" s="1588"/>
      <c r="R10" s="1588"/>
      <c r="S10" s="1588"/>
      <c r="T10" s="1588"/>
      <c r="U10" s="1588"/>
    </row>
    <row r="12" spans="1:21" ht="23.25" customHeight="1" thickBot="1" x14ac:dyDescent="0.25">
      <c r="A12" s="100" t="s">
        <v>707</v>
      </c>
      <c r="B12" s="101">
        <f>TestYear</f>
        <v>2017</v>
      </c>
    </row>
    <row r="13" spans="1:21" s="102" customFormat="1" ht="14.25" thickTop="1" thickBot="1" x14ac:dyDescent="0.25">
      <c r="A13" s="1574" t="s">
        <v>708</v>
      </c>
      <c r="B13" s="1577" t="s">
        <v>724</v>
      </c>
      <c r="C13" s="1578"/>
      <c r="D13" s="1578"/>
      <c r="E13" s="1578"/>
      <c r="F13" s="1578"/>
      <c r="G13" s="1578"/>
      <c r="H13" s="1578"/>
      <c r="I13" s="1578"/>
      <c r="J13" s="1578"/>
      <c r="K13" s="1578"/>
      <c r="L13" s="1578"/>
      <c r="M13" s="1578"/>
      <c r="N13" s="1578"/>
      <c r="O13" s="1578"/>
      <c r="P13" s="1579"/>
      <c r="Q13" s="1577" t="s">
        <v>725</v>
      </c>
      <c r="R13" s="1578"/>
      <c r="S13" s="1578"/>
      <c r="T13" s="1578"/>
      <c r="U13" s="1582"/>
    </row>
    <row r="14" spans="1:21" s="102" customFormat="1" ht="13.5" thickBot="1" x14ac:dyDescent="0.25">
      <c r="A14" s="1575"/>
      <c r="B14" s="1583">
        <f>E14-1</f>
        <v>2012</v>
      </c>
      <c r="C14" s="1584"/>
      <c r="D14" s="1585"/>
      <c r="E14" s="1583">
        <f>H14-1</f>
        <v>2013</v>
      </c>
      <c r="F14" s="1584"/>
      <c r="G14" s="1585"/>
      <c r="H14" s="1583">
        <f>K14-1</f>
        <v>2014</v>
      </c>
      <c r="I14" s="1584"/>
      <c r="J14" s="1585"/>
      <c r="K14" s="1583">
        <f>N14-1</f>
        <v>2015</v>
      </c>
      <c r="L14" s="1584"/>
      <c r="M14" s="1585"/>
      <c r="N14" s="1583">
        <f>Q14-1</f>
        <v>2016</v>
      </c>
      <c r="O14" s="1584"/>
      <c r="P14" s="1585"/>
      <c r="Q14" s="1586">
        <f>B12</f>
        <v>2017</v>
      </c>
      <c r="R14" s="1586">
        <f>Q14+1</f>
        <v>2018</v>
      </c>
      <c r="S14" s="1586">
        <f>R14+1</f>
        <v>2019</v>
      </c>
      <c r="T14" s="1586">
        <f>S14+1</f>
        <v>2020</v>
      </c>
      <c r="U14" s="1586">
        <f>T14+1</f>
        <v>2021</v>
      </c>
    </row>
    <row r="15" spans="1:21" s="102" customFormat="1" ht="15" thickBot="1" x14ac:dyDescent="0.25">
      <c r="A15" s="1575"/>
      <c r="B15" s="103" t="s">
        <v>709</v>
      </c>
      <c r="C15" s="103" t="s">
        <v>413</v>
      </c>
      <c r="D15" s="103" t="s">
        <v>710</v>
      </c>
      <c r="E15" s="103" t="s">
        <v>709</v>
      </c>
      <c r="F15" s="104" t="s">
        <v>413</v>
      </c>
      <c r="G15" s="103" t="s">
        <v>710</v>
      </c>
      <c r="H15" s="104" t="s">
        <v>709</v>
      </c>
      <c r="I15" s="104" t="s">
        <v>413</v>
      </c>
      <c r="J15" s="103" t="s">
        <v>710</v>
      </c>
      <c r="K15" s="103" t="s">
        <v>709</v>
      </c>
      <c r="L15" s="103" t="s">
        <v>413</v>
      </c>
      <c r="M15" s="103" t="s">
        <v>710</v>
      </c>
      <c r="N15" s="104" t="s">
        <v>709</v>
      </c>
      <c r="O15" s="104" t="s">
        <v>726</v>
      </c>
      <c r="P15" s="103" t="s">
        <v>710</v>
      </c>
      <c r="Q15" s="1587"/>
      <c r="R15" s="1587"/>
      <c r="S15" s="1587"/>
      <c r="T15" s="1587"/>
      <c r="U15" s="1587"/>
    </row>
    <row r="16" spans="1:21" s="102" customFormat="1" ht="13.5" thickBot="1" x14ac:dyDescent="0.25">
      <c r="A16" s="1576"/>
      <c r="B16" s="1580" t="s">
        <v>711</v>
      </c>
      <c r="C16" s="1581"/>
      <c r="D16" s="1044" t="s">
        <v>171</v>
      </c>
      <c r="E16" s="1580" t="s">
        <v>711</v>
      </c>
      <c r="F16" s="1581"/>
      <c r="G16" s="1044" t="s">
        <v>171</v>
      </c>
      <c r="H16" s="1580" t="s">
        <v>711</v>
      </c>
      <c r="I16" s="1581"/>
      <c r="J16" s="1044" t="s">
        <v>171</v>
      </c>
      <c r="K16" s="1580" t="s">
        <v>711</v>
      </c>
      <c r="L16" s="1581"/>
      <c r="M16" s="1044" t="s">
        <v>171</v>
      </c>
      <c r="N16" s="1580" t="s">
        <v>711</v>
      </c>
      <c r="O16" s="1581"/>
      <c r="P16" s="1044" t="s">
        <v>171</v>
      </c>
      <c r="Q16" s="1571" t="s">
        <v>711</v>
      </c>
      <c r="R16" s="1572"/>
      <c r="S16" s="1572"/>
      <c r="T16" s="1572"/>
      <c r="U16" s="1573"/>
    </row>
    <row r="17" spans="1:21" s="102" customFormat="1" ht="16.5" thickBot="1" x14ac:dyDescent="0.25">
      <c r="A17" s="105" t="s">
        <v>712</v>
      </c>
      <c r="B17" s="106"/>
      <c r="C17" s="106">
        <v>566654</v>
      </c>
      <c r="D17" s="107" t="str">
        <f t="shared" ref="D17:D22" si="0">IF(ISERROR((C17-B17)/B17),"--",(C17-B17)/B17)</f>
        <v>--</v>
      </c>
      <c r="E17" s="106"/>
      <c r="F17" s="108">
        <v>1316405</v>
      </c>
      <c r="G17" s="107" t="str">
        <f t="shared" ref="G17:G22" si="1">IF(ISERROR((F17-E17)/E17),"--",(F17-E17)/E17)</f>
        <v>--</v>
      </c>
      <c r="H17" s="108"/>
      <c r="I17" s="108">
        <v>734364</v>
      </c>
      <c r="J17" s="107" t="str">
        <f t="shared" ref="J17:J22" si="2">IF(ISERROR((I17-H17)/H17),"--",(I17-H17)/H17)</f>
        <v>--</v>
      </c>
      <c r="K17" s="106"/>
      <c r="L17" s="106">
        <v>793896</v>
      </c>
      <c r="M17" s="107" t="str">
        <f t="shared" ref="M17:M22" si="3">IF(ISERROR((L17-K17)/K17),"--",(L17-K17)/K17)</f>
        <v>--</v>
      </c>
      <c r="N17" s="108"/>
      <c r="O17" s="108">
        <v>1068807</v>
      </c>
      <c r="P17" s="107" t="str">
        <f t="shared" ref="P17:P22" si="4">IF(ISERROR((O17-N17)/N17),"--",(O17-N17)/N17)</f>
        <v>--</v>
      </c>
      <c r="Q17" s="106">
        <v>560210</v>
      </c>
      <c r="R17" s="106">
        <v>677053</v>
      </c>
      <c r="S17" s="106">
        <v>693979</v>
      </c>
      <c r="T17" s="106">
        <v>711329</v>
      </c>
      <c r="U17" s="109">
        <v>729112</v>
      </c>
    </row>
    <row r="18" spans="1:21" s="102" customFormat="1" ht="16.5" thickBot="1" x14ac:dyDescent="0.25">
      <c r="A18" s="105" t="s">
        <v>713</v>
      </c>
      <c r="B18" s="106"/>
      <c r="C18" s="106">
        <v>206859</v>
      </c>
      <c r="D18" s="107" t="str">
        <f t="shared" si="0"/>
        <v>--</v>
      </c>
      <c r="E18" s="106"/>
      <c r="F18" s="108">
        <v>109702</v>
      </c>
      <c r="G18" s="107" t="str">
        <f t="shared" si="1"/>
        <v>--</v>
      </c>
      <c r="H18" s="108"/>
      <c r="I18" s="110">
        <v>133322</v>
      </c>
      <c r="J18" s="107" t="str">
        <f t="shared" si="2"/>
        <v>--</v>
      </c>
      <c r="K18" s="106"/>
      <c r="L18" s="106">
        <v>494469</v>
      </c>
      <c r="M18" s="107" t="str">
        <f t="shared" si="3"/>
        <v>--</v>
      </c>
      <c r="N18" s="108"/>
      <c r="O18" s="110">
        <v>262193</v>
      </c>
      <c r="P18" s="107" t="str">
        <f t="shared" si="4"/>
        <v>--</v>
      </c>
      <c r="Q18" s="106">
        <v>261793</v>
      </c>
      <c r="R18" s="106">
        <v>295149</v>
      </c>
      <c r="S18" s="106">
        <v>459279</v>
      </c>
      <c r="T18" s="106">
        <v>476214</v>
      </c>
      <c r="U18" s="109">
        <v>301272</v>
      </c>
    </row>
    <row r="19" spans="1:21" s="102" customFormat="1" ht="16.5" thickBot="1" x14ac:dyDescent="0.25">
      <c r="A19" s="105" t="s">
        <v>714</v>
      </c>
      <c r="B19" s="106"/>
      <c r="C19" s="106"/>
      <c r="D19" s="107" t="str">
        <f t="shared" si="0"/>
        <v>--</v>
      </c>
      <c r="E19" s="106"/>
      <c r="F19" s="108"/>
      <c r="G19" s="107" t="str">
        <f t="shared" si="1"/>
        <v>--</v>
      </c>
      <c r="H19" s="108"/>
      <c r="I19" s="110"/>
      <c r="J19" s="107" t="str">
        <f t="shared" si="2"/>
        <v>--</v>
      </c>
      <c r="K19" s="106"/>
      <c r="L19" s="106"/>
      <c r="M19" s="107" t="str">
        <f t="shared" si="3"/>
        <v>--</v>
      </c>
      <c r="N19" s="108"/>
      <c r="O19" s="110"/>
      <c r="P19" s="107" t="str">
        <f t="shared" si="4"/>
        <v>--</v>
      </c>
      <c r="Q19" s="106"/>
      <c r="R19" s="106"/>
      <c r="S19" s="106"/>
      <c r="T19" s="106"/>
      <c r="U19" s="109"/>
    </row>
    <row r="20" spans="1:21" s="102" customFormat="1" ht="16.5" thickBot="1" x14ac:dyDescent="0.25">
      <c r="A20" s="105" t="s">
        <v>715</v>
      </c>
      <c r="B20" s="106"/>
      <c r="C20" s="106">
        <v>11101</v>
      </c>
      <c r="D20" s="107" t="str">
        <f t="shared" si="0"/>
        <v>--</v>
      </c>
      <c r="E20" s="106"/>
      <c r="F20" s="108">
        <v>52779</v>
      </c>
      <c r="G20" s="107" t="str">
        <f t="shared" si="1"/>
        <v>--</v>
      </c>
      <c r="H20" s="108"/>
      <c r="I20" s="110">
        <v>118492</v>
      </c>
      <c r="J20" s="107" t="str">
        <f t="shared" si="2"/>
        <v>--</v>
      </c>
      <c r="K20" s="106"/>
      <c r="L20" s="106">
        <v>39655</v>
      </c>
      <c r="M20" s="107" t="str">
        <f t="shared" si="3"/>
        <v>--</v>
      </c>
      <c r="N20" s="108"/>
      <c r="O20" s="110">
        <v>148500</v>
      </c>
      <c r="P20" s="107" t="str">
        <f t="shared" si="4"/>
        <v>--</v>
      </c>
      <c r="Q20" s="106">
        <v>491500</v>
      </c>
      <c r="R20" s="106">
        <v>457000</v>
      </c>
      <c r="S20" s="106">
        <v>202000</v>
      </c>
      <c r="T20" s="106">
        <v>177000</v>
      </c>
      <c r="U20" s="109">
        <v>337000</v>
      </c>
    </row>
    <row r="21" spans="1:21" s="102" customFormat="1" ht="32.25" thickBot="1" x14ac:dyDescent="0.25">
      <c r="A21" s="111" t="s">
        <v>716</v>
      </c>
      <c r="B21" s="112">
        <v>1187103</v>
      </c>
      <c r="C21" s="112">
        <f t="shared" ref="C21:T21" si="5">SUM(C17:C20)</f>
        <v>784614</v>
      </c>
      <c r="D21" s="113">
        <f t="shared" si="0"/>
        <v>-0.33905145551818167</v>
      </c>
      <c r="E21" s="114">
        <v>1197250</v>
      </c>
      <c r="F21" s="114">
        <f t="shared" si="5"/>
        <v>1478886</v>
      </c>
      <c r="G21" s="113">
        <f t="shared" si="1"/>
        <v>0.23523574859051993</v>
      </c>
      <c r="H21" s="114">
        <v>1650000</v>
      </c>
      <c r="I21" s="114">
        <f t="shared" si="5"/>
        <v>986178</v>
      </c>
      <c r="J21" s="113">
        <f t="shared" si="2"/>
        <v>-0.40231636363636364</v>
      </c>
      <c r="K21" s="114">
        <v>1412500</v>
      </c>
      <c r="L21" s="114">
        <f t="shared" si="5"/>
        <v>1328020</v>
      </c>
      <c r="M21" s="113">
        <f t="shared" si="3"/>
        <v>-5.9808849557522123E-2</v>
      </c>
      <c r="N21" s="114">
        <v>1479500</v>
      </c>
      <c r="O21" s="114">
        <f t="shared" si="5"/>
        <v>1479500</v>
      </c>
      <c r="P21" s="113">
        <f t="shared" si="4"/>
        <v>0</v>
      </c>
      <c r="Q21" s="112">
        <f t="shared" si="5"/>
        <v>1313503</v>
      </c>
      <c r="R21" s="112">
        <f t="shared" si="5"/>
        <v>1429202</v>
      </c>
      <c r="S21" s="112">
        <f t="shared" si="5"/>
        <v>1355258</v>
      </c>
      <c r="T21" s="112">
        <f t="shared" si="5"/>
        <v>1364543</v>
      </c>
      <c r="U21" s="115">
        <f>SUM(U17:U20)</f>
        <v>1367384</v>
      </c>
    </row>
    <row r="22" spans="1:21" s="102" customFormat="1" ht="17.25" thickTop="1" thickBot="1" x14ac:dyDescent="0.25">
      <c r="A22" s="116" t="s">
        <v>717</v>
      </c>
      <c r="B22" s="1038"/>
      <c r="C22" s="1038">
        <f>272543+604288</f>
        <v>876831</v>
      </c>
      <c r="D22" s="117" t="str">
        <f t="shared" si="0"/>
        <v>--</v>
      </c>
      <c r="E22" s="1038"/>
      <c r="F22" s="1039">
        <f>233391+491922</f>
        <v>725313</v>
      </c>
      <c r="G22" s="117" t="str">
        <f t="shared" si="1"/>
        <v>--</v>
      </c>
      <c r="H22" s="1039"/>
      <c r="I22" s="1039">
        <f>260055+546411</f>
        <v>806466</v>
      </c>
      <c r="J22" s="117" t="str">
        <f t="shared" si="2"/>
        <v>--</v>
      </c>
      <c r="K22" s="1038"/>
      <c r="L22" s="1038">
        <f>263090+939207</f>
        <v>1202297</v>
      </c>
      <c r="M22" s="117" t="str">
        <f t="shared" si="3"/>
        <v>--</v>
      </c>
      <c r="N22" s="1039"/>
      <c r="O22" s="1039">
        <f>365280+918809</f>
        <v>1284089</v>
      </c>
      <c r="P22" s="117" t="str">
        <f t="shared" si="4"/>
        <v>--</v>
      </c>
      <c r="Q22" s="1038">
        <f>642274+900026</f>
        <v>1542300</v>
      </c>
      <c r="R22" s="1038">
        <v>1413195</v>
      </c>
      <c r="S22" s="1038">
        <v>1477747</v>
      </c>
      <c r="T22" s="1038">
        <v>1445471</v>
      </c>
      <c r="U22" s="1040">
        <v>1461609</v>
      </c>
    </row>
    <row r="23" spans="1:21" s="83" customFormat="1" ht="13.5" thickTop="1" x14ac:dyDescent="0.2"/>
    <row r="24" spans="1:21" ht="15" x14ac:dyDescent="0.25">
      <c r="A24" s="118" t="s">
        <v>718</v>
      </c>
    </row>
    <row r="25" spans="1:21" ht="27.75" customHeight="1" thickBot="1" x14ac:dyDescent="0.25">
      <c r="A25" s="1556" t="s">
        <v>1269</v>
      </c>
      <c r="B25" s="1556"/>
      <c r="C25" s="1556"/>
      <c r="D25" s="1556"/>
      <c r="E25" s="1556"/>
      <c r="F25" s="1556"/>
      <c r="G25" s="1556"/>
      <c r="H25" s="1556"/>
      <c r="I25" s="1556"/>
      <c r="J25" s="1556"/>
      <c r="K25" s="1556"/>
      <c r="L25" s="1556"/>
      <c r="M25" s="1556"/>
      <c r="N25" s="1556"/>
      <c r="O25" s="1556"/>
      <c r="P25" s="1556"/>
      <c r="Q25" s="1556"/>
      <c r="R25" s="1556"/>
      <c r="S25" s="1556"/>
      <c r="T25" s="1556"/>
      <c r="U25" s="1556"/>
    </row>
    <row r="26" spans="1:21" ht="13.5" thickBot="1" x14ac:dyDescent="0.25">
      <c r="A26" s="1570" t="s">
        <v>1270</v>
      </c>
      <c r="B26" s="1570"/>
      <c r="C26" s="1570"/>
      <c r="D26" s="1570"/>
      <c r="E26" s="1570"/>
      <c r="F26" s="1570"/>
      <c r="G26" s="1570"/>
      <c r="H26" s="1570"/>
      <c r="J26" s="120"/>
      <c r="N26" s="121"/>
    </row>
    <row r="28" spans="1:21" ht="18.75" x14ac:dyDescent="0.3">
      <c r="A28" s="1567" t="s">
        <v>719</v>
      </c>
      <c r="B28" s="1568"/>
      <c r="C28" s="1568"/>
      <c r="D28" s="1568"/>
      <c r="E28" s="1568"/>
      <c r="F28" s="1568"/>
      <c r="G28" s="1568"/>
      <c r="H28" s="1568"/>
      <c r="I28" s="1568"/>
      <c r="J28" s="1568"/>
      <c r="K28" s="1568"/>
      <c r="L28" s="1568"/>
      <c r="M28" s="1568"/>
      <c r="N28" s="1568"/>
      <c r="O28" s="1568"/>
      <c r="P28" s="1568"/>
      <c r="Q28" s="1568"/>
      <c r="R28" s="1568"/>
      <c r="S28" s="1568"/>
      <c r="T28" s="1568"/>
      <c r="U28" s="1569"/>
    </row>
    <row r="29" spans="1:21" ht="15" x14ac:dyDescent="0.25">
      <c r="A29" s="1564" t="s">
        <v>910</v>
      </c>
      <c r="B29" s="1565"/>
      <c r="C29" s="1565"/>
      <c r="D29" s="1565"/>
      <c r="E29" s="1565"/>
      <c r="F29" s="1565"/>
      <c r="G29" s="1565"/>
      <c r="H29" s="1565"/>
      <c r="I29" s="1565"/>
      <c r="J29" s="1565"/>
      <c r="K29" s="1565"/>
      <c r="L29" s="1565"/>
      <c r="M29" s="1565"/>
      <c r="N29" s="1565"/>
      <c r="O29" s="1565"/>
      <c r="P29" s="1565"/>
      <c r="Q29" s="1565"/>
      <c r="R29" s="1565"/>
      <c r="S29" s="1565"/>
      <c r="T29" s="1565"/>
      <c r="U29" s="1566"/>
    </row>
    <row r="30" spans="1:21" ht="30" customHeight="1" x14ac:dyDescent="0.2">
      <c r="A30" s="1558"/>
      <c r="B30" s="1559"/>
      <c r="C30" s="1559"/>
      <c r="D30" s="1559"/>
      <c r="E30" s="1559"/>
      <c r="F30" s="1559"/>
      <c r="G30" s="1559"/>
      <c r="H30" s="1559"/>
      <c r="I30" s="1559"/>
      <c r="J30" s="1559"/>
      <c r="K30" s="1559"/>
      <c r="L30" s="1559"/>
      <c r="M30" s="1559"/>
      <c r="N30" s="1559"/>
      <c r="O30" s="1559"/>
      <c r="P30" s="1559"/>
      <c r="Q30" s="1559"/>
      <c r="R30" s="1559"/>
      <c r="S30" s="1559"/>
      <c r="T30" s="1559"/>
      <c r="U30" s="1560"/>
    </row>
    <row r="31" spans="1:21" ht="30" customHeight="1" x14ac:dyDescent="0.2">
      <c r="A31" s="1561"/>
      <c r="B31" s="1562"/>
      <c r="C31" s="1562"/>
      <c r="D31" s="1562"/>
      <c r="E31" s="1562"/>
      <c r="F31" s="1562"/>
      <c r="G31" s="1562"/>
      <c r="H31" s="1562"/>
      <c r="I31" s="1562"/>
      <c r="J31" s="1562"/>
      <c r="K31" s="1562"/>
      <c r="L31" s="1562"/>
      <c r="M31" s="1562"/>
      <c r="N31" s="1562"/>
      <c r="O31" s="1562"/>
      <c r="P31" s="1562"/>
      <c r="Q31" s="1562"/>
      <c r="R31" s="1562"/>
      <c r="S31" s="1562"/>
      <c r="T31" s="1562"/>
      <c r="U31" s="1563"/>
    </row>
    <row r="32" spans="1:21" ht="15" x14ac:dyDescent="0.25">
      <c r="A32" s="1564" t="s">
        <v>720</v>
      </c>
      <c r="B32" s="1565"/>
      <c r="C32" s="1565"/>
      <c r="D32" s="1565"/>
      <c r="E32" s="1565"/>
      <c r="F32" s="1565"/>
      <c r="G32" s="1565"/>
      <c r="H32" s="1565"/>
      <c r="I32" s="1565"/>
      <c r="J32" s="1565"/>
      <c r="K32" s="1565"/>
      <c r="L32" s="1565"/>
      <c r="M32" s="1565"/>
      <c r="N32" s="1565"/>
      <c r="O32" s="1565"/>
      <c r="P32" s="1565"/>
      <c r="Q32" s="1565"/>
      <c r="R32" s="1565"/>
      <c r="S32" s="1565"/>
      <c r="T32" s="1565"/>
      <c r="U32" s="1566"/>
    </row>
    <row r="33" spans="1:21" ht="30" customHeight="1" x14ac:dyDescent="0.2">
      <c r="A33" s="1558"/>
      <c r="B33" s="1559"/>
      <c r="C33" s="1559"/>
      <c r="D33" s="1559"/>
      <c r="E33" s="1559"/>
      <c r="F33" s="1559"/>
      <c r="G33" s="1559"/>
      <c r="H33" s="1559"/>
      <c r="I33" s="1559"/>
      <c r="J33" s="1559"/>
      <c r="K33" s="1559"/>
      <c r="L33" s="1559"/>
      <c r="M33" s="1559"/>
      <c r="N33" s="1559"/>
      <c r="O33" s="1559"/>
      <c r="P33" s="1559"/>
      <c r="Q33" s="1559"/>
      <c r="R33" s="1559"/>
      <c r="S33" s="1559"/>
      <c r="T33" s="1559"/>
      <c r="U33" s="1560"/>
    </row>
    <row r="34" spans="1:21" ht="30" customHeight="1" x14ac:dyDescent="0.2">
      <c r="A34" s="1561"/>
      <c r="B34" s="1562"/>
      <c r="C34" s="1562"/>
      <c r="D34" s="1562"/>
      <c r="E34" s="1562"/>
      <c r="F34" s="1562"/>
      <c r="G34" s="1562"/>
      <c r="H34" s="1562"/>
      <c r="I34" s="1562"/>
      <c r="J34" s="1562"/>
      <c r="K34" s="1562"/>
      <c r="L34" s="1562"/>
      <c r="M34" s="1562"/>
      <c r="N34" s="1562"/>
      <c r="O34" s="1562"/>
      <c r="P34" s="1562"/>
      <c r="Q34" s="1562"/>
      <c r="R34" s="1562"/>
      <c r="S34" s="1562"/>
      <c r="T34" s="1562"/>
      <c r="U34" s="1563"/>
    </row>
    <row r="35" spans="1:21" ht="15" x14ac:dyDescent="0.25">
      <c r="A35" s="1564" t="s">
        <v>721</v>
      </c>
      <c r="B35" s="1565"/>
      <c r="C35" s="1565"/>
      <c r="D35" s="1565"/>
      <c r="E35" s="1565"/>
      <c r="F35" s="1565"/>
      <c r="G35" s="1565"/>
      <c r="H35" s="1565"/>
      <c r="I35" s="1565"/>
      <c r="J35" s="1565"/>
      <c r="K35" s="1565"/>
      <c r="L35" s="1565"/>
      <c r="M35" s="1565"/>
      <c r="N35" s="1565"/>
      <c r="O35" s="1565"/>
      <c r="P35" s="1565"/>
      <c r="Q35" s="1565"/>
      <c r="R35" s="1565"/>
      <c r="S35" s="1565"/>
      <c r="T35" s="1565"/>
      <c r="U35" s="1566"/>
    </row>
    <row r="36" spans="1:21" ht="30" customHeight="1" x14ac:dyDescent="0.2">
      <c r="A36" s="1558"/>
      <c r="B36" s="1559"/>
      <c r="C36" s="1559"/>
      <c r="D36" s="1559"/>
      <c r="E36" s="1559"/>
      <c r="F36" s="1559"/>
      <c r="G36" s="1559"/>
      <c r="H36" s="1559"/>
      <c r="I36" s="1559"/>
      <c r="J36" s="1559"/>
      <c r="K36" s="1559"/>
      <c r="L36" s="1559"/>
      <c r="M36" s="1559"/>
      <c r="N36" s="1559"/>
      <c r="O36" s="1559"/>
      <c r="P36" s="1559"/>
      <c r="Q36" s="1559"/>
      <c r="R36" s="1559"/>
      <c r="S36" s="1559"/>
      <c r="T36" s="1559"/>
      <c r="U36" s="1560"/>
    </row>
    <row r="37" spans="1:21" ht="30" customHeight="1" x14ac:dyDescent="0.2">
      <c r="A37" s="1561"/>
      <c r="B37" s="1562"/>
      <c r="C37" s="1562"/>
      <c r="D37" s="1562"/>
      <c r="E37" s="1562"/>
      <c r="F37" s="1562"/>
      <c r="G37" s="1562"/>
      <c r="H37" s="1562"/>
      <c r="I37" s="1562"/>
      <c r="J37" s="1562"/>
      <c r="K37" s="1562"/>
      <c r="L37" s="1562"/>
      <c r="M37" s="1562"/>
      <c r="N37" s="1562"/>
      <c r="O37" s="1562"/>
      <c r="P37" s="1562"/>
      <c r="Q37" s="1562"/>
      <c r="R37" s="1562"/>
      <c r="S37" s="1562"/>
      <c r="T37" s="1562"/>
      <c r="U37" s="1563"/>
    </row>
  </sheetData>
  <mergeCells count="30">
    <mergeCell ref="A9:U9"/>
    <mergeCell ref="A10:U10"/>
    <mergeCell ref="H14:J14"/>
    <mergeCell ref="K14:M14"/>
    <mergeCell ref="N14:P14"/>
    <mergeCell ref="Q14:Q15"/>
    <mergeCell ref="R14:R15"/>
    <mergeCell ref="Q16:U16"/>
    <mergeCell ref="A13:A16"/>
    <mergeCell ref="B13:P13"/>
    <mergeCell ref="B16:C16"/>
    <mergeCell ref="E16:F16"/>
    <mergeCell ref="H16:I16"/>
    <mergeCell ref="K16:L16"/>
    <mergeCell ref="N16:O16"/>
    <mergeCell ref="Q13:U13"/>
    <mergeCell ref="B14:D14"/>
    <mergeCell ref="E14:G14"/>
    <mergeCell ref="S14:S15"/>
    <mergeCell ref="T14:T15"/>
    <mergeCell ref="U14:U15"/>
    <mergeCell ref="A25:U25"/>
    <mergeCell ref="A33:U34"/>
    <mergeCell ref="A36:U37"/>
    <mergeCell ref="A35:U35"/>
    <mergeCell ref="A28:U28"/>
    <mergeCell ref="A29:U29"/>
    <mergeCell ref="A30:U31"/>
    <mergeCell ref="A32:U32"/>
    <mergeCell ref="A26:H26"/>
  </mergeCells>
  <pageMargins left="0.7" right="0.7" top="0.75" bottom="0.75" header="0.3" footer="0.3"/>
  <pageSetup scale="42"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tabColor theme="6"/>
  </sheetPr>
  <dimension ref="A1:D38"/>
  <sheetViews>
    <sheetView showGridLines="0" zoomScaleNormal="100" workbookViewId="0">
      <selection activeCell="B6" sqref="B6"/>
    </sheetView>
  </sheetViews>
  <sheetFormatPr defaultRowHeight="12.75" x14ac:dyDescent="0.2"/>
  <cols>
    <col min="1" max="2" width="53.28515625" style="43" customWidth="1"/>
    <col min="3" max="3" width="54.28515625" style="43" customWidth="1"/>
    <col min="4" max="16384" width="9.140625" style="43"/>
  </cols>
  <sheetData>
    <row r="1" spans="1:4" x14ac:dyDescent="0.2">
      <c r="B1" s="122" t="s">
        <v>301</v>
      </c>
      <c r="C1" s="123" t="str">
        <f>EBNUMBER</f>
        <v>EB-2016-0066</v>
      </c>
      <c r="D1" s="123"/>
    </row>
    <row r="2" spans="1:4" x14ac:dyDescent="0.2">
      <c r="B2" s="122" t="s">
        <v>302</v>
      </c>
      <c r="C2" s="124"/>
      <c r="D2" s="123"/>
    </row>
    <row r="3" spans="1:4" x14ac:dyDescent="0.2">
      <c r="B3" s="122" t="s">
        <v>303</v>
      </c>
      <c r="C3" s="124"/>
      <c r="D3" s="123"/>
    </row>
    <row r="4" spans="1:4" x14ac:dyDescent="0.2">
      <c r="B4" s="122" t="s">
        <v>304</v>
      </c>
      <c r="C4" s="124"/>
      <c r="D4" s="123"/>
    </row>
    <row r="5" spans="1:4" x14ac:dyDescent="0.2">
      <c r="B5" s="122" t="s">
        <v>305</v>
      </c>
      <c r="C5" s="125"/>
      <c r="D5" s="123"/>
    </row>
    <row r="6" spans="1:4" x14ac:dyDescent="0.2">
      <c r="B6" s="122"/>
      <c r="C6" s="1092"/>
      <c r="D6" s="123"/>
    </row>
    <row r="7" spans="1:4" x14ac:dyDescent="0.2">
      <c r="B7" s="122" t="s">
        <v>306</v>
      </c>
      <c r="C7" s="125"/>
      <c r="D7" s="123"/>
    </row>
    <row r="8" spans="1:4" x14ac:dyDescent="0.2">
      <c r="B8" s="122"/>
      <c r="C8" s="122"/>
      <c r="D8" s="123"/>
    </row>
    <row r="9" spans="1:4" ht="18" x14ac:dyDescent="0.2">
      <c r="A9" s="1547" t="s">
        <v>928</v>
      </c>
      <c r="B9" s="1547"/>
      <c r="C9" s="1547"/>
      <c r="D9" s="123"/>
    </row>
    <row r="10" spans="1:4" ht="18" x14ac:dyDescent="0.2">
      <c r="A10" s="1547" t="s">
        <v>929</v>
      </c>
      <c r="B10" s="1547"/>
      <c r="C10" s="1547"/>
      <c r="D10" s="123"/>
    </row>
    <row r="12" spans="1:4" ht="28.5" customHeight="1" x14ac:dyDescent="0.2">
      <c r="A12" s="126" t="s">
        <v>926</v>
      </c>
      <c r="B12" s="127" t="s">
        <v>930</v>
      </c>
      <c r="C12" s="127" t="s">
        <v>927</v>
      </c>
    </row>
    <row r="13" spans="1:4" ht="38.25" x14ac:dyDescent="0.2">
      <c r="A13" s="129" t="s">
        <v>1313</v>
      </c>
      <c r="B13" s="129" t="s">
        <v>1314</v>
      </c>
      <c r="C13" s="129" t="s">
        <v>1315</v>
      </c>
    </row>
    <row r="14" spans="1:4" ht="38.25" x14ac:dyDescent="0.2">
      <c r="A14" s="129" t="s">
        <v>1316</v>
      </c>
      <c r="B14" s="129" t="s">
        <v>1314</v>
      </c>
      <c r="C14" s="129" t="s">
        <v>1315</v>
      </c>
    </row>
    <row r="15" spans="1:4" ht="25.5" x14ac:dyDescent="0.2">
      <c r="A15" s="129" t="s">
        <v>1317</v>
      </c>
      <c r="B15" s="129" t="s">
        <v>1318</v>
      </c>
      <c r="C15" s="129" t="s">
        <v>1315</v>
      </c>
    </row>
    <row r="16" spans="1:4" ht="25.5" x14ac:dyDescent="0.2">
      <c r="A16" s="129" t="s">
        <v>1319</v>
      </c>
      <c r="B16" s="129" t="s">
        <v>1320</v>
      </c>
      <c r="C16" s="129" t="s">
        <v>1321</v>
      </c>
    </row>
    <row r="17" spans="1:3" ht="51" x14ac:dyDescent="0.2">
      <c r="A17" s="129" t="s">
        <v>1322</v>
      </c>
      <c r="B17" s="129" t="s">
        <v>1320</v>
      </c>
      <c r="C17" s="129" t="s">
        <v>1323</v>
      </c>
    </row>
    <row r="18" spans="1:3" ht="25.5" x14ac:dyDescent="0.2">
      <c r="A18" s="129" t="s">
        <v>1324</v>
      </c>
      <c r="B18" s="129" t="s">
        <v>1325</v>
      </c>
      <c r="C18" s="129" t="s">
        <v>1326</v>
      </c>
    </row>
    <row r="19" spans="1:3" ht="63.75" x14ac:dyDescent="0.2">
      <c r="A19" s="129" t="s">
        <v>1327</v>
      </c>
      <c r="B19" s="129" t="s">
        <v>1328</v>
      </c>
      <c r="C19" s="129" t="s">
        <v>1329</v>
      </c>
    </row>
    <row r="20" spans="1:3" ht="25.5" x14ac:dyDescent="0.2">
      <c r="A20" s="129" t="s">
        <v>1330</v>
      </c>
      <c r="B20" s="129" t="s">
        <v>1331</v>
      </c>
      <c r="C20" s="129"/>
    </row>
    <row r="21" spans="1:3" x14ac:dyDescent="0.2">
      <c r="A21" s="129" t="s">
        <v>1332</v>
      </c>
      <c r="B21" s="129" t="s">
        <v>1333</v>
      </c>
      <c r="C21" s="129" t="s">
        <v>1334</v>
      </c>
    </row>
    <row r="22" spans="1:3" ht="38.25" x14ac:dyDescent="0.2">
      <c r="A22" s="129" t="s">
        <v>1335</v>
      </c>
      <c r="B22" s="129" t="s">
        <v>851</v>
      </c>
      <c r="C22" s="129" t="s">
        <v>1336</v>
      </c>
    </row>
    <row r="23" spans="1:3" ht="38.25" x14ac:dyDescent="0.2">
      <c r="A23" s="129" t="s">
        <v>1335</v>
      </c>
      <c r="B23" s="129" t="s">
        <v>1337</v>
      </c>
      <c r="C23" s="129" t="s">
        <v>1336</v>
      </c>
    </row>
    <row r="24" spans="1:3" ht="25.5" x14ac:dyDescent="0.2">
      <c r="A24" s="129" t="s">
        <v>1335</v>
      </c>
      <c r="B24" s="129" t="s">
        <v>1338</v>
      </c>
      <c r="C24" s="128" t="s">
        <v>1339</v>
      </c>
    </row>
    <row r="25" spans="1:3" x14ac:dyDescent="0.2">
      <c r="A25" s="129" t="s">
        <v>1335</v>
      </c>
      <c r="B25" s="129" t="s">
        <v>1340</v>
      </c>
      <c r="C25" s="129" t="s">
        <v>1341</v>
      </c>
    </row>
    <row r="26" spans="1:3" x14ac:dyDescent="0.2">
      <c r="A26" s="129" t="s">
        <v>1335</v>
      </c>
      <c r="B26" s="129" t="s">
        <v>1342</v>
      </c>
      <c r="C26" s="128"/>
    </row>
    <row r="27" spans="1:3" x14ac:dyDescent="0.2">
      <c r="A27" s="129" t="s">
        <v>1335</v>
      </c>
      <c r="B27" s="129" t="s">
        <v>1343</v>
      </c>
      <c r="C27" s="129" t="s">
        <v>1344</v>
      </c>
    </row>
    <row r="28" spans="1:3" x14ac:dyDescent="0.2">
      <c r="A28" s="129" t="s">
        <v>1335</v>
      </c>
      <c r="B28" s="129" t="s">
        <v>1345</v>
      </c>
      <c r="C28" s="129" t="s">
        <v>1346</v>
      </c>
    </row>
    <row r="29" spans="1:3" x14ac:dyDescent="0.2">
      <c r="A29" s="129" t="s">
        <v>1335</v>
      </c>
      <c r="B29" s="129" t="s">
        <v>1347</v>
      </c>
      <c r="C29" s="129" t="s">
        <v>1348</v>
      </c>
    </row>
    <row r="30" spans="1:3" ht="25.5" x14ac:dyDescent="0.2">
      <c r="A30" s="129" t="s">
        <v>1349</v>
      </c>
      <c r="B30" s="129" t="s">
        <v>1350</v>
      </c>
      <c r="C30" s="130"/>
    </row>
    <row r="31" spans="1:3" ht="25.5" x14ac:dyDescent="0.2">
      <c r="A31" s="129" t="s">
        <v>1335</v>
      </c>
      <c r="B31" s="129" t="s">
        <v>1351</v>
      </c>
      <c r="C31" s="128" t="s">
        <v>1339</v>
      </c>
    </row>
    <row r="32" spans="1:3" ht="25.5" x14ac:dyDescent="0.2">
      <c r="A32" s="129" t="s">
        <v>1335</v>
      </c>
      <c r="B32" s="129" t="s">
        <v>1352</v>
      </c>
      <c r="C32" s="128" t="s">
        <v>1339</v>
      </c>
    </row>
    <row r="33" spans="1:3" ht="25.5" x14ac:dyDescent="0.2">
      <c r="A33" s="129" t="s">
        <v>1335</v>
      </c>
      <c r="B33" s="129" t="s">
        <v>1353</v>
      </c>
      <c r="C33" s="129" t="s">
        <v>1354</v>
      </c>
    </row>
    <row r="34" spans="1:3" ht="15" x14ac:dyDescent="0.2">
      <c r="A34" s="128"/>
      <c r="B34" s="128"/>
      <c r="C34" s="130"/>
    </row>
    <row r="35" spans="1:3" x14ac:dyDescent="0.2">
      <c r="A35" s="128"/>
      <c r="B35" s="128"/>
      <c r="C35" s="128"/>
    </row>
    <row r="36" spans="1:3" x14ac:dyDescent="0.2">
      <c r="A36" s="128"/>
      <c r="B36" s="128"/>
      <c r="C36" s="128"/>
    </row>
    <row r="38" spans="1:3" x14ac:dyDescent="0.2">
      <c r="A38" s="60" t="s">
        <v>953</v>
      </c>
    </row>
  </sheetData>
  <mergeCells count="2">
    <mergeCell ref="A10:C10"/>
    <mergeCell ref="A9:C9"/>
  </mergeCells>
  <pageMargins left="0.7" right="0.7" top="0.75" bottom="0.75" header="0.3" footer="0.3"/>
  <pageSetup scale="54"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5">
    <tabColor rgb="FFFFC000"/>
    <pageSetUpPr fitToPage="1"/>
  </sheetPr>
  <dimension ref="A1:T129"/>
  <sheetViews>
    <sheetView showGridLines="0" zoomScaleNormal="100" workbookViewId="0">
      <selection sqref="A1:K1"/>
    </sheetView>
  </sheetViews>
  <sheetFormatPr defaultRowHeight="12.75" x14ac:dyDescent="0.2"/>
  <cols>
    <col min="1" max="1" width="14.42578125" style="52" customWidth="1"/>
    <col min="2" max="2" width="18" style="52" customWidth="1"/>
    <col min="3" max="3" width="13.28515625" style="52" bestFit="1" customWidth="1"/>
    <col min="4" max="4" width="2.5703125" style="52" customWidth="1"/>
    <col min="5" max="5" width="26" style="52" customWidth="1"/>
    <col min="6" max="6" width="25.85546875" style="52" customWidth="1"/>
    <col min="7" max="7" width="29.140625" style="52" customWidth="1"/>
    <col min="8" max="16384" width="9.140625" style="52"/>
  </cols>
  <sheetData>
    <row r="1" spans="1:11" ht="18" x14ac:dyDescent="0.25">
      <c r="A1" s="1591" t="s">
        <v>519</v>
      </c>
      <c r="B1" s="1591"/>
      <c r="C1" s="1591"/>
      <c r="D1" s="1591"/>
      <c r="E1" s="1591"/>
      <c r="F1" s="1591"/>
      <c r="G1" s="1591"/>
      <c r="H1" s="1591"/>
      <c r="I1" s="1591"/>
      <c r="J1" s="1591"/>
      <c r="K1" s="1591"/>
    </row>
    <row r="2" spans="1:11" ht="18" x14ac:dyDescent="0.25">
      <c r="A2" s="1591" t="s">
        <v>520</v>
      </c>
      <c r="B2" s="1591"/>
      <c r="C2" s="1591"/>
      <c r="D2" s="1591"/>
      <c r="E2" s="1591"/>
      <c r="F2" s="1591"/>
      <c r="G2" s="1591"/>
      <c r="H2" s="1591"/>
      <c r="I2" s="1591"/>
      <c r="J2" s="1591"/>
      <c r="K2" s="1591"/>
    </row>
    <row r="4" spans="1:11" x14ac:dyDescent="0.2">
      <c r="A4" s="56" t="s">
        <v>936</v>
      </c>
      <c r="B4" s="56"/>
      <c r="C4" s="56"/>
      <c r="D4" s="56"/>
    </row>
    <row r="5" spans="1:11" x14ac:dyDescent="0.2">
      <c r="A5" s="56"/>
      <c r="B5" s="56"/>
      <c r="C5" s="56"/>
      <c r="D5" s="56"/>
    </row>
    <row r="6" spans="1:11" ht="68.25" customHeight="1" x14ac:dyDescent="0.2">
      <c r="A6" s="1592" t="s">
        <v>1258</v>
      </c>
      <c r="B6" s="1592"/>
      <c r="C6" s="1592"/>
      <c r="D6" s="1592"/>
      <c r="E6" s="1592"/>
      <c r="F6" s="1592"/>
      <c r="G6" s="1592"/>
      <c r="H6" s="1592"/>
      <c r="I6" s="1592"/>
      <c r="J6" s="1592"/>
      <c r="K6" s="1592"/>
    </row>
    <row r="7" spans="1:11" x14ac:dyDescent="0.2">
      <c r="A7" s="1047"/>
      <c r="B7" s="1047"/>
      <c r="C7" s="1047"/>
      <c r="D7" s="1047"/>
      <c r="E7" s="1047"/>
      <c r="F7" s="1047"/>
      <c r="G7" s="1047"/>
      <c r="H7" s="1047"/>
      <c r="I7" s="1047"/>
      <c r="J7" s="1047"/>
      <c r="K7" s="1047"/>
    </row>
    <row r="8" spans="1:11" ht="13.5" thickBot="1" x14ac:dyDescent="0.25">
      <c r="A8" s="1047"/>
      <c r="B8" s="1047"/>
      <c r="C8" s="1047"/>
      <c r="D8" s="1047"/>
      <c r="E8" s="1047"/>
      <c r="F8" s="1047"/>
      <c r="G8" s="1047"/>
      <c r="H8" s="1047"/>
      <c r="I8" s="1047"/>
      <c r="J8" s="1047"/>
      <c r="K8" s="1047"/>
    </row>
    <row r="9" spans="1:11" ht="39" customHeight="1" thickBot="1" x14ac:dyDescent="0.25">
      <c r="A9" s="1103"/>
      <c r="B9" s="1103"/>
      <c r="C9" s="1103"/>
      <c r="D9" s="1103"/>
      <c r="E9" s="1598" t="s">
        <v>1063</v>
      </c>
      <c r="F9" s="1599"/>
      <c r="G9" s="1130" t="s">
        <v>1114</v>
      </c>
      <c r="H9" s="1103"/>
      <c r="I9" s="1103"/>
      <c r="J9" s="1103"/>
      <c r="K9" s="1103"/>
    </row>
    <row r="10" spans="1:11" ht="39" thickBot="1" x14ac:dyDescent="0.25">
      <c r="A10" s="131"/>
      <c r="B10" s="131"/>
      <c r="C10" s="56"/>
      <c r="D10" s="56"/>
      <c r="E10" s="132" t="s">
        <v>992</v>
      </c>
      <c r="F10" s="132" t="s">
        <v>993</v>
      </c>
      <c r="G10" s="1130" t="s">
        <v>1239</v>
      </c>
      <c r="H10" s="92"/>
    </row>
    <row r="11" spans="1:11" ht="12.75" customHeight="1" x14ac:dyDescent="0.2">
      <c r="A11" s="1595" t="s">
        <v>1142</v>
      </c>
      <c r="B11" s="133">
        <v>2017</v>
      </c>
      <c r="C11" s="134" t="s">
        <v>888</v>
      </c>
      <c r="D11" s="56"/>
      <c r="E11" s="135" t="s">
        <v>105</v>
      </c>
      <c r="F11" s="136" t="s">
        <v>105</v>
      </c>
      <c r="G11" s="136" t="s">
        <v>105</v>
      </c>
    </row>
    <row r="12" spans="1:11" ht="12.75" customHeight="1" x14ac:dyDescent="0.2">
      <c r="A12" s="1596"/>
      <c r="B12" s="137">
        <v>2016</v>
      </c>
      <c r="C12" s="138" t="s">
        <v>889</v>
      </c>
      <c r="D12" s="56"/>
      <c r="E12" s="1128" t="s">
        <v>105</v>
      </c>
      <c r="F12" s="1129" t="s">
        <v>105</v>
      </c>
      <c r="G12" s="1129" t="s">
        <v>105</v>
      </c>
    </row>
    <row r="13" spans="1:11" ht="12.75" customHeight="1" x14ac:dyDescent="0.2">
      <c r="A13" s="1596"/>
      <c r="B13" s="137">
        <v>2015</v>
      </c>
      <c r="C13" s="138" t="s">
        <v>890</v>
      </c>
      <c r="D13" s="56"/>
      <c r="E13" s="139" t="s">
        <v>105</v>
      </c>
      <c r="F13" s="139" t="s">
        <v>105</v>
      </c>
      <c r="G13" s="139" t="s">
        <v>105</v>
      </c>
    </row>
    <row r="14" spans="1:11" ht="17.25" x14ac:dyDescent="0.25">
      <c r="A14" s="1596"/>
      <c r="B14" s="137">
        <v>2014</v>
      </c>
      <c r="C14" s="138" t="s">
        <v>890</v>
      </c>
      <c r="D14" s="56"/>
      <c r="E14" s="140" t="s">
        <v>1065</v>
      </c>
      <c r="F14" s="140" t="s">
        <v>1065</v>
      </c>
      <c r="G14" s="140" t="s">
        <v>1065</v>
      </c>
    </row>
    <row r="15" spans="1:11" ht="17.25" x14ac:dyDescent="0.25">
      <c r="A15" s="1596"/>
      <c r="B15" s="137">
        <v>2013</v>
      </c>
      <c r="C15" s="138" t="s">
        <v>890</v>
      </c>
      <c r="D15" s="56"/>
      <c r="E15" s="141" t="s">
        <v>891</v>
      </c>
      <c r="F15" s="140" t="s">
        <v>1066</v>
      </c>
      <c r="G15" s="142" t="s">
        <v>1064</v>
      </c>
    </row>
    <row r="16" spans="1:11" ht="17.25" x14ac:dyDescent="0.25">
      <c r="A16" s="1596"/>
      <c r="B16" s="137">
        <v>2012</v>
      </c>
      <c r="C16" s="138" t="s">
        <v>890</v>
      </c>
      <c r="D16" s="56"/>
      <c r="E16" s="140" t="s">
        <v>1066</v>
      </c>
      <c r="F16" s="142" t="s">
        <v>104</v>
      </c>
      <c r="G16" s="142" t="s">
        <v>1064</v>
      </c>
    </row>
    <row r="17" spans="1:19" ht="13.5" thickBot="1" x14ac:dyDescent="0.25">
      <c r="A17" s="1597"/>
      <c r="B17" s="143" t="s">
        <v>1098</v>
      </c>
      <c r="C17" s="144" t="s">
        <v>1099</v>
      </c>
      <c r="D17" s="56"/>
      <c r="E17" s="145" t="s">
        <v>1097</v>
      </c>
      <c r="F17" s="146" t="s">
        <v>1097</v>
      </c>
      <c r="G17" s="146" t="s">
        <v>266</v>
      </c>
    </row>
    <row r="18" spans="1:19" x14ac:dyDescent="0.2">
      <c r="A18" s="131"/>
      <c r="B18" s="131"/>
      <c r="C18" s="56"/>
      <c r="D18" s="56"/>
    </row>
    <row r="19" spans="1:19" ht="25.5" customHeight="1" x14ac:dyDescent="0.2">
      <c r="A19" s="1593" t="s">
        <v>1067</v>
      </c>
      <c r="B19" s="1593"/>
      <c r="C19" s="1593"/>
      <c r="D19" s="1593"/>
      <c r="E19" s="1593"/>
      <c r="F19" s="1593"/>
      <c r="G19" s="1593"/>
      <c r="H19" s="1593"/>
      <c r="I19" s="1593"/>
      <c r="J19" s="1593"/>
      <c r="K19" s="1036"/>
    </row>
    <row r="20" spans="1:19" ht="28.5" customHeight="1" x14ac:dyDescent="0.2">
      <c r="A20" s="1593" t="s">
        <v>1257</v>
      </c>
      <c r="B20" s="1593"/>
      <c r="C20" s="1593"/>
      <c r="D20" s="1593"/>
      <c r="E20" s="1593"/>
      <c r="F20" s="1593"/>
      <c r="G20" s="1593"/>
      <c r="H20" s="1593"/>
      <c r="I20" s="1593"/>
      <c r="J20" s="1104"/>
      <c r="K20" s="1104"/>
    </row>
    <row r="21" spans="1:19" ht="28.5" customHeight="1" x14ac:dyDescent="0.2">
      <c r="A21" s="1593" t="s">
        <v>1115</v>
      </c>
      <c r="B21" s="1593"/>
      <c r="C21" s="1593"/>
      <c r="D21" s="1593"/>
      <c r="E21" s="1593"/>
      <c r="F21" s="1593"/>
      <c r="G21" s="1593"/>
      <c r="H21" s="1593"/>
      <c r="I21" s="1593"/>
      <c r="J21" s="1156"/>
      <c r="K21" s="1156"/>
    </row>
    <row r="22" spans="1:19" x14ac:dyDescent="0.2">
      <c r="A22" s="131"/>
      <c r="B22" s="131"/>
      <c r="C22" s="56"/>
      <c r="D22" s="56"/>
    </row>
    <row r="23" spans="1:19" x14ac:dyDescent="0.2">
      <c r="A23" s="1105" t="s">
        <v>897</v>
      </c>
      <c r="B23" s="1105"/>
      <c r="C23" s="1105"/>
      <c r="D23" s="1105"/>
      <c r="E23" s="1105"/>
      <c r="F23" s="1105"/>
      <c r="G23" s="1105"/>
      <c r="H23" s="1105"/>
      <c r="I23" s="1105"/>
      <c r="J23" s="1105"/>
      <c r="K23" s="1105"/>
      <c r="L23" s="1105"/>
      <c r="M23" s="1105"/>
      <c r="N23" s="1105"/>
      <c r="O23" s="1105"/>
      <c r="P23" s="1105"/>
      <c r="Q23" s="1105"/>
      <c r="R23" s="1105"/>
      <c r="S23" s="1105"/>
    </row>
    <row r="24" spans="1:19" x14ac:dyDescent="0.2">
      <c r="A24" s="1048"/>
      <c r="B24" s="1048"/>
      <c r="C24" s="1048"/>
      <c r="D24" s="1048"/>
      <c r="E24" s="1048"/>
      <c r="F24" s="1048"/>
      <c r="G24" s="1048"/>
      <c r="H24" s="1048"/>
      <c r="I24" s="1048"/>
      <c r="J24" s="1048"/>
      <c r="K24" s="1048"/>
      <c r="L24" s="1048"/>
      <c r="M24" s="1048"/>
      <c r="N24" s="1048"/>
      <c r="O24" s="1048"/>
      <c r="P24" s="1048"/>
      <c r="Q24" s="1048"/>
      <c r="R24" s="1048"/>
      <c r="S24" s="1048"/>
    </row>
    <row r="25" spans="1:19" x14ac:dyDescent="0.2">
      <c r="A25" s="147" t="s">
        <v>933</v>
      </c>
      <c r="B25" s="1048"/>
      <c r="C25" s="1048"/>
      <c r="D25" s="1048"/>
      <c r="E25" s="1048"/>
      <c r="F25" s="1048"/>
      <c r="G25" s="1048"/>
      <c r="H25" s="1048"/>
      <c r="I25" s="1048"/>
      <c r="J25" s="1048"/>
      <c r="K25" s="1048"/>
      <c r="L25" s="1048"/>
      <c r="M25" s="1048"/>
      <c r="N25" s="1048"/>
      <c r="O25" s="1048"/>
      <c r="P25" s="1048"/>
      <c r="Q25" s="1048"/>
      <c r="R25" s="1048"/>
      <c r="S25" s="1048"/>
    </row>
    <row r="26" spans="1:19" x14ac:dyDescent="0.2">
      <c r="A26" s="1594" t="s">
        <v>1068</v>
      </c>
      <c r="B26" s="1594"/>
      <c r="C26" s="1594"/>
      <c r="D26" s="1594"/>
      <c r="E26" s="1594"/>
      <c r="F26" s="1594"/>
      <c r="G26" s="1594"/>
      <c r="H26" s="1594"/>
      <c r="I26" s="1594"/>
      <c r="J26" s="1594"/>
      <c r="K26" s="1594"/>
      <c r="L26" s="1048"/>
      <c r="M26" s="1048"/>
      <c r="N26" s="1048"/>
      <c r="O26" s="1048"/>
      <c r="P26" s="1048"/>
      <c r="Q26" s="1048"/>
      <c r="R26" s="1048"/>
      <c r="S26" s="1048"/>
    </row>
    <row r="27" spans="1:19" x14ac:dyDescent="0.2">
      <c r="A27" s="1594"/>
      <c r="B27" s="1594"/>
      <c r="C27" s="1594"/>
      <c r="D27" s="1594"/>
      <c r="E27" s="1594"/>
      <c r="F27" s="1594"/>
      <c r="G27" s="1594"/>
      <c r="H27" s="1594"/>
      <c r="I27" s="1594"/>
      <c r="J27" s="1594"/>
      <c r="K27" s="1594"/>
      <c r="L27" s="1048"/>
      <c r="M27" s="1048"/>
      <c r="N27" s="1048"/>
      <c r="O27" s="1048"/>
      <c r="P27" s="1048"/>
      <c r="Q27" s="1048"/>
      <c r="R27" s="1048"/>
      <c r="S27" s="1048"/>
    </row>
    <row r="28" spans="1:19" x14ac:dyDescent="0.2">
      <c r="A28" s="1594"/>
      <c r="B28" s="1594"/>
      <c r="C28" s="1594"/>
      <c r="D28" s="1594"/>
      <c r="E28" s="1594"/>
      <c r="F28" s="1594"/>
      <c r="G28" s="1594"/>
      <c r="H28" s="1594"/>
      <c r="I28" s="1594"/>
      <c r="J28" s="1594"/>
      <c r="K28" s="1594"/>
      <c r="L28" s="1048"/>
      <c r="M28" s="1048"/>
      <c r="N28" s="1048"/>
      <c r="O28" s="1048"/>
      <c r="P28" s="1048"/>
      <c r="Q28" s="1048"/>
      <c r="R28" s="1048"/>
      <c r="S28" s="1048"/>
    </row>
    <row r="30" spans="1:19" x14ac:dyDescent="0.2">
      <c r="A30" s="148" t="s">
        <v>521</v>
      </c>
      <c r="B30" s="148"/>
    </row>
    <row r="31" spans="1:19" x14ac:dyDescent="0.2">
      <c r="A31" s="148"/>
      <c r="B31" s="148"/>
    </row>
    <row r="32" spans="1:19" ht="12.75" customHeight="1" x14ac:dyDescent="0.2">
      <c r="A32" s="1593" t="s">
        <v>994</v>
      </c>
      <c r="B32" s="1593"/>
      <c r="C32" s="1593"/>
      <c r="D32" s="1593"/>
      <c r="E32" s="1593"/>
      <c r="F32" s="1593"/>
      <c r="G32" s="1593"/>
      <c r="H32" s="1593"/>
      <c r="I32" s="1593"/>
      <c r="J32" s="1593"/>
      <c r="K32" s="1593"/>
      <c r="L32" s="1593"/>
      <c r="M32" s="1593"/>
      <c r="N32" s="1593"/>
      <c r="O32" s="1593"/>
      <c r="P32" s="1593"/>
      <c r="Q32" s="1593"/>
      <c r="R32" s="1593"/>
      <c r="S32" s="1593"/>
    </row>
    <row r="33" spans="1:19" x14ac:dyDescent="0.2">
      <c r="A33" s="1593"/>
      <c r="B33" s="1593"/>
      <c r="C33" s="1593"/>
      <c r="D33" s="1593"/>
      <c r="E33" s="1593"/>
      <c r="F33" s="1593"/>
      <c r="G33" s="1593"/>
      <c r="H33" s="1593"/>
      <c r="I33" s="1593"/>
      <c r="J33" s="1593"/>
      <c r="K33" s="1593"/>
      <c r="L33" s="1593"/>
      <c r="M33" s="1593"/>
      <c r="N33" s="1593"/>
      <c r="O33" s="1593"/>
      <c r="P33" s="1593"/>
      <c r="Q33" s="1593"/>
      <c r="R33" s="1593"/>
      <c r="S33" s="1593"/>
    </row>
    <row r="34" spans="1:19" x14ac:dyDescent="0.2">
      <c r="A34" s="1593"/>
      <c r="B34" s="1593"/>
      <c r="C34" s="1593"/>
      <c r="D34" s="1593"/>
      <c r="E34" s="1593"/>
      <c r="F34" s="1593"/>
      <c r="G34" s="1593"/>
      <c r="H34" s="1593"/>
      <c r="I34" s="1593"/>
      <c r="J34" s="1593"/>
      <c r="K34" s="1593"/>
      <c r="L34" s="1593"/>
      <c r="M34" s="1593"/>
      <c r="N34" s="1593"/>
      <c r="O34" s="1593"/>
      <c r="P34" s="1593"/>
      <c r="Q34" s="1593"/>
      <c r="R34" s="1593"/>
      <c r="S34" s="1593"/>
    </row>
    <row r="35" spans="1:19" x14ac:dyDescent="0.2">
      <c r="A35" s="149" t="s">
        <v>894</v>
      </c>
      <c r="B35" s="149"/>
      <c r="C35" s="56"/>
      <c r="D35" s="56"/>
      <c r="E35" s="56"/>
      <c r="F35" s="56"/>
      <c r="G35" s="56"/>
      <c r="H35" s="56"/>
      <c r="I35" s="56"/>
      <c r="J35" s="56"/>
      <c r="K35" s="56"/>
      <c r="L35" s="56"/>
      <c r="M35" s="56"/>
      <c r="N35" s="56"/>
      <c r="O35" s="56"/>
      <c r="P35" s="56"/>
      <c r="Q35" s="56"/>
      <c r="R35" s="56"/>
      <c r="S35" s="56"/>
    </row>
    <row r="36" spans="1:19" x14ac:dyDescent="0.2">
      <c r="A36" s="149" t="s">
        <v>895</v>
      </c>
      <c r="B36" s="149"/>
      <c r="C36" s="56"/>
      <c r="D36" s="56"/>
      <c r="E36" s="56"/>
      <c r="F36" s="56"/>
      <c r="G36" s="56"/>
      <c r="H36" s="56"/>
      <c r="I36" s="56"/>
      <c r="J36" s="56"/>
      <c r="K36" s="56"/>
      <c r="L36" s="56"/>
      <c r="M36" s="56"/>
      <c r="N36" s="56"/>
      <c r="O36" s="56"/>
      <c r="P36" s="56"/>
      <c r="Q36" s="56"/>
      <c r="R36" s="56"/>
      <c r="S36" s="56"/>
    </row>
    <row r="37" spans="1:19" x14ac:dyDescent="0.2">
      <c r="A37" s="150"/>
      <c r="B37" s="150"/>
      <c r="C37" s="56"/>
      <c r="D37" s="56"/>
      <c r="E37" s="56"/>
      <c r="F37" s="56"/>
      <c r="G37" s="56"/>
      <c r="H37" s="56"/>
      <c r="I37" s="56"/>
      <c r="J37" s="56"/>
      <c r="K37" s="56"/>
      <c r="L37" s="56"/>
      <c r="M37" s="56"/>
      <c r="N37" s="56"/>
      <c r="O37" s="56"/>
      <c r="P37" s="56"/>
      <c r="Q37" s="56"/>
      <c r="R37" s="56"/>
      <c r="S37" s="56"/>
    </row>
    <row r="38" spans="1:19" x14ac:dyDescent="0.2">
      <c r="A38" s="148" t="s">
        <v>265</v>
      </c>
      <c r="B38" s="148"/>
    </row>
    <row r="39" spans="1:19" x14ac:dyDescent="0.2">
      <c r="A39" s="148"/>
      <c r="B39" s="148"/>
    </row>
    <row r="40" spans="1:19" ht="12.75" customHeight="1" x14ac:dyDescent="0.2">
      <c r="A40" s="1593" t="s">
        <v>995</v>
      </c>
      <c r="B40" s="1593"/>
      <c r="C40" s="1593"/>
      <c r="D40" s="1593"/>
      <c r="E40" s="1593"/>
      <c r="F40" s="1593"/>
      <c r="G40" s="1593"/>
      <c r="H40" s="1593"/>
      <c r="I40" s="1593"/>
      <c r="J40" s="1593"/>
      <c r="K40" s="1593"/>
      <c r="L40" s="1593"/>
      <c r="M40" s="1593"/>
      <c r="N40" s="1593"/>
      <c r="O40" s="1593"/>
      <c r="P40" s="1593"/>
      <c r="Q40" s="1593"/>
      <c r="R40" s="1593"/>
      <c r="S40" s="1593"/>
    </row>
    <row r="41" spans="1:19" x14ac:dyDescent="0.2">
      <c r="A41" s="1593"/>
      <c r="B41" s="1593"/>
      <c r="C41" s="1593"/>
      <c r="D41" s="1593"/>
      <c r="E41" s="1593"/>
      <c r="F41" s="1593"/>
      <c r="G41" s="1593"/>
      <c r="H41" s="1593"/>
      <c r="I41" s="1593"/>
      <c r="J41" s="1593"/>
      <c r="K41" s="1593"/>
      <c r="L41" s="1593"/>
      <c r="M41" s="1593"/>
      <c r="N41" s="1593"/>
      <c r="O41" s="1593"/>
      <c r="P41" s="1593"/>
      <c r="Q41" s="1593"/>
      <c r="R41" s="1593"/>
      <c r="S41" s="1593"/>
    </row>
    <row r="42" spans="1:19" x14ac:dyDescent="0.2">
      <c r="A42" s="1593"/>
      <c r="B42" s="1593"/>
      <c r="C42" s="1593"/>
      <c r="D42" s="1593"/>
      <c r="E42" s="1593"/>
      <c r="F42" s="1593"/>
      <c r="G42" s="1593"/>
      <c r="H42" s="1593"/>
      <c r="I42" s="1593"/>
      <c r="J42" s="1593"/>
      <c r="K42" s="1593"/>
      <c r="L42" s="1593"/>
      <c r="M42" s="1593"/>
      <c r="N42" s="1593"/>
      <c r="O42" s="1593"/>
      <c r="P42" s="1593"/>
      <c r="Q42" s="1593"/>
      <c r="R42" s="1593"/>
      <c r="S42" s="1593"/>
    </row>
    <row r="43" spans="1:19" x14ac:dyDescent="0.2">
      <c r="A43" s="149" t="s">
        <v>892</v>
      </c>
      <c r="B43" s="149"/>
    </row>
    <row r="44" spans="1:19" x14ac:dyDescent="0.2">
      <c r="A44" s="149" t="s">
        <v>893</v>
      </c>
      <c r="B44" s="149"/>
    </row>
    <row r="46" spans="1:19" x14ac:dyDescent="0.2">
      <c r="A46" s="151" t="s">
        <v>1241</v>
      </c>
      <c r="B46" s="152"/>
    </row>
    <row r="47" spans="1:19" x14ac:dyDescent="0.2">
      <c r="A47" s="151"/>
      <c r="B47" s="152"/>
    </row>
    <row r="48" spans="1:19" x14ac:dyDescent="0.2">
      <c r="A48" s="156" t="s">
        <v>1242</v>
      </c>
      <c r="B48" s="154"/>
      <c r="C48" s="155"/>
      <c r="D48" s="155"/>
      <c r="E48" s="155"/>
      <c r="F48" s="155"/>
      <c r="G48" s="155"/>
      <c r="H48" s="155"/>
      <c r="I48" s="155"/>
      <c r="J48" s="155"/>
      <c r="K48" s="155"/>
      <c r="L48" s="155"/>
      <c r="M48" s="155"/>
      <c r="N48" s="155"/>
    </row>
    <row r="49" spans="1:19" ht="12.75" customHeight="1" x14ac:dyDescent="0.2">
      <c r="A49" s="149" t="s">
        <v>1100</v>
      </c>
      <c r="B49" s="1589" t="s">
        <v>1240</v>
      </c>
      <c r="C49" s="1589"/>
      <c r="D49" s="1589"/>
      <c r="E49" s="1589"/>
      <c r="F49" s="1589"/>
      <c r="G49" s="1589"/>
      <c r="H49" s="1589"/>
      <c r="I49" s="1589"/>
      <c r="J49" s="1589"/>
      <c r="K49" s="1589"/>
      <c r="L49" s="1589"/>
      <c r="M49" s="1589"/>
      <c r="N49" s="155"/>
    </row>
    <row r="50" spans="1:19" ht="12.75" customHeight="1" x14ac:dyDescent="0.2">
      <c r="A50" s="149"/>
      <c r="B50" s="1589"/>
      <c r="C50" s="1589"/>
      <c r="D50" s="1589"/>
      <c r="E50" s="1589"/>
      <c r="F50" s="1589"/>
      <c r="G50" s="1589"/>
      <c r="H50" s="1589"/>
      <c r="I50" s="1589"/>
      <c r="J50" s="1589"/>
      <c r="K50" s="1589"/>
      <c r="L50" s="1589"/>
      <c r="M50" s="1589"/>
      <c r="N50" s="155"/>
    </row>
    <row r="51" spans="1:19" x14ac:dyDescent="0.2">
      <c r="A51" s="1155"/>
      <c r="B51" s="1589"/>
      <c r="C51" s="1589"/>
      <c r="D51" s="1589"/>
      <c r="E51" s="1589"/>
      <c r="F51" s="1589"/>
      <c r="G51" s="1589"/>
      <c r="H51" s="1589"/>
      <c r="I51" s="1589"/>
      <c r="J51" s="1589"/>
      <c r="K51" s="1589"/>
      <c r="L51" s="1589"/>
      <c r="M51" s="1589"/>
      <c r="N51" s="155"/>
    </row>
    <row r="52" spans="1:19" ht="54.75" customHeight="1" x14ac:dyDescent="0.2">
      <c r="B52" s="1600" t="s">
        <v>1103</v>
      </c>
      <c r="C52" s="1600"/>
      <c r="D52" s="1600"/>
      <c r="E52" s="1600"/>
      <c r="F52" s="1600"/>
      <c r="G52" s="1600"/>
      <c r="H52" s="1600"/>
      <c r="I52" s="1600"/>
      <c r="J52" s="1600"/>
      <c r="K52" s="1600"/>
      <c r="L52" s="1600"/>
      <c r="M52" s="1600"/>
      <c r="N52" s="1106"/>
    </row>
    <row r="53" spans="1:19" x14ac:dyDescent="0.2">
      <c r="A53" s="149" t="s">
        <v>1100</v>
      </c>
      <c r="B53" s="1589" t="s">
        <v>1116</v>
      </c>
      <c r="C53" s="1589"/>
      <c r="D53" s="1589"/>
      <c r="E53" s="1589"/>
      <c r="F53" s="1589"/>
      <c r="G53" s="1589"/>
      <c r="H53" s="1589"/>
      <c r="I53" s="1589"/>
      <c r="J53" s="1589"/>
      <c r="K53" s="1589"/>
      <c r="L53" s="1589"/>
      <c r="M53" s="1589"/>
      <c r="N53" s="1155"/>
    </row>
    <row r="54" spans="1:19" x14ac:dyDescent="0.2">
      <c r="A54" s="149"/>
      <c r="B54" s="1589"/>
      <c r="C54" s="1589"/>
      <c r="D54" s="1589"/>
      <c r="E54" s="1589"/>
      <c r="F54" s="1589"/>
      <c r="G54" s="1589"/>
      <c r="H54" s="1589"/>
      <c r="I54" s="1589"/>
      <c r="J54" s="1589"/>
      <c r="K54" s="1589"/>
      <c r="L54" s="1589"/>
      <c r="M54" s="1589"/>
      <c r="N54" s="1155"/>
    </row>
    <row r="55" spans="1:19" x14ac:dyDescent="0.2">
      <c r="A55" s="56"/>
      <c r="B55" s="131"/>
      <c r="C55" s="56"/>
      <c r="D55" s="56"/>
    </row>
    <row r="56" spans="1:19" s="155" customFormat="1" x14ac:dyDescent="0.2">
      <c r="A56" s="1107" t="s">
        <v>898</v>
      </c>
      <c r="B56" s="1107"/>
      <c r="C56" s="1107"/>
      <c r="D56" s="1107"/>
      <c r="E56" s="1107"/>
      <c r="F56" s="1107"/>
      <c r="G56" s="1107"/>
      <c r="H56" s="1107"/>
      <c r="I56" s="1107"/>
      <c r="J56" s="1107"/>
      <c r="K56" s="1107"/>
      <c r="L56" s="1107"/>
      <c r="M56" s="1107"/>
      <c r="N56" s="1107"/>
      <c r="O56" s="1107"/>
      <c r="P56" s="1107"/>
      <c r="Q56" s="1107"/>
      <c r="R56" s="1107"/>
      <c r="S56" s="1107"/>
    </row>
    <row r="57" spans="1:19" s="155" customFormat="1" x14ac:dyDescent="0.2">
      <c r="A57" s="1107"/>
      <c r="B57" s="1107"/>
      <c r="C57" s="1107"/>
      <c r="D57" s="1107"/>
      <c r="E57" s="1107"/>
      <c r="F57" s="1107"/>
      <c r="G57" s="1107"/>
      <c r="H57" s="1107"/>
      <c r="I57" s="1107"/>
      <c r="J57" s="1107"/>
      <c r="K57" s="1107"/>
      <c r="L57" s="1107"/>
      <c r="M57" s="1107"/>
      <c r="N57" s="1107"/>
      <c r="O57" s="1107"/>
      <c r="P57" s="1107"/>
      <c r="Q57" s="1107"/>
      <c r="R57" s="1107"/>
      <c r="S57" s="1107"/>
    </row>
    <row r="58" spans="1:19" s="155" customFormat="1" x14ac:dyDescent="0.2">
      <c r="A58" s="1131" t="s">
        <v>1117</v>
      </c>
      <c r="B58" s="1107"/>
      <c r="C58" s="1107"/>
      <c r="D58" s="1107"/>
      <c r="E58" s="1107"/>
      <c r="F58" s="1107"/>
      <c r="G58" s="1107"/>
      <c r="H58" s="1107"/>
      <c r="I58" s="1107"/>
      <c r="J58" s="1107"/>
      <c r="K58" s="1107"/>
      <c r="L58" s="1107"/>
      <c r="M58" s="1107"/>
      <c r="N58" s="1107"/>
      <c r="O58" s="1107"/>
      <c r="P58" s="1107"/>
      <c r="Q58" s="1107"/>
      <c r="R58" s="1107"/>
      <c r="S58" s="1107"/>
    </row>
    <row r="59" spans="1:19" s="155" customFormat="1" x14ac:dyDescent="0.2">
      <c r="A59" s="149" t="s">
        <v>1100</v>
      </c>
      <c r="B59" s="1593" t="s">
        <v>1262</v>
      </c>
      <c r="C59" s="1601"/>
      <c r="D59" s="1601"/>
      <c r="E59" s="1601"/>
      <c r="F59" s="1601"/>
      <c r="G59" s="1601"/>
      <c r="H59" s="1601"/>
      <c r="I59" s="1601"/>
      <c r="J59" s="1601"/>
      <c r="K59" s="1601"/>
      <c r="L59" s="1601"/>
      <c r="M59" s="1601"/>
      <c r="N59" s="1107"/>
      <c r="O59" s="1107"/>
      <c r="P59" s="1107"/>
      <c r="Q59" s="1107"/>
      <c r="R59" s="1107"/>
      <c r="S59" s="1107"/>
    </row>
    <row r="60" spans="1:19" s="155" customFormat="1" x14ac:dyDescent="0.2">
      <c r="A60" s="149" t="s">
        <v>1100</v>
      </c>
      <c r="B60" s="1593" t="s">
        <v>1259</v>
      </c>
      <c r="C60" s="1601"/>
      <c r="D60" s="1601"/>
      <c r="E60" s="1601"/>
      <c r="F60" s="1601"/>
      <c r="G60" s="1601"/>
      <c r="H60" s="1601"/>
      <c r="I60" s="1601"/>
      <c r="J60" s="1601"/>
      <c r="K60" s="1601"/>
      <c r="L60" s="1601"/>
      <c r="M60" s="1601"/>
      <c r="N60" s="1107"/>
      <c r="O60" s="1107"/>
      <c r="P60" s="1107"/>
      <c r="Q60" s="1107"/>
      <c r="R60" s="1107"/>
      <c r="S60" s="1107"/>
    </row>
    <row r="61" spans="1:19" s="155" customFormat="1" x14ac:dyDescent="0.2">
      <c r="A61" s="1107"/>
      <c r="B61" s="1420"/>
      <c r="C61" s="1421"/>
      <c r="D61" s="1421"/>
      <c r="E61" s="1421"/>
      <c r="F61" s="1421"/>
      <c r="G61" s="1421"/>
      <c r="H61" s="1421"/>
      <c r="I61" s="1421"/>
      <c r="J61" s="1421"/>
      <c r="K61" s="1421"/>
      <c r="L61" s="1421"/>
      <c r="M61" s="1421"/>
      <c r="N61" s="1107"/>
      <c r="O61" s="1107"/>
      <c r="P61" s="1107"/>
      <c r="Q61" s="1107"/>
      <c r="R61" s="1107"/>
      <c r="S61" s="1107"/>
    </row>
    <row r="62" spans="1:19" s="155" customFormat="1" x14ac:dyDescent="0.2">
      <c r="A62" s="1131" t="s">
        <v>1260</v>
      </c>
      <c r="B62" s="1420"/>
      <c r="C62" s="1421"/>
      <c r="D62" s="1421"/>
      <c r="E62" s="1421"/>
      <c r="F62" s="1421"/>
      <c r="G62" s="1421"/>
      <c r="H62" s="1421"/>
      <c r="I62" s="1421"/>
      <c r="J62" s="1421"/>
      <c r="K62" s="1421"/>
      <c r="L62" s="1421"/>
      <c r="M62" s="1421"/>
      <c r="N62" s="1107"/>
      <c r="O62" s="1107"/>
      <c r="P62" s="1107"/>
      <c r="Q62" s="1107"/>
      <c r="R62" s="1107"/>
      <c r="S62" s="1107"/>
    </row>
    <row r="63" spans="1:19" s="155" customFormat="1" x14ac:dyDescent="0.2">
      <c r="A63" s="149" t="s">
        <v>1100</v>
      </c>
      <c r="B63" s="1593" t="s">
        <v>1261</v>
      </c>
      <c r="C63" s="1593"/>
      <c r="D63" s="1593"/>
      <c r="E63" s="1593"/>
      <c r="F63" s="1593"/>
      <c r="G63" s="1593"/>
      <c r="H63" s="1593"/>
      <c r="I63" s="1593"/>
      <c r="J63" s="1593"/>
      <c r="K63" s="1593"/>
      <c r="L63" s="1593"/>
      <c r="M63" s="1421"/>
      <c r="N63" s="1107"/>
      <c r="O63" s="1107"/>
      <c r="P63" s="1107"/>
      <c r="Q63" s="1107"/>
      <c r="R63" s="1107"/>
      <c r="S63" s="1107"/>
    </row>
    <row r="64" spans="1:19" s="155" customFormat="1" x14ac:dyDescent="0.2">
      <c r="A64" s="1589" t="s">
        <v>1263</v>
      </c>
      <c r="B64" s="1589"/>
      <c r="C64" s="1589"/>
      <c r="D64" s="1589"/>
      <c r="E64" s="1589"/>
      <c r="F64" s="1589"/>
      <c r="G64" s="1589"/>
      <c r="H64" s="1589"/>
      <c r="I64" s="1589"/>
      <c r="J64" s="1589"/>
      <c r="K64" s="1589"/>
      <c r="L64" s="1589"/>
      <c r="M64" s="1589"/>
      <c r="N64" s="1107"/>
      <c r="O64" s="1107"/>
      <c r="P64" s="1107"/>
      <c r="Q64" s="1107"/>
      <c r="R64" s="1107"/>
      <c r="S64" s="1107"/>
    </row>
    <row r="65" spans="1:20" s="155" customFormat="1" x14ac:dyDescent="0.2">
      <c r="A65" s="1589"/>
      <c r="B65" s="1589"/>
      <c r="C65" s="1589"/>
      <c r="D65" s="1589"/>
      <c r="E65" s="1589"/>
      <c r="F65" s="1589"/>
      <c r="G65" s="1589"/>
      <c r="H65" s="1589"/>
      <c r="I65" s="1589"/>
      <c r="J65" s="1589"/>
      <c r="K65" s="1589"/>
      <c r="L65" s="1589"/>
      <c r="M65" s="1589"/>
      <c r="N65" s="1107"/>
      <c r="O65" s="1107"/>
      <c r="P65" s="1107"/>
      <c r="Q65" s="1107"/>
      <c r="R65" s="1107"/>
      <c r="S65" s="1107"/>
    </row>
    <row r="66" spans="1:20" s="155" customFormat="1" x14ac:dyDescent="0.2">
      <c r="A66" s="1131"/>
      <c r="B66" s="1420"/>
      <c r="C66" s="1421"/>
      <c r="D66" s="1421"/>
      <c r="E66" s="1421"/>
      <c r="F66" s="1421"/>
      <c r="G66" s="1421"/>
      <c r="H66" s="1421"/>
      <c r="I66" s="1421"/>
      <c r="J66" s="1421"/>
      <c r="K66" s="1421"/>
      <c r="L66" s="1421"/>
      <c r="M66" s="1421"/>
      <c r="N66" s="1107"/>
      <c r="O66" s="1107"/>
      <c r="P66" s="1107"/>
      <c r="Q66" s="1107"/>
      <c r="R66" s="1107"/>
      <c r="S66" s="1107"/>
    </row>
    <row r="67" spans="1:20" s="155" customFormat="1" x14ac:dyDescent="0.2">
      <c r="A67" s="1050"/>
      <c r="B67" s="1050"/>
      <c r="C67" s="1050"/>
      <c r="D67" s="1050"/>
      <c r="E67" s="1050"/>
      <c r="F67" s="1050"/>
      <c r="G67" s="1050"/>
      <c r="H67" s="1050"/>
      <c r="I67" s="1050"/>
      <c r="J67" s="1050"/>
      <c r="K67" s="1050"/>
      <c r="L67" s="1050"/>
      <c r="M67" s="1050"/>
      <c r="N67" s="1050"/>
      <c r="O67" s="1050"/>
      <c r="P67" s="1050"/>
      <c r="Q67" s="1050"/>
      <c r="R67" s="1050"/>
      <c r="S67" s="1050"/>
    </row>
    <row r="68" spans="1:20" s="155" customFormat="1" x14ac:dyDescent="0.2">
      <c r="A68" s="1107"/>
      <c r="B68" s="1107"/>
      <c r="C68" s="1107"/>
      <c r="D68" s="1107"/>
      <c r="E68" s="1107"/>
      <c r="F68" s="1107"/>
      <c r="G68" s="1107"/>
      <c r="H68" s="1107"/>
      <c r="I68" s="1107"/>
      <c r="J68" s="1107"/>
      <c r="K68" s="1107"/>
      <c r="L68" s="1107"/>
      <c r="M68" s="1107"/>
      <c r="N68" s="1107"/>
      <c r="O68" s="1107"/>
      <c r="P68" s="1107"/>
      <c r="Q68" s="1107"/>
      <c r="R68" s="1107"/>
      <c r="S68" s="1107"/>
    </row>
    <row r="69" spans="1:20" s="155" customFormat="1" x14ac:dyDescent="0.2">
      <c r="A69" s="1041" t="s">
        <v>899</v>
      </c>
      <c r="B69" s="1041"/>
      <c r="C69" s="1041"/>
      <c r="D69" s="1041"/>
      <c r="E69" s="1041"/>
      <c r="F69" s="1041"/>
      <c r="G69" s="157"/>
      <c r="H69" s="157"/>
      <c r="I69" s="157"/>
      <c r="J69" s="157"/>
      <c r="K69" s="157"/>
      <c r="L69" s="157"/>
      <c r="M69" s="157"/>
      <c r="N69" s="157"/>
      <c r="O69" s="157"/>
      <c r="P69" s="157"/>
      <c r="Q69" s="157"/>
      <c r="R69" s="157"/>
      <c r="S69" s="157"/>
    </row>
    <row r="70" spans="1:20" s="155" customFormat="1" ht="16.5" customHeight="1" x14ac:dyDescent="0.2">
      <c r="A70" s="1045"/>
      <c r="B70" s="1045"/>
      <c r="C70" s="1045"/>
      <c r="D70" s="1045"/>
      <c r="E70" s="1045"/>
      <c r="F70" s="1045"/>
      <c r="G70" s="1045"/>
      <c r="H70" s="1045"/>
      <c r="I70" s="1045"/>
      <c r="J70" s="1045"/>
      <c r="K70" s="1045"/>
      <c r="L70" s="1045"/>
      <c r="M70" s="1045"/>
      <c r="N70" s="1045"/>
      <c r="O70" s="1045"/>
      <c r="P70" s="1045"/>
      <c r="Q70" s="1045"/>
      <c r="R70" s="1045"/>
      <c r="S70" s="1045"/>
      <c r="T70" s="158"/>
    </row>
    <row r="71" spans="1:20" s="155" customFormat="1" x14ac:dyDescent="0.2">
      <c r="A71" s="153" t="s">
        <v>1041</v>
      </c>
      <c r="B71" s="156"/>
      <c r="C71" s="156"/>
      <c r="D71" s="156"/>
    </row>
    <row r="72" spans="1:20" s="155" customFormat="1" x14ac:dyDescent="0.2">
      <c r="A72" s="153"/>
      <c r="B72" s="156"/>
      <c r="C72" s="156"/>
      <c r="D72" s="156"/>
    </row>
    <row r="73" spans="1:20" ht="69" customHeight="1" x14ac:dyDescent="0.2">
      <c r="A73" s="1590" t="s">
        <v>1187</v>
      </c>
      <c r="B73" s="1590"/>
      <c r="C73" s="1590"/>
      <c r="D73" s="1590"/>
      <c r="E73" s="1590"/>
      <c r="F73" s="1590"/>
      <c r="G73" s="1590"/>
      <c r="H73" s="1590"/>
      <c r="I73" s="1590"/>
      <c r="J73" s="1590"/>
      <c r="K73" s="1590"/>
      <c r="L73" s="1590"/>
      <c r="M73" s="1590"/>
      <c r="N73" s="155"/>
      <c r="O73" s="155"/>
      <c r="P73" s="155"/>
      <c r="Q73" s="155"/>
      <c r="R73" s="155"/>
      <c r="S73" s="155"/>
    </row>
    <row r="74" spans="1:20" x14ac:dyDescent="0.2">
      <c r="A74" s="155"/>
      <c r="B74" s="155"/>
      <c r="C74" s="155"/>
      <c r="D74" s="155"/>
      <c r="E74" s="155"/>
      <c r="F74" s="155"/>
      <c r="G74" s="155"/>
      <c r="H74" s="155"/>
      <c r="I74" s="155"/>
      <c r="J74" s="155"/>
      <c r="K74" s="155"/>
      <c r="L74" s="155"/>
      <c r="M74" s="155"/>
      <c r="N74" s="155"/>
      <c r="O74" s="155"/>
      <c r="P74" s="155"/>
      <c r="Q74" s="155"/>
      <c r="R74" s="155"/>
      <c r="S74" s="155"/>
    </row>
    <row r="75" spans="1:20" x14ac:dyDescent="0.2">
      <c r="A75" s="155"/>
      <c r="B75" s="155"/>
      <c r="C75" s="155"/>
      <c r="D75" s="155"/>
      <c r="E75" s="155"/>
      <c r="F75" s="155"/>
      <c r="G75" s="155"/>
      <c r="H75" s="155"/>
      <c r="I75" s="155"/>
      <c r="J75" s="155"/>
      <c r="K75" s="155"/>
      <c r="L75" s="155"/>
      <c r="M75" s="155"/>
      <c r="N75" s="155"/>
      <c r="O75" s="155"/>
      <c r="P75" s="155"/>
      <c r="Q75" s="155"/>
      <c r="R75" s="155"/>
      <c r="S75" s="155"/>
    </row>
    <row r="76" spans="1:20" x14ac:dyDescent="0.2">
      <c r="A76" s="1593"/>
      <c r="B76" s="1593"/>
      <c r="C76" s="1593"/>
      <c r="D76" s="1593"/>
      <c r="E76" s="1593"/>
      <c r="F76" s="1593"/>
      <c r="G76" s="1593"/>
      <c r="H76" s="1593"/>
      <c r="I76" s="1593"/>
      <c r="J76" s="1593"/>
      <c r="K76" s="1593"/>
      <c r="L76" s="1593"/>
      <c r="M76" s="1593"/>
      <c r="N76" s="1593"/>
      <c r="O76" s="1593"/>
      <c r="P76" s="1593"/>
      <c r="Q76" s="1593"/>
      <c r="R76" s="1593"/>
      <c r="S76" s="1593"/>
    </row>
    <row r="77" spans="1:20" x14ac:dyDescent="0.2">
      <c r="A77" s="1593"/>
      <c r="B77" s="1593"/>
      <c r="C77" s="1593"/>
      <c r="D77" s="1593"/>
      <c r="E77" s="1593"/>
      <c r="F77" s="1593"/>
      <c r="G77" s="1593"/>
      <c r="H77" s="1593"/>
      <c r="I77" s="1593"/>
      <c r="J77" s="1593"/>
      <c r="K77" s="1593"/>
      <c r="L77" s="1593"/>
      <c r="M77" s="1593"/>
      <c r="N77" s="1593"/>
      <c r="O77" s="1593"/>
      <c r="P77" s="1593"/>
      <c r="Q77" s="1593"/>
      <c r="R77" s="1593"/>
      <c r="S77" s="1593"/>
    </row>
    <row r="78" spans="1:20" x14ac:dyDescent="0.2">
      <c r="A78" s="1593"/>
      <c r="B78" s="1593"/>
      <c r="C78" s="1593"/>
      <c r="D78" s="1593"/>
      <c r="E78" s="1593"/>
      <c r="F78" s="1593"/>
      <c r="G78" s="1593"/>
      <c r="H78" s="1593"/>
      <c r="I78" s="1593"/>
      <c r="J78" s="1593"/>
      <c r="K78" s="1593"/>
      <c r="L78" s="1593"/>
      <c r="M78" s="1593"/>
      <c r="N78" s="1593"/>
      <c r="O78" s="1593"/>
      <c r="P78" s="1593"/>
      <c r="Q78" s="1593"/>
      <c r="R78" s="1593"/>
      <c r="S78" s="1593"/>
    </row>
    <row r="79" spans="1:20" x14ac:dyDescent="0.2">
      <c r="L79" s="1593"/>
      <c r="M79" s="1593"/>
      <c r="N79" s="1593"/>
      <c r="O79" s="1593"/>
      <c r="P79" s="1593"/>
      <c r="Q79" s="1593"/>
      <c r="R79" s="1593"/>
      <c r="S79" s="1593"/>
    </row>
    <row r="80" spans="1:20" x14ac:dyDescent="0.2">
      <c r="A80" s="1593"/>
      <c r="B80" s="1593"/>
      <c r="C80" s="1593"/>
      <c r="D80" s="1593"/>
      <c r="E80" s="1593"/>
      <c r="F80" s="1593"/>
      <c r="G80" s="1593"/>
      <c r="H80" s="1593"/>
      <c r="I80" s="1593"/>
      <c r="J80" s="1593"/>
      <c r="K80" s="1593"/>
      <c r="L80" s="1593"/>
      <c r="M80" s="1593"/>
      <c r="N80" s="1593"/>
      <c r="O80" s="1593"/>
      <c r="P80" s="1593"/>
      <c r="Q80" s="1593"/>
      <c r="R80" s="1593"/>
      <c r="S80" s="1593"/>
    </row>
    <row r="81" spans="1:19" x14ac:dyDescent="0.2">
      <c r="A81" s="1593"/>
      <c r="B81" s="1593"/>
      <c r="C81" s="1593"/>
      <c r="D81" s="1593"/>
      <c r="E81" s="1593"/>
      <c r="F81" s="1593"/>
      <c r="G81" s="1593"/>
      <c r="H81" s="1593"/>
      <c r="I81" s="1593"/>
      <c r="J81" s="1593"/>
      <c r="K81" s="1593"/>
      <c r="L81" s="1593"/>
      <c r="M81" s="1593"/>
      <c r="N81" s="1593"/>
      <c r="O81" s="1593"/>
      <c r="P81" s="1593"/>
      <c r="Q81" s="1593"/>
      <c r="R81" s="1593"/>
      <c r="S81" s="1593"/>
    </row>
    <row r="82" spans="1:19" x14ac:dyDescent="0.2">
      <c r="A82" s="1593"/>
      <c r="B82" s="1593"/>
      <c r="C82" s="1593"/>
      <c r="D82" s="1593"/>
      <c r="E82" s="1593"/>
      <c r="F82" s="1593"/>
      <c r="G82" s="1593"/>
      <c r="H82" s="1593"/>
      <c r="I82" s="1593"/>
      <c r="J82" s="1593"/>
      <c r="K82" s="1593"/>
      <c r="L82" s="1593"/>
      <c r="M82" s="1593"/>
      <c r="N82" s="1593"/>
      <c r="O82" s="1593"/>
      <c r="P82" s="1593"/>
      <c r="Q82" s="1593"/>
      <c r="R82" s="1593"/>
      <c r="S82" s="1593"/>
    </row>
    <row r="83" spans="1:19" x14ac:dyDescent="0.2">
      <c r="A83" s="1593"/>
      <c r="B83" s="1593"/>
      <c r="C83" s="1593"/>
      <c r="D83" s="1593"/>
      <c r="E83" s="1593"/>
      <c r="F83" s="1593"/>
      <c r="G83" s="1593"/>
      <c r="H83" s="1593"/>
      <c r="I83" s="1593"/>
      <c r="J83" s="1593"/>
      <c r="K83" s="1593"/>
      <c r="L83" s="1593"/>
      <c r="M83" s="1593"/>
      <c r="N83" s="1593"/>
      <c r="O83" s="1593"/>
      <c r="P83" s="1593"/>
      <c r="Q83" s="1593"/>
      <c r="R83" s="1593"/>
      <c r="S83" s="1593"/>
    </row>
    <row r="84" spans="1:19" x14ac:dyDescent="0.2">
      <c r="A84" s="1593"/>
      <c r="B84" s="1593"/>
      <c r="C84" s="1593"/>
      <c r="D84" s="1593"/>
      <c r="E84" s="1593"/>
      <c r="F84" s="1593"/>
      <c r="G84" s="1593"/>
      <c r="H84" s="1593"/>
      <c r="I84" s="1593"/>
      <c r="J84" s="1593"/>
      <c r="K84" s="1593"/>
      <c r="L84" s="1593"/>
      <c r="M84" s="1593"/>
      <c r="N84" s="1593"/>
      <c r="O84" s="1593"/>
      <c r="P84" s="1593"/>
      <c r="Q84" s="1593"/>
      <c r="R84" s="1593"/>
      <c r="S84" s="1593"/>
    </row>
    <row r="85" spans="1:19" x14ac:dyDescent="0.2">
      <c r="A85" s="1593"/>
      <c r="B85" s="1593"/>
      <c r="C85" s="1593"/>
      <c r="D85" s="1593"/>
      <c r="E85" s="1593"/>
      <c r="F85" s="1593"/>
      <c r="G85" s="1593"/>
      <c r="H85" s="1593"/>
      <c r="I85" s="1593"/>
      <c r="J85" s="1593"/>
      <c r="K85" s="1593"/>
      <c r="L85" s="1593"/>
      <c r="M85" s="1593"/>
      <c r="N85" s="1593"/>
      <c r="O85" s="1593"/>
      <c r="P85" s="1593"/>
      <c r="Q85" s="1593"/>
      <c r="R85" s="1593"/>
      <c r="S85" s="1593"/>
    </row>
    <row r="86" spans="1:19" x14ac:dyDescent="0.2">
      <c r="A86" s="1593"/>
      <c r="B86" s="1593"/>
      <c r="C86" s="1593"/>
      <c r="D86" s="1593"/>
      <c r="E86" s="1593"/>
      <c r="F86" s="1593"/>
      <c r="G86" s="1593"/>
      <c r="H86" s="1593"/>
      <c r="I86" s="1593"/>
      <c r="J86" s="1593"/>
      <c r="K86" s="1593"/>
      <c r="L86" s="1593"/>
      <c r="M86" s="1593"/>
      <c r="N86" s="1593"/>
      <c r="O86" s="1593"/>
      <c r="P86" s="1593"/>
      <c r="Q86" s="1593"/>
      <c r="R86" s="1593"/>
      <c r="S86" s="1593"/>
    </row>
    <row r="87" spans="1:19" x14ac:dyDescent="0.2">
      <c r="A87" s="1593"/>
      <c r="B87" s="1593"/>
      <c r="C87" s="1593"/>
      <c r="D87" s="1593"/>
      <c r="E87" s="1593"/>
      <c r="F87" s="1593"/>
      <c r="G87" s="1593"/>
      <c r="H87" s="1593"/>
      <c r="I87" s="1593"/>
      <c r="J87" s="1593"/>
      <c r="K87" s="1593"/>
      <c r="L87" s="1593"/>
      <c r="M87" s="1593"/>
      <c r="N87" s="1593"/>
      <c r="O87" s="1593"/>
      <c r="P87" s="1593"/>
      <c r="Q87" s="1593"/>
      <c r="R87" s="1593"/>
      <c r="S87" s="1593"/>
    </row>
    <row r="88" spans="1:19" x14ac:dyDescent="0.2">
      <c r="A88" s="1593"/>
      <c r="B88" s="1593"/>
      <c r="C88" s="1593"/>
      <c r="D88" s="1593"/>
      <c r="E88" s="1593"/>
      <c r="F88" s="1593"/>
      <c r="G88" s="1593"/>
      <c r="H88" s="1593"/>
      <c r="I88" s="1593"/>
      <c r="J88" s="1593"/>
      <c r="K88" s="1593"/>
      <c r="L88" s="1593"/>
      <c r="M88" s="1593"/>
      <c r="N88" s="1593"/>
      <c r="O88" s="1593"/>
      <c r="P88" s="1593"/>
      <c r="Q88" s="1593"/>
      <c r="R88" s="1593"/>
      <c r="S88" s="1593"/>
    </row>
    <row r="89" spans="1:19" x14ac:dyDescent="0.2">
      <c r="A89" s="1593"/>
      <c r="B89" s="1593"/>
      <c r="C89" s="1593"/>
      <c r="D89" s="1593"/>
      <c r="E89" s="1593"/>
      <c r="F89" s="1593"/>
      <c r="G89" s="1593"/>
      <c r="H89" s="1593"/>
      <c r="I89" s="1593"/>
      <c r="J89" s="1593"/>
      <c r="K89" s="1593"/>
      <c r="L89" s="1593"/>
      <c r="M89" s="1593"/>
      <c r="N89" s="1593"/>
      <c r="O89" s="1593"/>
      <c r="P89" s="1593"/>
      <c r="Q89" s="1593"/>
      <c r="R89" s="1593"/>
      <c r="S89" s="1593"/>
    </row>
    <row r="90" spans="1:19" x14ac:dyDescent="0.2">
      <c r="A90" s="1593"/>
      <c r="B90" s="1593"/>
      <c r="C90" s="1593"/>
      <c r="D90" s="1593"/>
      <c r="E90" s="1593"/>
      <c r="F90" s="1593"/>
      <c r="G90" s="1593"/>
      <c r="H90" s="1593"/>
      <c r="I90" s="1593"/>
      <c r="J90" s="1593"/>
      <c r="K90" s="1593"/>
      <c r="L90" s="1593"/>
      <c r="M90" s="1593"/>
      <c r="N90" s="1593"/>
      <c r="O90" s="1593"/>
      <c r="P90" s="1593"/>
      <c r="Q90" s="1593"/>
      <c r="R90" s="1593"/>
      <c r="S90" s="1593"/>
    </row>
    <row r="91" spans="1:19" x14ac:dyDescent="0.2">
      <c r="A91" s="1593"/>
      <c r="B91" s="1593"/>
      <c r="C91" s="1593"/>
      <c r="D91" s="1593"/>
      <c r="E91" s="1593"/>
      <c r="F91" s="1593"/>
      <c r="G91" s="1593"/>
      <c r="H91" s="1593"/>
      <c r="I91" s="1593"/>
      <c r="J91" s="1593"/>
      <c r="K91" s="1593"/>
      <c r="L91" s="1593"/>
      <c r="M91" s="1593"/>
      <c r="N91" s="1593"/>
      <c r="O91" s="1593"/>
      <c r="P91" s="1593"/>
      <c r="Q91" s="1593"/>
      <c r="R91" s="1593"/>
      <c r="S91" s="1593"/>
    </row>
    <row r="92" spans="1:19" x14ac:dyDescent="0.2">
      <c r="A92" s="1593"/>
      <c r="B92" s="1593"/>
      <c r="C92" s="1593"/>
      <c r="D92" s="1593"/>
      <c r="E92" s="1593"/>
      <c r="F92" s="1593"/>
      <c r="G92" s="1593"/>
      <c r="H92" s="1593"/>
      <c r="I92" s="1593"/>
      <c r="J92" s="1593"/>
      <c r="K92" s="1593"/>
      <c r="L92" s="1593"/>
      <c r="M92" s="1593"/>
      <c r="N92" s="1593"/>
      <c r="O92" s="1593"/>
      <c r="P92" s="1593"/>
      <c r="Q92" s="1593"/>
      <c r="R92" s="1593"/>
      <c r="S92" s="1593"/>
    </row>
    <row r="93" spans="1:19" x14ac:dyDescent="0.2">
      <c r="A93" s="1602"/>
      <c r="B93" s="1602"/>
      <c r="C93" s="1602"/>
      <c r="D93" s="1602"/>
      <c r="E93" s="1602"/>
      <c r="F93" s="1602"/>
      <c r="G93" s="1602"/>
      <c r="H93" s="1602"/>
      <c r="I93" s="1602"/>
      <c r="J93" s="1602"/>
      <c r="K93" s="1602"/>
      <c r="L93" s="1593"/>
      <c r="M93" s="1593"/>
      <c r="N93" s="1593"/>
      <c r="O93" s="1593"/>
      <c r="P93" s="1593"/>
      <c r="Q93" s="1593"/>
      <c r="R93" s="1593"/>
      <c r="S93" s="1593"/>
    </row>
    <row r="94" spans="1:19" x14ac:dyDescent="0.2">
      <c r="A94" s="1602"/>
      <c r="B94" s="1602"/>
      <c r="C94" s="1602"/>
      <c r="D94" s="1602"/>
      <c r="E94" s="1602"/>
      <c r="F94" s="1602"/>
      <c r="G94" s="1602"/>
      <c r="H94" s="1602"/>
      <c r="I94" s="1602"/>
      <c r="J94" s="1602"/>
      <c r="K94" s="1602"/>
      <c r="L94" s="1593"/>
      <c r="M94" s="1593"/>
      <c r="N94" s="1593"/>
      <c r="O94" s="1593"/>
      <c r="P94" s="1593"/>
      <c r="Q94" s="1593"/>
      <c r="R94" s="1593"/>
      <c r="S94" s="1593"/>
    </row>
    <row r="95" spans="1:19" x14ac:dyDescent="0.2">
      <c r="A95" s="1593"/>
      <c r="B95" s="1593"/>
      <c r="C95" s="1593"/>
      <c r="D95" s="1593"/>
      <c r="E95" s="1593"/>
      <c r="F95" s="1593"/>
      <c r="G95" s="1593"/>
      <c r="H95" s="1593"/>
      <c r="I95" s="1593"/>
      <c r="J95" s="1593"/>
      <c r="K95" s="1593"/>
      <c r="L95" s="1593"/>
      <c r="M95" s="1593"/>
      <c r="N95" s="1593"/>
      <c r="O95" s="1593"/>
      <c r="P95" s="1593"/>
      <c r="Q95" s="1593"/>
      <c r="R95" s="1593"/>
      <c r="S95" s="1593"/>
    </row>
    <row r="96" spans="1:19" x14ac:dyDescent="0.2">
      <c r="L96" s="1593"/>
      <c r="M96" s="1593"/>
      <c r="N96" s="1593"/>
      <c r="O96" s="1593"/>
      <c r="P96" s="1593"/>
      <c r="Q96" s="1593"/>
      <c r="R96" s="1593"/>
      <c r="S96" s="1593"/>
    </row>
    <row r="97" spans="1:19" x14ac:dyDescent="0.2">
      <c r="A97" s="1593"/>
      <c r="B97" s="1593"/>
      <c r="C97" s="1593"/>
      <c r="D97" s="1593"/>
      <c r="E97" s="1593"/>
      <c r="F97" s="1593"/>
      <c r="G97" s="1593"/>
      <c r="H97" s="1593"/>
      <c r="I97" s="1593"/>
      <c r="J97" s="1593"/>
      <c r="K97" s="1593"/>
      <c r="L97" s="1593"/>
      <c r="M97" s="1593"/>
      <c r="N97" s="1593"/>
      <c r="O97" s="1593"/>
      <c r="P97" s="1593"/>
      <c r="Q97" s="1593"/>
      <c r="R97" s="1593"/>
      <c r="S97" s="1593"/>
    </row>
    <row r="98" spans="1:19" x14ac:dyDescent="0.2">
      <c r="A98" s="1593"/>
      <c r="B98" s="1593"/>
      <c r="C98" s="1593"/>
      <c r="D98" s="1593"/>
      <c r="E98" s="1593"/>
      <c r="F98" s="1593"/>
      <c r="G98" s="1593"/>
      <c r="H98" s="1593"/>
      <c r="I98" s="1593"/>
      <c r="J98" s="1593"/>
      <c r="K98" s="1593"/>
      <c r="L98" s="1593"/>
      <c r="M98" s="1593"/>
      <c r="N98" s="1593"/>
      <c r="O98" s="1593"/>
      <c r="P98" s="1593"/>
      <c r="Q98" s="1593"/>
      <c r="R98" s="1593"/>
      <c r="S98" s="1593"/>
    </row>
    <row r="99" spans="1:19" x14ac:dyDescent="0.2">
      <c r="A99" s="1593"/>
      <c r="B99" s="1593"/>
      <c r="C99" s="1593"/>
      <c r="D99" s="1593"/>
      <c r="E99" s="1593"/>
      <c r="F99" s="1593"/>
      <c r="G99" s="1593"/>
      <c r="H99" s="1593"/>
      <c r="I99" s="1593"/>
      <c r="J99" s="1593"/>
      <c r="K99" s="1593"/>
      <c r="L99" s="1593"/>
      <c r="M99" s="1593"/>
      <c r="N99" s="1593"/>
      <c r="O99" s="1593"/>
      <c r="P99" s="1593"/>
      <c r="Q99" s="1593"/>
      <c r="R99" s="1593"/>
      <c r="S99" s="1593"/>
    </row>
    <row r="100" spans="1:19" x14ac:dyDescent="0.2">
      <c r="A100" s="1593"/>
      <c r="B100" s="1593"/>
      <c r="C100" s="1593"/>
      <c r="D100" s="1593"/>
      <c r="E100" s="1593"/>
      <c r="F100" s="1593"/>
      <c r="G100" s="1593"/>
      <c r="H100" s="1593"/>
      <c r="I100" s="1593"/>
      <c r="J100" s="1593"/>
      <c r="K100" s="1593"/>
      <c r="L100" s="1593"/>
      <c r="M100" s="1593"/>
      <c r="N100" s="1593"/>
      <c r="O100" s="1593"/>
      <c r="P100" s="1593"/>
      <c r="Q100" s="1593"/>
      <c r="R100" s="1593"/>
      <c r="S100" s="1593"/>
    </row>
    <row r="101" spans="1:19" x14ac:dyDescent="0.2">
      <c r="A101" s="1593"/>
      <c r="B101" s="1593"/>
      <c r="C101" s="1593"/>
      <c r="D101" s="1593"/>
      <c r="E101" s="1593"/>
      <c r="F101" s="1593"/>
      <c r="G101" s="1593"/>
      <c r="H101" s="1593"/>
      <c r="I101" s="1593"/>
      <c r="J101" s="1593"/>
      <c r="K101" s="1593"/>
      <c r="L101" s="1593"/>
      <c r="M101" s="1593"/>
      <c r="N101" s="1593"/>
      <c r="O101" s="1593"/>
      <c r="P101" s="1593"/>
      <c r="Q101" s="1593"/>
      <c r="R101" s="1593"/>
      <c r="S101" s="1593"/>
    </row>
    <row r="102" spans="1:19" x14ac:dyDescent="0.2">
      <c r="A102" s="1593"/>
      <c r="B102" s="1593"/>
      <c r="C102" s="1593"/>
      <c r="D102" s="1593"/>
      <c r="E102" s="1593"/>
      <c r="F102" s="1593"/>
      <c r="G102" s="1593"/>
      <c r="H102" s="1593"/>
      <c r="I102" s="1593"/>
      <c r="J102" s="1593"/>
      <c r="K102" s="1593"/>
      <c r="L102" s="1593"/>
      <c r="M102" s="1593"/>
      <c r="N102" s="1593"/>
      <c r="O102" s="1593"/>
      <c r="P102" s="1593"/>
      <c r="Q102" s="1593"/>
      <c r="R102" s="1593"/>
      <c r="S102" s="1593"/>
    </row>
    <row r="103" spans="1:19" x14ac:dyDescent="0.2">
      <c r="A103" s="1593"/>
      <c r="B103" s="1593"/>
      <c r="C103" s="1593"/>
      <c r="D103" s="1593"/>
      <c r="E103" s="1593"/>
      <c r="F103" s="1593"/>
      <c r="G103" s="1593"/>
      <c r="H103" s="1593"/>
      <c r="I103" s="1593"/>
      <c r="J103" s="1593"/>
      <c r="K103" s="1593"/>
      <c r="L103" s="1593"/>
      <c r="M103" s="1593"/>
      <c r="N103" s="1593"/>
      <c r="O103" s="1593"/>
      <c r="P103" s="1593"/>
      <c r="Q103" s="1593"/>
      <c r="R103" s="1593"/>
      <c r="S103" s="1593"/>
    </row>
    <row r="104" spans="1:19" x14ac:dyDescent="0.2">
      <c r="A104" s="1593"/>
      <c r="B104" s="1593"/>
      <c r="C104" s="1593"/>
      <c r="D104" s="1593"/>
      <c r="E104" s="1593"/>
      <c r="F104" s="1593"/>
      <c r="G104" s="1593"/>
      <c r="H104" s="1593"/>
      <c r="I104" s="1593"/>
      <c r="J104" s="1593"/>
      <c r="K104" s="1593"/>
      <c r="L104" s="1593"/>
      <c r="M104" s="1593"/>
      <c r="N104" s="1593"/>
      <c r="O104" s="1593"/>
      <c r="P104" s="1593"/>
      <c r="Q104" s="1593"/>
      <c r="R104" s="1593"/>
      <c r="S104" s="1593"/>
    </row>
    <row r="105" spans="1:19" x14ac:dyDescent="0.2">
      <c r="A105" s="1593"/>
      <c r="B105" s="1593"/>
      <c r="C105" s="1593"/>
      <c r="D105" s="1593"/>
      <c r="E105" s="1593"/>
      <c r="F105" s="1593"/>
      <c r="G105" s="1593"/>
      <c r="H105" s="1593"/>
      <c r="I105" s="1593"/>
      <c r="J105" s="1593"/>
      <c r="K105" s="1593"/>
      <c r="L105" s="1593"/>
      <c r="M105" s="1593"/>
      <c r="N105" s="1593"/>
      <c r="O105" s="1593"/>
      <c r="P105" s="1593"/>
      <c r="Q105" s="1593"/>
      <c r="R105" s="1593"/>
      <c r="S105" s="1593"/>
    </row>
    <row r="106" spans="1:19" x14ac:dyDescent="0.2">
      <c r="A106" s="1593"/>
      <c r="B106" s="1593"/>
      <c r="C106" s="1593"/>
      <c r="D106" s="1593"/>
      <c r="E106" s="1593"/>
      <c r="F106" s="1593"/>
      <c r="G106" s="1593"/>
      <c r="H106" s="1593"/>
      <c r="I106" s="1593"/>
      <c r="J106" s="1593"/>
      <c r="K106" s="1593"/>
      <c r="L106" s="1593"/>
      <c r="M106" s="1593"/>
      <c r="N106" s="1593"/>
      <c r="O106" s="1593"/>
      <c r="P106" s="1593"/>
      <c r="Q106" s="1593"/>
      <c r="R106" s="1593"/>
      <c r="S106" s="1593"/>
    </row>
    <row r="107" spans="1:19" x14ac:dyDescent="0.2">
      <c r="A107" s="1593"/>
      <c r="B107" s="1593"/>
      <c r="C107" s="1593"/>
      <c r="D107" s="1593"/>
      <c r="E107" s="1593"/>
      <c r="F107" s="1593"/>
      <c r="G107" s="1593"/>
      <c r="H107" s="1593"/>
      <c r="I107" s="1593"/>
      <c r="J107" s="1593"/>
      <c r="K107" s="1593"/>
      <c r="L107" s="1593"/>
      <c r="M107" s="1593"/>
      <c r="N107" s="1593"/>
      <c r="O107" s="1593"/>
      <c r="P107" s="1593"/>
      <c r="Q107" s="1593"/>
      <c r="R107" s="1593"/>
      <c r="S107" s="1593"/>
    </row>
    <row r="108" spans="1:19" x14ac:dyDescent="0.2">
      <c r="A108" s="1593"/>
      <c r="B108" s="1593"/>
      <c r="C108" s="1593"/>
      <c r="D108" s="1593"/>
      <c r="E108" s="1593"/>
      <c r="F108" s="1593"/>
      <c r="G108" s="1593"/>
      <c r="H108" s="1593"/>
      <c r="I108" s="1593"/>
      <c r="J108" s="1593"/>
      <c r="K108" s="1593"/>
      <c r="L108" s="1593"/>
      <c r="M108" s="1593"/>
      <c r="N108" s="1593"/>
      <c r="O108" s="1593"/>
      <c r="P108" s="1593"/>
      <c r="Q108" s="1593"/>
      <c r="R108" s="1593"/>
      <c r="S108" s="1593"/>
    </row>
    <row r="109" spans="1:19" x14ac:dyDescent="0.2">
      <c r="A109" s="1593"/>
      <c r="B109" s="1593"/>
      <c r="C109" s="1593"/>
      <c r="D109" s="1593"/>
      <c r="E109" s="1593"/>
      <c r="F109" s="1593"/>
      <c r="G109" s="1593"/>
      <c r="H109" s="1593"/>
      <c r="I109" s="1593"/>
      <c r="J109" s="1593"/>
      <c r="K109" s="1593"/>
      <c r="L109" s="1593"/>
      <c r="M109" s="1593"/>
      <c r="N109" s="1593"/>
      <c r="O109" s="1593"/>
      <c r="P109" s="1593"/>
      <c r="Q109" s="1593"/>
      <c r="R109" s="1593"/>
      <c r="S109" s="1593"/>
    </row>
    <row r="110" spans="1:19" x14ac:dyDescent="0.2">
      <c r="A110" s="1593"/>
      <c r="B110" s="1593"/>
      <c r="C110" s="1593"/>
      <c r="D110" s="1593"/>
      <c r="E110" s="1593"/>
      <c r="F110" s="1593"/>
      <c r="G110" s="1593"/>
      <c r="H110" s="1593"/>
      <c r="I110" s="1593"/>
      <c r="J110" s="1593"/>
      <c r="K110" s="1593"/>
      <c r="L110" s="1593"/>
      <c r="M110" s="1593"/>
      <c r="N110" s="1593"/>
      <c r="O110" s="1593"/>
      <c r="P110" s="1593"/>
      <c r="Q110" s="1593"/>
      <c r="R110" s="1593"/>
      <c r="S110" s="1593"/>
    </row>
    <row r="111" spans="1:19" x14ac:dyDescent="0.2">
      <c r="A111" s="1593"/>
      <c r="B111" s="1593"/>
      <c r="C111" s="1593"/>
      <c r="D111" s="1593"/>
      <c r="E111" s="1593"/>
      <c r="F111" s="1593"/>
      <c r="G111" s="1593"/>
      <c r="H111" s="1593"/>
      <c r="I111" s="1593"/>
      <c r="J111" s="1593"/>
      <c r="K111" s="1593"/>
      <c r="L111" s="1593"/>
      <c r="M111" s="1593"/>
      <c r="N111" s="1593"/>
      <c r="O111" s="1593"/>
      <c r="P111" s="1593"/>
      <c r="Q111" s="1593"/>
      <c r="R111" s="1593"/>
      <c r="S111" s="1593"/>
    </row>
    <row r="112" spans="1:19" x14ac:dyDescent="0.2">
      <c r="A112" s="1593"/>
      <c r="B112" s="1593"/>
      <c r="C112" s="1593"/>
      <c r="D112" s="1593"/>
      <c r="E112" s="1593"/>
      <c r="F112" s="1593"/>
      <c r="G112" s="1593"/>
      <c r="H112" s="1593"/>
      <c r="I112" s="1593"/>
      <c r="J112" s="1593"/>
      <c r="K112" s="1593"/>
      <c r="L112" s="1593"/>
      <c r="M112" s="1593"/>
      <c r="N112" s="1593"/>
      <c r="O112" s="1593"/>
      <c r="P112" s="1593"/>
      <c r="Q112" s="1593"/>
      <c r="R112" s="1593"/>
      <c r="S112" s="1593"/>
    </row>
    <row r="113" spans="1:19" x14ac:dyDescent="0.2">
      <c r="A113" s="1593"/>
      <c r="B113" s="1593"/>
      <c r="C113" s="1593"/>
      <c r="D113" s="1593"/>
      <c r="E113" s="1593"/>
      <c r="F113" s="1593"/>
      <c r="G113" s="1593"/>
      <c r="H113" s="1593"/>
      <c r="I113" s="1593"/>
      <c r="J113" s="1593"/>
      <c r="K113" s="1593"/>
      <c r="L113" s="1593"/>
      <c r="M113" s="1593"/>
      <c r="N113" s="1593"/>
      <c r="O113" s="1593"/>
      <c r="P113" s="1593"/>
      <c r="Q113" s="1593"/>
      <c r="R113" s="1593"/>
      <c r="S113" s="1593"/>
    </row>
    <row r="114" spans="1:19" x14ac:dyDescent="0.2">
      <c r="A114" s="1593"/>
      <c r="B114" s="1593"/>
      <c r="C114" s="1593"/>
      <c r="D114" s="1593"/>
      <c r="E114" s="1593"/>
      <c r="F114" s="1593"/>
      <c r="G114" s="1593"/>
      <c r="H114" s="1593"/>
      <c r="I114" s="1593"/>
      <c r="J114" s="1593"/>
      <c r="K114" s="1593"/>
      <c r="L114" s="1593"/>
      <c r="M114" s="1593"/>
      <c r="N114" s="1593"/>
      <c r="O114" s="1593"/>
      <c r="P114" s="1593"/>
      <c r="Q114" s="1593"/>
      <c r="R114" s="1593"/>
      <c r="S114" s="1593"/>
    </row>
    <row r="115" spans="1:19" x14ac:dyDescent="0.2">
      <c r="A115" s="1593"/>
      <c r="B115" s="1593"/>
      <c r="C115" s="1593"/>
      <c r="D115" s="1593"/>
      <c r="E115" s="1593"/>
      <c r="F115" s="1593"/>
      <c r="G115" s="1593"/>
      <c r="H115" s="1593"/>
      <c r="I115" s="1593"/>
      <c r="J115" s="1593"/>
      <c r="K115" s="1593"/>
      <c r="L115" s="1593"/>
      <c r="M115" s="1593"/>
      <c r="N115" s="1593"/>
      <c r="O115" s="1593"/>
      <c r="P115" s="1593"/>
      <c r="Q115" s="1593"/>
      <c r="R115" s="1593"/>
      <c r="S115" s="1593"/>
    </row>
    <row r="116" spans="1:19" x14ac:dyDescent="0.2">
      <c r="A116" s="1593"/>
      <c r="B116" s="1593"/>
      <c r="C116" s="1593"/>
      <c r="D116" s="1593"/>
      <c r="E116" s="1593"/>
      <c r="F116" s="1593"/>
      <c r="G116" s="1593"/>
      <c r="H116" s="1593"/>
      <c r="I116" s="1593"/>
      <c r="J116" s="1593"/>
      <c r="K116" s="1593"/>
      <c r="L116" s="1593"/>
      <c r="M116" s="1593"/>
      <c r="N116" s="1593"/>
      <c r="O116" s="1593"/>
      <c r="P116" s="1593"/>
      <c r="Q116" s="1593"/>
      <c r="R116" s="1593"/>
      <c r="S116" s="1593"/>
    </row>
    <row r="117" spans="1:19" x14ac:dyDescent="0.2">
      <c r="A117" s="1593"/>
      <c r="B117" s="1593"/>
      <c r="C117" s="1593"/>
      <c r="D117" s="1593"/>
      <c r="E117" s="1593"/>
      <c r="F117" s="1593"/>
      <c r="G117" s="1593"/>
      <c r="H117" s="1593"/>
      <c r="I117" s="1593"/>
      <c r="J117" s="1593"/>
      <c r="K117" s="1593"/>
      <c r="L117" s="1593"/>
      <c r="M117" s="1593"/>
      <c r="N117" s="1593"/>
      <c r="O117" s="1593"/>
      <c r="P117" s="1593"/>
      <c r="Q117" s="1593"/>
      <c r="R117" s="1593"/>
      <c r="S117" s="1593"/>
    </row>
    <row r="118" spans="1:19" x14ac:dyDescent="0.2">
      <c r="A118" s="1593"/>
      <c r="B118" s="1593"/>
      <c r="C118" s="1593"/>
      <c r="D118" s="1593"/>
      <c r="E118" s="1593"/>
      <c r="F118" s="1593"/>
      <c r="G118" s="1593"/>
      <c r="H118" s="1593"/>
      <c r="I118" s="1593"/>
      <c r="J118" s="1593"/>
      <c r="K118" s="1593"/>
      <c r="L118" s="1593"/>
      <c r="M118" s="1593"/>
      <c r="N118" s="1593"/>
      <c r="O118" s="1593"/>
      <c r="P118" s="1593"/>
      <c r="Q118" s="1593"/>
      <c r="R118" s="1593"/>
      <c r="S118" s="1593"/>
    </row>
    <row r="119" spans="1:19" x14ac:dyDescent="0.2">
      <c r="A119" s="1593"/>
      <c r="B119" s="1593"/>
      <c r="C119" s="1593"/>
      <c r="D119" s="1593"/>
      <c r="E119" s="1593"/>
      <c r="F119" s="1593"/>
      <c r="G119" s="1593"/>
      <c r="H119" s="1593"/>
      <c r="I119" s="1593"/>
      <c r="J119" s="1593"/>
      <c r="K119" s="1593"/>
      <c r="L119" s="1593"/>
      <c r="M119" s="1593"/>
      <c r="N119" s="1593"/>
      <c r="O119" s="1593"/>
      <c r="P119" s="1593"/>
      <c r="Q119" s="1593"/>
      <c r="R119" s="1593"/>
      <c r="S119" s="1593"/>
    </row>
    <row r="120" spans="1:19" x14ac:dyDescent="0.2">
      <c r="A120" s="1593"/>
      <c r="B120" s="1593"/>
      <c r="C120" s="1593"/>
      <c r="D120" s="1593"/>
      <c r="E120" s="1593"/>
      <c r="F120" s="1593"/>
      <c r="G120" s="1593"/>
      <c r="H120" s="1593"/>
      <c r="I120" s="1593"/>
      <c r="J120" s="1593"/>
      <c r="K120" s="1593"/>
      <c r="L120" s="1593"/>
      <c r="M120" s="1593"/>
      <c r="N120" s="1593"/>
      <c r="O120" s="1593"/>
      <c r="P120" s="1593"/>
      <c r="Q120" s="1593"/>
      <c r="R120" s="1593"/>
      <c r="S120" s="1593"/>
    </row>
    <row r="121" spans="1:19" x14ac:dyDescent="0.2">
      <c r="A121" s="1593"/>
      <c r="B121" s="1593"/>
      <c r="C121" s="1593"/>
      <c r="D121" s="1593"/>
      <c r="E121" s="1593"/>
      <c r="F121" s="1593"/>
      <c r="G121" s="1593"/>
      <c r="H121" s="1593"/>
      <c r="I121" s="1593"/>
      <c r="J121" s="1593"/>
      <c r="K121" s="1593"/>
      <c r="L121" s="1593"/>
      <c r="M121" s="1593"/>
      <c r="N121" s="1593"/>
      <c r="O121" s="1593"/>
      <c r="P121" s="1593"/>
      <c r="Q121" s="1593"/>
      <c r="R121" s="1593"/>
      <c r="S121" s="1593"/>
    </row>
    <row r="122" spans="1:19" x14ac:dyDescent="0.2">
      <c r="A122" s="1593"/>
      <c r="B122" s="1593"/>
      <c r="C122" s="1593"/>
      <c r="D122" s="1593"/>
      <c r="E122" s="1593"/>
      <c r="F122" s="1593"/>
      <c r="G122" s="1593"/>
      <c r="H122" s="1593"/>
      <c r="I122" s="1593"/>
      <c r="J122" s="1593"/>
      <c r="K122" s="1593"/>
      <c r="L122" s="1593"/>
      <c r="M122" s="1593"/>
      <c r="N122" s="1593"/>
      <c r="O122" s="1593"/>
      <c r="P122" s="1593"/>
      <c r="Q122" s="1593"/>
      <c r="R122" s="1593"/>
      <c r="S122" s="1593"/>
    </row>
    <row r="123" spans="1:19" x14ac:dyDescent="0.2">
      <c r="A123" s="1593"/>
      <c r="B123" s="1593"/>
      <c r="C123" s="1593"/>
      <c r="D123" s="1593"/>
      <c r="E123" s="1593"/>
      <c r="F123" s="1593"/>
      <c r="G123" s="1593"/>
      <c r="H123" s="1593"/>
      <c r="I123" s="1593"/>
      <c r="J123" s="1593"/>
      <c r="K123" s="1593"/>
      <c r="L123" s="1593"/>
      <c r="M123" s="1593"/>
      <c r="N123" s="1593"/>
      <c r="O123" s="1593"/>
      <c r="P123" s="1593"/>
      <c r="Q123" s="1593"/>
      <c r="R123" s="1593"/>
      <c r="S123" s="1593"/>
    </row>
    <row r="124" spans="1:19" x14ac:dyDescent="0.2">
      <c r="A124" s="1593"/>
      <c r="B124" s="1593"/>
      <c r="C124" s="1593"/>
      <c r="D124" s="1593"/>
      <c r="E124" s="1593"/>
      <c r="F124" s="1593"/>
      <c r="G124" s="1593"/>
      <c r="H124" s="1593"/>
      <c r="I124" s="1593"/>
      <c r="J124" s="1593"/>
      <c r="K124" s="1593"/>
      <c r="L124" s="1593"/>
      <c r="M124" s="1593"/>
      <c r="N124" s="1593"/>
      <c r="O124" s="1593"/>
      <c r="P124" s="1593"/>
      <c r="Q124" s="1593"/>
      <c r="R124" s="1593"/>
      <c r="S124" s="1593"/>
    </row>
    <row r="125" spans="1:19" x14ac:dyDescent="0.2">
      <c r="A125" s="1593"/>
      <c r="B125" s="1593"/>
      <c r="C125" s="1593"/>
      <c r="D125" s="1593"/>
      <c r="E125" s="1593"/>
      <c r="F125" s="1593"/>
      <c r="G125" s="1593"/>
      <c r="H125" s="1593"/>
      <c r="I125" s="1593"/>
      <c r="J125" s="1593"/>
      <c r="K125" s="1593"/>
      <c r="L125" s="1593"/>
      <c r="M125" s="1593"/>
      <c r="N125" s="1593"/>
      <c r="O125" s="1593"/>
      <c r="P125" s="1593"/>
      <c r="Q125" s="1593"/>
      <c r="R125" s="1593"/>
      <c r="S125" s="1593"/>
    </row>
    <row r="126" spans="1:19" x14ac:dyDescent="0.2">
      <c r="A126" s="1593"/>
      <c r="B126" s="1593"/>
      <c r="C126" s="1593"/>
      <c r="D126" s="1593"/>
      <c r="E126" s="1593"/>
      <c r="F126" s="1593"/>
      <c r="G126" s="1593"/>
      <c r="H126" s="1593"/>
      <c r="I126" s="1593"/>
      <c r="J126" s="1593"/>
      <c r="K126" s="1593"/>
      <c r="L126" s="1593"/>
      <c r="M126" s="1593"/>
      <c r="N126" s="1593"/>
      <c r="O126" s="1593"/>
      <c r="P126" s="1593"/>
      <c r="Q126" s="1593"/>
      <c r="R126" s="1593"/>
      <c r="S126" s="1593"/>
    </row>
    <row r="127" spans="1:19" x14ac:dyDescent="0.2">
      <c r="A127" s="1593"/>
      <c r="B127" s="1593"/>
      <c r="C127" s="1593"/>
      <c r="D127" s="1593"/>
      <c r="E127" s="1593"/>
      <c r="F127" s="1593"/>
      <c r="G127" s="1593"/>
      <c r="H127" s="1593"/>
      <c r="I127" s="1593"/>
      <c r="J127" s="1593"/>
      <c r="K127" s="1593"/>
      <c r="L127" s="1593"/>
      <c r="M127" s="1593"/>
      <c r="N127" s="1593"/>
      <c r="O127" s="1593"/>
      <c r="P127" s="1593"/>
      <c r="Q127" s="1593"/>
      <c r="R127" s="1593"/>
      <c r="S127" s="1593"/>
    </row>
    <row r="128" spans="1:19" x14ac:dyDescent="0.2">
      <c r="A128" s="1593"/>
      <c r="B128" s="1593"/>
      <c r="C128" s="1593"/>
      <c r="D128" s="1593"/>
      <c r="E128" s="1593"/>
      <c r="F128" s="1593"/>
      <c r="G128" s="1593"/>
      <c r="H128" s="1593"/>
      <c r="I128" s="1593"/>
      <c r="J128" s="1593"/>
      <c r="K128" s="1593"/>
      <c r="L128" s="1593"/>
      <c r="M128" s="1593"/>
      <c r="N128" s="1593"/>
      <c r="O128" s="1593"/>
      <c r="P128" s="1593"/>
      <c r="Q128" s="1593"/>
      <c r="R128" s="1593"/>
      <c r="S128" s="1593"/>
    </row>
    <row r="129" spans="1:19" x14ac:dyDescent="0.2">
      <c r="A129" s="1593"/>
      <c r="B129" s="1593"/>
      <c r="C129" s="1593"/>
      <c r="D129" s="1593"/>
      <c r="E129" s="1593"/>
      <c r="F129" s="1593"/>
      <c r="G129" s="1593"/>
      <c r="H129" s="1593"/>
      <c r="I129" s="1593"/>
      <c r="J129" s="1593"/>
      <c r="K129" s="1593"/>
      <c r="L129" s="1593"/>
      <c r="M129" s="1593"/>
      <c r="N129" s="1593"/>
      <c r="O129" s="1593"/>
      <c r="P129" s="1593"/>
      <c r="Q129" s="1593"/>
      <c r="R129" s="1593"/>
      <c r="S129" s="1593"/>
    </row>
  </sheetData>
  <sheetProtection password="F8BD" sheet="1" objects="1" scenarios="1"/>
  <mergeCells count="127">
    <mergeCell ref="A104:K104"/>
    <mergeCell ref="L104:S104"/>
    <mergeCell ref="A99:K99"/>
    <mergeCell ref="L99:S99"/>
    <mergeCell ref="A100:K100"/>
    <mergeCell ref="L100:S100"/>
    <mergeCell ref="A101:K101"/>
    <mergeCell ref="L101:S101"/>
    <mergeCell ref="A102:K102"/>
    <mergeCell ref="L102:S102"/>
    <mergeCell ref="A103:K103"/>
    <mergeCell ref="A108:K108"/>
    <mergeCell ref="L108:S108"/>
    <mergeCell ref="A109:K109"/>
    <mergeCell ref="L109:S109"/>
    <mergeCell ref="A110:K110"/>
    <mergeCell ref="L110:S110"/>
    <mergeCell ref="A105:K105"/>
    <mergeCell ref="L105:S105"/>
    <mergeCell ref="A106:K106"/>
    <mergeCell ref="L106:S106"/>
    <mergeCell ref="A107:K107"/>
    <mergeCell ref="L107:S107"/>
    <mergeCell ref="A116:K116"/>
    <mergeCell ref="L116:S116"/>
    <mergeCell ref="A111:K111"/>
    <mergeCell ref="L111:S111"/>
    <mergeCell ref="A112:K112"/>
    <mergeCell ref="L112:S112"/>
    <mergeCell ref="A113:K113"/>
    <mergeCell ref="L113:S113"/>
    <mergeCell ref="A120:K120"/>
    <mergeCell ref="L120:S120"/>
    <mergeCell ref="A114:K114"/>
    <mergeCell ref="L114:S114"/>
    <mergeCell ref="A115:K115"/>
    <mergeCell ref="L115:S115"/>
    <mergeCell ref="A121:K121"/>
    <mergeCell ref="L121:S121"/>
    <mergeCell ref="A122:K122"/>
    <mergeCell ref="L122:S122"/>
    <mergeCell ref="A117:K117"/>
    <mergeCell ref="L117:S117"/>
    <mergeCell ref="A118:K118"/>
    <mergeCell ref="L118:S118"/>
    <mergeCell ref="A119:K119"/>
    <mergeCell ref="L119:S119"/>
    <mergeCell ref="A129:K129"/>
    <mergeCell ref="L129:S129"/>
    <mergeCell ref="A126:K126"/>
    <mergeCell ref="L126:S126"/>
    <mergeCell ref="A127:K127"/>
    <mergeCell ref="L127:S127"/>
    <mergeCell ref="A128:K128"/>
    <mergeCell ref="L128:S128"/>
    <mergeCell ref="A123:K123"/>
    <mergeCell ref="L123:S123"/>
    <mergeCell ref="A124:K124"/>
    <mergeCell ref="L124:S124"/>
    <mergeCell ref="A125:K125"/>
    <mergeCell ref="L125:S125"/>
    <mergeCell ref="L96:S96"/>
    <mergeCell ref="A97:K97"/>
    <mergeCell ref="L97:S97"/>
    <mergeCell ref="A98:K98"/>
    <mergeCell ref="L98:S98"/>
    <mergeCell ref="L94:S94"/>
    <mergeCell ref="A95:K95"/>
    <mergeCell ref="L95:S95"/>
    <mergeCell ref="L103:S103"/>
    <mergeCell ref="A92:K92"/>
    <mergeCell ref="L92:S92"/>
    <mergeCell ref="A94:K94"/>
    <mergeCell ref="L85:S85"/>
    <mergeCell ref="A93:K93"/>
    <mergeCell ref="L93:S93"/>
    <mergeCell ref="A91:K91"/>
    <mergeCell ref="L91:S91"/>
    <mergeCell ref="A89:K89"/>
    <mergeCell ref="L89:S89"/>
    <mergeCell ref="A90:K90"/>
    <mergeCell ref="L90:S90"/>
    <mergeCell ref="A76:K76"/>
    <mergeCell ref="L76:S76"/>
    <mergeCell ref="A77:K77"/>
    <mergeCell ref="L77:S77"/>
    <mergeCell ref="A86:K86"/>
    <mergeCell ref="L86:S86"/>
    <mergeCell ref="A87:K87"/>
    <mergeCell ref="L87:S87"/>
    <mergeCell ref="A88:K88"/>
    <mergeCell ref="L78:S78"/>
    <mergeCell ref="A78:K78"/>
    <mergeCell ref="L79:S79"/>
    <mergeCell ref="A80:K80"/>
    <mergeCell ref="L80:S80"/>
    <mergeCell ref="A81:K81"/>
    <mergeCell ref="L81:S81"/>
    <mergeCell ref="A82:K82"/>
    <mergeCell ref="L82:S82"/>
    <mergeCell ref="L88:S88"/>
    <mergeCell ref="A83:K83"/>
    <mergeCell ref="L83:S83"/>
    <mergeCell ref="A84:K84"/>
    <mergeCell ref="L84:S84"/>
    <mergeCell ref="A85:K85"/>
    <mergeCell ref="A64:M65"/>
    <mergeCell ref="A73:M73"/>
    <mergeCell ref="A1:K1"/>
    <mergeCell ref="A2:K2"/>
    <mergeCell ref="A6:K6"/>
    <mergeCell ref="A32:K34"/>
    <mergeCell ref="L32:S34"/>
    <mergeCell ref="A40:K42"/>
    <mergeCell ref="L40:S42"/>
    <mergeCell ref="A26:K28"/>
    <mergeCell ref="A11:A17"/>
    <mergeCell ref="E9:F9"/>
    <mergeCell ref="A19:J19"/>
    <mergeCell ref="A20:I20"/>
    <mergeCell ref="B49:M51"/>
    <mergeCell ref="B53:M54"/>
    <mergeCell ref="A21:I21"/>
    <mergeCell ref="B52:M52"/>
    <mergeCell ref="B59:M59"/>
    <mergeCell ref="B60:M60"/>
    <mergeCell ref="B63:L63"/>
  </mergeCells>
  <pageMargins left="0.7" right="0.7" top="0.75" bottom="0.75" header="0.3" footer="0.3"/>
  <pageSetup scale="63" fitToHeight="0" orientation="landscape" horizontalDpi="200" verticalDpi="200" r:id="rId1"/>
  <rowBreaks count="1" manualBreakCount="1">
    <brk id="45" max="15" man="1"/>
  </rowBreaks>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6">
    <tabColor rgb="FF00B0F0"/>
  </sheetPr>
  <dimension ref="A1:N418"/>
  <sheetViews>
    <sheetView showGridLines="0" zoomScale="95" zoomScaleNormal="95" zoomScaleSheetLayoutView="85" workbookViewId="0">
      <selection activeCell="A9" sqref="A9:M9"/>
    </sheetView>
  </sheetViews>
  <sheetFormatPr defaultRowHeight="12.75" x14ac:dyDescent="0.2"/>
  <cols>
    <col min="1" max="1" width="7.7109375" style="1070" customWidth="1"/>
    <col min="2" max="2" width="10.140625" style="1070" customWidth="1"/>
    <col min="3" max="3" width="37.85546875" style="52" customWidth="1"/>
    <col min="4" max="4" width="14.42578125" style="52" customWidth="1"/>
    <col min="5" max="5" width="13" style="52" customWidth="1"/>
    <col min="6" max="6" width="11.7109375" style="52" customWidth="1"/>
    <col min="7" max="7" width="13.5703125" style="52" customWidth="1"/>
    <col min="8" max="8" width="1.7109375" style="159" customWidth="1"/>
    <col min="9" max="9" width="14.28515625" style="52" customWidth="1"/>
    <col min="10" max="10" width="13.42578125" style="52" customWidth="1"/>
    <col min="11" max="11" width="11.85546875" style="52" customWidth="1"/>
    <col min="12" max="12" width="14.5703125" style="52" bestFit="1" customWidth="1"/>
    <col min="13" max="13" width="14.140625" style="52" bestFit="1" customWidth="1"/>
    <col min="14" max="14" width="10.28515625" style="52" bestFit="1" customWidth="1"/>
    <col min="15" max="16384" width="9.140625" style="52"/>
  </cols>
  <sheetData>
    <row r="1" spans="1:13" x14ac:dyDescent="0.2">
      <c r="L1" s="152" t="s">
        <v>301</v>
      </c>
      <c r="M1" s="61" t="str">
        <f>EBNUMBER</f>
        <v>EB-2016-0066</v>
      </c>
    </row>
    <row r="2" spans="1:13" x14ac:dyDescent="0.2">
      <c r="L2" s="152" t="s">
        <v>302</v>
      </c>
      <c r="M2" s="51"/>
    </row>
    <row r="3" spans="1:13" x14ac:dyDescent="0.2">
      <c r="L3" s="152" t="s">
        <v>303</v>
      </c>
      <c r="M3" s="51"/>
    </row>
    <row r="4" spans="1:13" x14ac:dyDescent="0.2">
      <c r="L4" s="152" t="s">
        <v>304</v>
      </c>
      <c r="M4" s="51"/>
    </row>
    <row r="5" spans="1:13" x14ac:dyDescent="0.2">
      <c r="L5" s="152" t="s">
        <v>305</v>
      </c>
      <c r="M5" s="1093"/>
    </row>
    <row r="6" spans="1:13" ht="9" customHeight="1" x14ac:dyDescent="0.2">
      <c r="L6" s="152"/>
      <c r="M6" s="1092"/>
    </row>
    <row r="7" spans="1:13" x14ac:dyDescent="0.2">
      <c r="L7" s="152" t="s">
        <v>306</v>
      </c>
      <c r="M7" s="1093"/>
    </row>
    <row r="8" spans="1:13" ht="9" customHeight="1" x14ac:dyDescent="0.2"/>
    <row r="9" spans="1:13" ht="20.25" customHeight="1" x14ac:dyDescent="0.2">
      <c r="A9" s="1609" t="s">
        <v>489</v>
      </c>
      <c r="B9" s="1609"/>
      <c r="C9" s="1609"/>
      <c r="D9" s="1609"/>
      <c r="E9" s="1609"/>
      <c r="F9" s="1609"/>
      <c r="G9" s="1609"/>
      <c r="H9" s="1609"/>
      <c r="I9" s="1609"/>
      <c r="J9" s="1609"/>
      <c r="K9" s="1609"/>
      <c r="L9" s="1609"/>
      <c r="M9" s="1609"/>
    </row>
    <row r="10" spans="1:13" ht="21" x14ac:dyDescent="0.2">
      <c r="A10" s="1609" t="s">
        <v>999</v>
      </c>
      <c r="B10" s="1609"/>
      <c r="C10" s="1609"/>
      <c r="D10" s="1609"/>
      <c r="E10" s="1609"/>
      <c r="F10" s="1609"/>
      <c r="G10" s="1609"/>
      <c r="H10" s="1609"/>
      <c r="I10" s="1609"/>
      <c r="J10" s="1609"/>
      <c r="K10" s="1609"/>
      <c r="L10" s="1609"/>
      <c r="M10" s="1609"/>
    </row>
    <row r="11" spans="1:13" x14ac:dyDescent="0.2">
      <c r="H11" s="52"/>
    </row>
    <row r="12" spans="1:13" x14ac:dyDescent="0.2">
      <c r="E12" s="122" t="s">
        <v>882</v>
      </c>
      <c r="F12" s="48" t="s">
        <v>104</v>
      </c>
      <c r="H12" s="52"/>
    </row>
    <row r="13" spans="1:13" ht="15" x14ac:dyDescent="0.25">
      <c r="C13" s="56"/>
      <c r="E13" s="122" t="s">
        <v>102</v>
      </c>
      <c r="F13" s="160">
        <v>2012</v>
      </c>
      <c r="G13" s="161"/>
    </row>
    <row r="15" spans="1:13" x14ac:dyDescent="0.2">
      <c r="D15" s="1606" t="s">
        <v>264</v>
      </c>
      <c r="E15" s="1607"/>
      <c r="F15" s="1607"/>
      <c r="G15" s="1608"/>
      <c r="I15" s="162"/>
      <c r="J15" s="163" t="s">
        <v>265</v>
      </c>
      <c r="K15" s="163"/>
      <c r="L15" s="164"/>
      <c r="M15" s="159"/>
    </row>
    <row r="16" spans="1:13" ht="25.5" customHeight="1" x14ac:dyDescent="0.2">
      <c r="A16" s="165" t="s">
        <v>1000</v>
      </c>
      <c r="B16" s="165" t="s">
        <v>1002</v>
      </c>
      <c r="C16" s="166" t="s">
        <v>1003</v>
      </c>
      <c r="D16" s="165" t="s">
        <v>236</v>
      </c>
      <c r="E16" s="167" t="s">
        <v>1001</v>
      </c>
      <c r="F16" s="167" t="s">
        <v>1189</v>
      </c>
      <c r="G16" s="165" t="s">
        <v>263</v>
      </c>
      <c r="H16" s="168"/>
      <c r="I16" s="169" t="s">
        <v>236</v>
      </c>
      <c r="J16" s="170" t="s">
        <v>237</v>
      </c>
      <c r="K16" s="170" t="s">
        <v>1189</v>
      </c>
      <c r="L16" s="171" t="s">
        <v>263</v>
      </c>
      <c r="M16" s="165" t="s">
        <v>300</v>
      </c>
    </row>
    <row r="17" spans="1:13" ht="25.5" x14ac:dyDescent="0.2">
      <c r="A17" s="53">
        <v>12</v>
      </c>
      <c r="B17" s="1058">
        <v>1611</v>
      </c>
      <c r="C17" s="172" t="s">
        <v>381</v>
      </c>
      <c r="D17" s="173">
        <v>239727</v>
      </c>
      <c r="E17" s="173">
        <v>1294</v>
      </c>
      <c r="F17" s="173"/>
      <c r="G17" s="174">
        <f>D17+E17+F17</f>
        <v>241021</v>
      </c>
      <c r="H17" s="175"/>
      <c r="I17" s="176">
        <v>194362</v>
      </c>
      <c r="J17" s="173">
        <v>36535</v>
      </c>
      <c r="K17" s="173"/>
      <c r="L17" s="174">
        <f>I17+J17+K17</f>
        <v>230897</v>
      </c>
      <c r="M17" s="177">
        <f>G17-L17</f>
        <v>10124</v>
      </c>
    </row>
    <row r="18" spans="1:13" ht="25.5" x14ac:dyDescent="0.2">
      <c r="A18" s="53" t="s">
        <v>274</v>
      </c>
      <c r="B18" s="1058">
        <v>1612</v>
      </c>
      <c r="C18" s="172" t="s">
        <v>442</v>
      </c>
      <c r="D18" s="173">
        <v>2945</v>
      </c>
      <c r="E18" s="173"/>
      <c r="F18" s="173"/>
      <c r="G18" s="174">
        <f>D18+E18+F18</f>
        <v>2945</v>
      </c>
      <c r="H18" s="175"/>
      <c r="I18" s="176">
        <v>2725</v>
      </c>
      <c r="J18" s="173"/>
      <c r="K18" s="173"/>
      <c r="L18" s="174">
        <f>I18+J18+K18</f>
        <v>2725</v>
      </c>
      <c r="M18" s="177">
        <f t="shared" ref="M18:M54" si="0">G18-L18</f>
        <v>220</v>
      </c>
    </row>
    <row r="19" spans="1:13" x14ac:dyDescent="0.2">
      <c r="A19" s="53" t="s">
        <v>266</v>
      </c>
      <c r="B19" s="178">
        <v>1805</v>
      </c>
      <c r="C19" s="179" t="s">
        <v>267</v>
      </c>
      <c r="D19" s="173">
        <v>2112</v>
      </c>
      <c r="E19" s="173"/>
      <c r="F19" s="173"/>
      <c r="G19" s="174">
        <f>D19+E19+F19</f>
        <v>2112</v>
      </c>
      <c r="H19" s="175"/>
      <c r="I19" s="176"/>
      <c r="J19" s="173"/>
      <c r="K19" s="173"/>
      <c r="L19" s="174">
        <f>I19+J19+K19</f>
        <v>0</v>
      </c>
      <c r="M19" s="177">
        <f t="shared" si="0"/>
        <v>2112</v>
      </c>
    </row>
    <row r="20" spans="1:13" x14ac:dyDescent="0.2">
      <c r="A20" s="53">
        <v>47</v>
      </c>
      <c r="B20" s="178">
        <v>1808</v>
      </c>
      <c r="C20" s="180" t="s">
        <v>268</v>
      </c>
      <c r="D20" s="173"/>
      <c r="E20" s="173"/>
      <c r="F20" s="173"/>
      <c r="G20" s="174">
        <f t="shared" ref="G20:G59" si="1">D20+E20+F20</f>
        <v>0</v>
      </c>
      <c r="H20" s="175"/>
      <c r="I20" s="176"/>
      <c r="J20" s="173"/>
      <c r="K20" s="173"/>
      <c r="L20" s="174">
        <f t="shared" ref="L20:L56" si="2">I20+J20+K20</f>
        <v>0</v>
      </c>
      <c r="M20" s="177">
        <f t="shared" si="0"/>
        <v>0</v>
      </c>
    </row>
    <row r="21" spans="1:13" x14ac:dyDescent="0.2">
      <c r="A21" s="53">
        <v>13</v>
      </c>
      <c r="B21" s="178">
        <v>1810</v>
      </c>
      <c r="C21" s="180" t="s">
        <v>299</v>
      </c>
      <c r="D21" s="173"/>
      <c r="E21" s="173"/>
      <c r="F21" s="173"/>
      <c r="G21" s="174">
        <f t="shared" si="1"/>
        <v>0</v>
      </c>
      <c r="H21" s="175"/>
      <c r="I21" s="176"/>
      <c r="J21" s="173"/>
      <c r="K21" s="173"/>
      <c r="L21" s="174">
        <f t="shared" si="2"/>
        <v>0</v>
      </c>
      <c r="M21" s="177">
        <f t="shared" si="0"/>
        <v>0</v>
      </c>
    </row>
    <row r="22" spans="1:13" x14ac:dyDescent="0.2">
      <c r="A22" s="53">
        <v>47</v>
      </c>
      <c r="B22" s="178">
        <v>1815</v>
      </c>
      <c r="C22" s="180" t="s">
        <v>269</v>
      </c>
      <c r="D22" s="173"/>
      <c r="E22" s="173"/>
      <c r="F22" s="173"/>
      <c r="G22" s="174">
        <f t="shared" si="1"/>
        <v>0</v>
      </c>
      <c r="H22" s="175"/>
      <c r="I22" s="176"/>
      <c r="J22" s="173"/>
      <c r="K22" s="173"/>
      <c r="L22" s="174">
        <f t="shared" si="2"/>
        <v>0</v>
      </c>
      <c r="M22" s="177">
        <f t="shared" si="0"/>
        <v>0</v>
      </c>
    </row>
    <row r="23" spans="1:13" x14ac:dyDescent="0.2">
      <c r="A23" s="53">
        <v>47</v>
      </c>
      <c r="B23" s="178">
        <v>1820</v>
      </c>
      <c r="C23" s="172" t="s">
        <v>207</v>
      </c>
      <c r="D23" s="173">
        <v>142098</v>
      </c>
      <c r="E23" s="173"/>
      <c r="F23" s="173"/>
      <c r="G23" s="174">
        <f t="shared" si="1"/>
        <v>142098</v>
      </c>
      <c r="H23" s="175"/>
      <c r="I23" s="176">
        <v>140952</v>
      </c>
      <c r="J23" s="173">
        <v>62</v>
      </c>
      <c r="K23" s="173"/>
      <c r="L23" s="174">
        <f t="shared" si="2"/>
        <v>141014</v>
      </c>
      <c r="M23" s="177">
        <f t="shared" si="0"/>
        <v>1084</v>
      </c>
    </row>
    <row r="24" spans="1:13" x14ac:dyDescent="0.2">
      <c r="A24" s="53">
        <v>47</v>
      </c>
      <c r="B24" s="178">
        <v>1825</v>
      </c>
      <c r="C24" s="180" t="s">
        <v>270</v>
      </c>
      <c r="D24" s="173"/>
      <c r="E24" s="173"/>
      <c r="F24" s="173"/>
      <c r="G24" s="174">
        <f t="shared" si="1"/>
        <v>0</v>
      </c>
      <c r="H24" s="175"/>
      <c r="I24" s="176"/>
      <c r="J24" s="173"/>
      <c r="K24" s="173"/>
      <c r="L24" s="174">
        <f t="shared" si="2"/>
        <v>0</v>
      </c>
      <c r="M24" s="177">
        <f t="shared" si="0"/>
        <v>0</v>
      </c>
    </row>
    <row r="25" spans="1:13" x14ac:dyDescent="0.2">
      <c r="A25" s="53">
        <v>47</v>
      </c>
      <c r="B25" s="178">
        <v>1830</v>
      </c>
      <c r="C25" s="180" t="s">
        <v>271</v>
      </c>
      <c r="D25" s="173">
        <v>888856</v>
      </c>
      <c r="E25" s="173">
        <v>23732</v>
      </c>
      <c r="F25" s="173"/>
      <c r="G25" s="174">
        <f t="shared" si="1"/>
        <v>912588</v>
      </c>
      <c r="H25" s="175"/>
      <c r="I25" s="176">
        <v>197610</v>
      </c>
      <c r="J25" s="173">
        <v>36039</v>
      </c>
      <c r="K25" s="173"/>
      <c r="L25" s="174">
        <f t="shared" si="2"/>
        <v>233649</v>
      </c>
      <c r="M25" s="177">
        <f t="shared" si="0"/>
        <v>678939</v>
      </c>
    </row>
    <row r="26" spans="1:13" x14ac:dyDescent="0.2">
      <c r="A26" s="53">
        <v>47</v>
      </c>
      <c r="B26" s="178">
        <v>1835</v>
      </c>
      <c r="C26" s="180" t="s">
        <v>208</v>
      </c>
      <c r="D26" s="173">
        <v>6275033</v>
      </c>
      <c r="E26" s="173">
        <v>106131</v>
      </c>
      <c r="F26" s="173"/>
      <c r="G26" s="174">
        <f t="shared" si="1"/>
        <v>6381164</v>
      </c>
      <c r="H26" s="175"/>
      <c r="I26" s="176">
        <v>4306416</v>
      </c>
      <c r="J26" s="173">
        <v>248008</v>
      </c>
      <c r="K26" s="173"/>
      <c r="L26" s="174">
        <f t="shared" si="2"/>
        <v>4554424</v>
      </c>
      <c r="M26" s="177">
        <f t="shared" si="0"/>
        <v>1826740</v>
      </c>
    </row>
    <row r="27" spans="1:13" x14ac:dyDescent="0.2">
      <c r="A27" s="53">
        <v>47</v>
      </c>
      <c r="B27" s="178">
        <v>1840</v>
      </c>
      <c r="C27" s="180" t="s">
        <v>209</v>
      </c>
      <c r="D27" s="173">
        <v>1251542</v>
      </c>
      <c r="E27" s="173">
        <v>124331</v>
      </c>
      <c r="F27" s="173"/>
      <c r="G27" s="174">
        <f t="shared" si="1"/>
        <v>1375873</v>
      </c>
      <c r="H27" s="175"/>
      <c r="I27" s="176">
        <v>243930</v>
      </c>
      <c r="J27" s="173">
        <v>52553</v>
      </c>
      <c r="K27" s="173"/>
      <c r="L27" s="174">
        <f t="shared" si="2"/>
        <v>296483</v>
      </c>
      <c r="M27" s="177">
        <f t="shared" si="0"/>
        <v>1079390</v>
      </c>
    </row>
    <row r="28" spans="1:13" x14ac:dyDescent="0.2">
      <c r="A28" s="53">
        <v>47</v>
      </c>
      <c r="B28" s="178">
        <v>1845</v>
      </c>
      <c r="C28" s="180" t="s">
        <v>210</v>
      </c>
      <c r="D28" s="173">
        <v>7246993</v>
      </c>
      <c r="E28" s="173">
        <v>229404</v>
      </c>
      <c r="F28" s="173"/>
      <c r="G28" s="174">
        <f t="shared" si="1"/>
        <v>7476397</v>
      </c>
      <c r="H28" s="175"/>
      <c r="I28" s="176">
        <v>4537673</v>
      </c>
      <c r="J28" s="173">
        <v>277280</v>
      </c>
      <c r="K28" s="173"/>
      <c r="L28" s="174">
        <f t="shared" si="2"/>
        <v>4814953</v>
      </c>
      <c r="M28" s="177">
        <f t="shared" si="0"/>
        <v>2661444</v>
      </c>
    </row>
    <row r="29" spans="1:13" x14ac:dyDescent="0.2">
      <c r="A29" s="53">
        <v>47</v>
      </c>
      <c r="B29" s="178">
        <v>1850</v>
      </c>
      <c r="C29" s="180" t="s">
        <v>272</v>
      </c>
      <c r="D29" s="173">
        <v>5511324</v>
      </c>
      <c r="E29" s="173">
        <v>216442</v>
      </c>
      <c r="F29" s="173"/>
      <c r="G29" s="174">
        <f t="shared" si="1"/>
        <v>5727766</v>
      </c>
      <c r="H29" s="175"/>
      <c r="I29" s="176">
        <v>3331320</v>
      </c>
      <c r="J29" s="173">
        <v>200371</v>
      </c>
      <c r="K29" s="173"/>
      <c r="L29" s="174">
        <f t="shared" si="2"/>
        <v>3531691</v>
      </c>
      <c r="M29" s="177">
        <f t="shared" si="0"/>
        <v>2196075</v>
      </c>
    </row>
    <row r="30" spans="1:13" x14ac:dyDescent="0.2">
      <c r="A30" s="53">
        <v>47</v>
      </c>
      <c r="B30" s="178">
        <v>1855</v>
      </c>
      <c r="C30" s="180" t="s">
        <v>211</v>
      </c>
      <c r="D30" s="173">
        <v>699827</v>
      </c>
      <c r="E30" s="173">
        <v>72965</v>
      </c>
      <c r="F30" s="173"/>
      <c r="G30" s="174">
        <f t="shared" si="1"/>
        <v>772792</v>
      </c>
      <c r="H30" s="175"/>
      <c r="I30" s="176">
        <v>137902</v>
      </c>
      <c r="J30" s="173">
        <v>29462</v>
      </c>
      <c r="K30" s="173"/>
      <c r="L30" s="174">
        <f t="shared" si="2"/>
        <v>167364</v>
      </c>
      <c r="M30" s="177">
        <f t="shared" si="0"/>
        <v>605428</v>
      </c>
    </row>
    <row r="31" spans="1:13" x14ac:dyDescent="0.2">
      <c r="A31" s="53">
        <v>47</v>
      </c>
      <c r="B31" s="178">
        <v>1860</v>
      </c>
      <c r="C31" s="180" t="s">
        <v>273</v>
      </c>
      <c r="D31" s="173">
        <v>514262</v>
      </c>
      <c r="E31" s="173">
        <v>2402</v>
      </c>
      <c r="F31" s="173"/>
      <c r="G31" s="174">
        <f t="shared" si="1"/>
        <v>516664</v>
      </c>
      <c r="H31" s="175"/>
      <c r="I31" s="176">
        <v>70591</v>
      </c>
      <c r="J31" s="173">
        <v>12642</v>
      </c>
      <c r="K31" s="173"/>
      <c r="L31" s="174">
        <f t="shared" si="2"/>
        <v>83233</v>
      </c>
      <c r="M31" s="177">
        <f t="shared" si="0"/>
        <v>433431</v>
      </c>
    </row>
    <row r="32" spans="1:13" x14ac:dyDescent="0.2">
      <c r="A32" s="53">
        <v>47</v>
      </c>
      <c r="B32" s="178">
        <v>1860</v>
      </c>
      <c r="C32" s="179" t="s">
        <v>212</v>
      </c>
      <c r="D32" s="173"/>
      <c r="E32" s="173"/>
      <c r="F32" s="173"/>
      <c r="G32" s="174">
        <f t="shared" si="1"/>
        <v>0</v>
      </c>
      <c r="H32" s="175"/>
      <c r="I32" s="176"/>
      <c r="J32" s="173"/>
      <c r="K32" s="173"/>
      <c r="L32" s="174">
        <f t="shared" si="2"/>
        <v>0</v>
      </c>
      <c r="M32" s="177">
        <f t="shared" si="0"/>
        <v>0</v>
      </c>
    </row>
    <row r="33" spans="1:13" x14ac:dyDescent="0.2">
      <c r="A33" s="53" t="s">
        <v>266</v>
      </c>
      <c r="B33" s="178">
        <v>1905</v>
      </c>
      <c r="C33" s="179" t="s">
        <v>267</v>
      </c>
      <c r="D33" s="173">
        <v>171765</v>
      </c>
      <c r="E33" s="173"/>
      <c r="F33" s="173"/>
      <c r="G33" s="174">
        <f t="shared" si="1"/>
        <v>171765</v>
      </c>
      <c r="H33" s="175"/>
      <c r="I33" s="176"/>
      <c r="J33" s="173"/>
      <c r="K33" s="173"/>
      <c r="L33" s="174">
        <f t="shared" si="2"/>
        <v>0</v>
      </c>
      <c r="M33" s="177">
        <f t="shared" si="0"/>
        <v>171765</v>
      </c>
    </row>
    <row r="34" spans="1:13" x14ac:dyDescent="0.2">
      <c r="A34" s="53">
        <v>47</v>
      </c>
      <c r="B34" s="178">
        <v>1908</v>
      </c>
      <c r="C34" s="180" t="s">
        <v>275</v>
      </c>
      <c r="D34" s="173">
        <v>661840</v>
      </c>
      <c r="E34" s="173">
        <v>3031</v>
      </c>
      <c r="F34" s="173"/>
      <c r="G34" s="174">
        <f t="shared" si="1"/>
        <v>664871</v>
      </c>
      <c r="H34" s="175"/>
      <c r="I34" s="176">
        <v>429951</v>
      </c>
      <c r="J34" s="173">
        <v>14459</v>
      </c>
      <c r="K34" s="173"/>
      <c r="L34" s="174">
        <f t="shared" si="2"/>
        <v>444410</v>
      </c>
      <c r="M34" s="177">
        <f t="shared" si="0"/>
        <v>220461</v>
      </c>
    </row>
    <row r="35" spans="1:13" x14ac:dyDescent="0.2">
      <c r="A35" s="53">
        <v>13</v>
      </c>
      <c r="B35" s="178">
        <v>1910</v>
      </c>
      <c r="C35" s="180" t="s">
        <v>299</v>
      </c>
      <c r="D35" s="173"/>
      <c r="E35" s="173"/>
      <c r="F35" s="173"/>
      <c r="G35" s="174">
        <f t="shared" si="1"/>
        <v>0</v>
      </c>
      <c r="H35" s="175"/>
      <c r="I35" s="176"/>
      <c r="J35" s="173"/>
      <c r="K35" s="173"/>
      <c r="L35" s="174">
        <f t="shared" si="2"/>
        <v>0</v>
      </c>
      <c r="M35" s="177">
        <f t="shared" si="0"/>
        <v>0</v>
      </c>
    </row>
    <row r="36" spans="1:13" x14ac:dyDescent="0.2">
      <c r="A36" s="53">
        <v>8</v>
      </c>
      <c r="B36" s="178">
        <v>1915</v>
      </c>
      <c r="C36" s="180" t="s">
        <v>213</v>
      </c>
      <c r="D36" s="173">
        <v>242909</v>
      </c>
      <c r="E36" s="173">
        <v>45</v>
      </c>
      <c r="F36" s="173"/>
      <c r="G36" s="174">
        <f t="shared" si="1"/>
        <v>242954</v>
      </c>
      <c r="H36" s="175"/>
      <c r="I36" s="176">
        <v>204575</v>
      </c>
      <c r="J36" s="173">
        <v>6979</v>
      </c>
      <c r="K36" s="173"/>
      <c r="L36" s="174">
        <f t="shared" si="2"/>
        <v>211554</v>
      </c>
      <c r="M36" s="177">
        <f t="shared" si="0"/>
        <v>31400</v>
      </c>
    </row>
    <row r="37" spans="1:13" x14ac:dyDescent="0.2">
      <c r="A37" s="53">
        <v>8</v>
      </c>
      <c r="B37" s="178">
        <v>1915</v>
      </c>
      <c r="C37" s="180" t="s">
        <v>214</v>
      </c>
      <c r="D37" s="173"/>
      <c r="E37" s="173"/>
      <c r="F37" s="173"/>
      <c r="G37" s="174">
        <f t="shared" si="1"/>
        <v>0</v>
      </c>
      <c r="H37" s="175"/>
      <c r="I37" s="176"/>
      <c r="J37" s="173"/>
      <c r="K37" s="173"/>
      <c r="L37" s="174">
        <f t="shared" si="2"/>
        <v>0</v>
      </c>
      <c r="M37" s="177">
        <f t="shared" si="0"/>
        <v>0</v>
      </c>
    </row>
    <row r="38" spans="1:13" x14ac:dyDescent="0.2">
      <c r="A38" s="53">
        <v>10</v>
      </c>
      <c r="B38" s="178">
        <v>1920</v>
      </c>
      <c r="C38" s="180" t="s">
        <v>215</v>
      </c>
      <c r="D38" s="173">
        <v>360969</v>
      </c>
      <c r="E38" s="173">
        <v>4643</v>
      </c>
      <c r="F38" s="173"/>
      <c r="G38" s="174">
        <f t="shared" si="1"/>
        <v>365612</v>
      </c>
      <c r="H38" s="175"/>
      <c r="I38" s="176">
        <v>347322</v>
      </c>
      <c r="J38" s="173">
        <v>11652</v>
      </c>
      <c r="K38" s="173"/>
      <c r="L38" s="174">
        <f t="shared" si="2"/>
        <v>358974</v>
      </c>
      <c r="M38" s="177">
        <f t="shared" si="0"/>
        <v>6638</v>
      </c>
    </row>
    <row r="39" spans="1:13" ht="25.5" x14ac:dyDescent="0.2">
      <c r="A39" s="53">
        <v>45</v>
      </c>
      <c r="B39" s="181">
        <v>1920</v>
      </c>
      <c r="C39" s="172" t="s">
        <v>217</v>
      </c>
      <c r="D39" s="173"/>
      <c r="E39" s="173"/>
      <c r="F39" s="173"/>
      <c r="G39" s="174">
        <f t="shared" si="1"/>
        <v>0</v>
      </c>
      <c r="H39" s="175"/>
      <c r="I39" s="176"/>
      <c r="J39" s="173"/>
      <c r="K39" s="173"/>
      <c r="L39" s="174">
        <f t="shared" si="2"/>
        <v>0</v>
      </c>
      <c r="M39" s="177">
        <f t="shared" si="0"/>
        <v>0</v>
      </c>
    </row>
    <row r="40" spans="1:13" ht="25.5" x14ac:dyDescent="0.2">
      <c r="A40" s="53">
        <v>45.1</v>
      </c>
      <c r="B40" s="181">
        <v>1920</v>
      </c>
      <c r="C40" s="172" t="s">
        <v>216</v>
      </c>
      <c r="D40" s="173"/>
      <c r="E40" s="173"/>
      <c r="F40" s="173"/>
      <c r="G40" s="174">
        <f t="shared" si="1"/>
        <v>0</v>
      </c>
      <c r="H40" s="175"/>
      <c r="I40" s="176"/>
      <c r="J40" s="173"/>
      <c r="K40" s="173"/>
      <c r="L40" s="174">
        <f t="shared" si="2"/>
        <v>0</v>
      </c>
      <c r="M40" s="177">
        <f t="shared" si="0"/>
        <v>0</v>
      </c>
    </row>
    <row r="41" spans="1:13" x14ac:dyDescent="0.2">
      <c r="A41" s="53">
        <v>10</v>
      </c>
      <c r="B41" s="1058">
        <v>1930</v>
      </c>
      <c r="C41" s="180" t="s">
        <v>286</v>
      </c>
      <c r="D41" s="173">
        <v>1886565</v>
      </c>
      <c r="E41" s="173"/>
      <c r="F41" s="173"/>
      <c r="G41" s="174">
        <f t="shared" si="1"/>
        <v>1886565</v>
      </c>
      <c r="H41" s="175"/>
      <c r="I41" s="176">
        <v>1562244</v>
      </c>
      <c r="J41" s="173">
        <v>83137</v>
      </c>
      <c r="K41" s="173"/>
      <c r="L41" s="174">
        <f t="shared" si="2"/>
        <v>1645381</v>
      </c>
      <c r="M41" s="177">
        <f t="shared" si="0"/>
        <v>241184</v>
      </c>
    </row>
    <row r="42" spans="1:13" x14ac:dyDescent="0.2">
      <c r="A42" s="53">
        <v>8</v>
      </c>
      <c r="B42" s="1058">
        <v>1935</v>
      </c>
      <c r="C42" s="180" t="s">
        <v>287</v>
      </c>
      <c r="D42" s="173"/>
      <c r="E42" s="173"/>
      <c r="F42" s="173"/>
      <c r="G42" s="174">
        <f t="shared" si="1"/>
        <v>0</v>
      </c>
      <c r="H42" s="175"/>
      <c r="I42" s="176"/>
      <c r="J42" s="173"/>
      <c r="K42" s="173"/>
      <c r="L42" s="174">
        <f t="shared" si="2"/>
        <v>0</v>
      </c>
      <c r="M42" s="177">
        <f t="shared" si="0"/>
        <v>0</v>
      </c>
    </row>
    <row r="43" spans="1:13" x14ac:dyDescent="0.2">
      <c r="A43" s="53">
        <v>8</v>
      </c>
      <c r="B43" s="1058">
        <v>1940</v>
      </c>
      <c r="C43" s="180" t="s">
        <v>288</v>
      </c>
      <c r="D43" s="173">
        <v>365317</v>
      </c>
      <c r="E43" s="173">
        <v>196</v>
      </c>
      <c r="F43" s="173"/>
      <c r="G43" s="174">
        <f t="shared" si="1"/>
        <v>365513</v>
      </c>
      <c r="H43" s="175"/>
      <c r="I43" s="176">
        <v>306443</v>
      </c>
      <c r="J43" s="173">
        <v>12669</v>
      </c>
      <c r="K43" s="173"/>
      <c r="L43" s="174">
        <f t="shared" si="2"/>
        <v>319112</v>
      </c>
      <c r="M43" s="177">
        <f t="shared" si="0"/>
        <v>46401</v>
      </c>
    </row>
    <row r="44" spans="1:13" x14ac:dyDescent="0.2">
      <c r="A44" s="53">
        <v>8</v>
      </c>
      <c r="B44" s="1058">
        <v>1945</v>
      </c>
      <c r="C44" s="180" t="s">
        <v>289</v>
      </c>
      <c r="D44" s="173"/>
      <c r="E44" s="173"/>
      <c r="F44" s="173"/>
      <c r="G44" s="174">
        <f t="shared" si="1"/>
        <v>0</v>
      </c>
      <c r="H44" s="175"/>
      <c r="I44" s="176"/>
      <c r="J44" s="173"/>
      <c r="K44" s="173"/>
      <c r="L44" s="174">
        <f t="shared" si="2"/>
        <v>0</v>
      </c>
      <c r="M44" s="177">
        <f t="shared" si="0"/>
        <v>0</v>
      </c>
    </row>
    <row r="45" spans="1:13" x14ac:dyDescent="0.2">
      <c r="A45" s="53">
        <v>8</v>
      </c>
      <c r="B45" s="1058">
        <v>1950</v>
      </c>
      <c r="C45" s="180" t="s">
        <v>218</v>
      </c>
      <c r="D45" s="173"/>
      <c r="E45" s="173"/>
      <c r="F45" s="173"/>
      <c r="G45" s="174">
        <f t="shared" si="1"/>
        <v>0</v>
      </c>
      <c r="H45" s="175"/>
      <c r="I45" s="182"/>
      <c r="J45" s="173"/>
      <c r="K45" s="173"/>
      <c r="L45" s="174">
        <f t="shared" si="2"/>
        <v>0</v>
      </c>
      <c r="M45" s="177">
        <f t="shared" si="0"/>
        <v>0</v>
      </c>
    </row>
    <row r="46" spans="1:13" x14ac:dyDescent="0.2">
      <c r="A46" s="53">
        <v>8</v>
      </c>
      <c r="B46" s="1058">
        <v>1955</v>
      </c>
      <c r="C46" s="180" t="s">
        <v>290</v>
      </c>
      <c r="D46" s="173">
        <v>35831</v>
      </c>
      <c r="E46" s="173"/>
      <c r="F46" s="173"/>
      <c r="G46" s="174">
        <f t="shared" si="1"/>
        <v>35831</v>
      </c>
      <c r="H46" s="175"/>
      <c r="I46" s="176">
        <v>23200</v>
      </c>
      <c r="J46" s="173">
        <v>1545</v>
      </c>
      <c r="K46" s="173"/>
      <c r="L46" s="174">
        <f t="shared" si="2"/>
        <v>24745</v>
      </c>
      <c r="M46" s="177">
        <f t="shared" si="0"/>
        <v>11086</v>
      </c>
    </row>
    <row r="47" spans="1:13" x14ac:dyDescent="0.2">
      <c r="A47" s="183">
        <v>8</v>
      </c>
      <c r="B47" s="181">
        <v>1955</v>
      </c>
      <c r="C47" s="184" t="s">
        <v>219</v>
      </c>
      <c r="D47" s="173"/>
      <c r="E47" s="173"/>
      <c r="F47" s="173"/>
      <c r="G47" s="174">
        <f t="shared" si="1"/>
        <v>0</v>
      </c>
      <c r="H47" s="175"/>
      <c r="I47" s="176"/>
      <c r="J47" s="173"/>
      <c r="K47" s="173"/>
      <c r="L47" s="174">
        <f t="shared" si="2"/>
        <v>0</v>
      </c>
      <c r="M47" s="177">
        <f t="shared" si="0"/>
        <v>0</v>
      </c>
    </row>
    <row r="48" spans="1:13" x14ac:dyDescent="0.2">
      <c r="A48" s="183">
        <v>8</v>
      </c>
      <c r="B48" s="185">
        <v>1960</v>
      </c>
      <c r="C48" s="172" t="s">
        <v>220</v>
      </c>
      <c r="D48" s="173"/>
      <c r="E48" s="173"/>
      <c r="F48" s="173"/>
      <c r="G48" s="174">
        <f t="shared" si="1"/>
        <v>0</v>
      </c>
      <c r="H48" s="175"/>
      <c r="I48" s="176"/>
      <c r="J48" s="173"/>
      <c r="K48" s="173"/>
      <c r="L48" s="174">
        <f t="shared" si="2"/>
        <v>0</v>
      </c>
      <c r="M48" s="177">
        <f t="shared" si="0"/>
        <v>0</v>
      </c>
    </row>
    <row r="49" spans="1:13" ht="25.5" x14ac:dyDescent="0.2">
      <c r="A49" s="186">
        <v>47</v>
      </c>
      <c r="B49" s="185">
        <v>1970</v>
      </c>
      <c r="C49" s="180" t="s">
        <v>501</v>
      </c>
      <c r="D49" s="173"/>
      <c r="E49" s="173"/>
      <c r="F49" s="173"/>
      <c r="G49" s="174">
        <f t="shared" si="1"/>
        <v>0</v>
      </c>
      <c r="H49" s="175"/>
      <c r="I49" s="176"/>
      <c r="J49" s="173"/>
      <c r="K49" s="173"/>
      <c r="L49" s="174">
        <f t="shared" si="2"/>
        <v>0</v>
      </c>
      <c r="M49" s="177">
        <f t="shared" si="0"/>
        <v>0</v>
      </c>
    </row>
    <row r="50" spans="1:13" ht="25.5" x14ac:dyDescent="0.2">
      <c r="A50" s="53">
        <v>47</v>
      </c>
      <c r="B50" s="1058">
        <v>1975</v>
      </c>
      <c r="C50" s="180" t="s">
        <v>291</v>
      </c>
      <c r="D50" s="173"/>
      <c r="E50" s="173"/>
      <c r="F50" s="173"/>
      <c r="G50" s="174">
        <f t="shared" si="1"/>
        <v>0</v>
      </c>
      <c r="H50" s="175"/>
      <c r="I50" s="176"/>
      <c r="J50" s="173"/>
      <c r="K50" s="173"/>
      <c r="L50" s="174">
        <f t="shared" si="2"/>
        <v>0</v>
      </c>
      <c r="M50" s="177">
        <f t="shared" si="0"/>
        <v>0</v>
      </c>
    </row>
    <row r="51" spans="1:13" x14ac:dyDescent="0.2">
      <c r="A51" s="53">
        <v>47</v>
      </c>
      <c r="B51" s="1058">
        <v>1980</v>
      </c>
      <c r="C51" s="180" t="s">
        <v>292</v>
      </c>
      <c r="D51" s="173"/>
      <c r="E51" s="173"/>
      <c r="F51" s="173"/>
      <c r="G51" s="174">
        <f t="shared" si="1"/>
        <v>0</v>
      </c>
      <c r="H51" s="175"/>
      <c r="I51" s="176"/>
      <c r="J51" s="173"/>
      <c r="K51" s="173"/>
      <c r="L51" s="174">
        <f t="shared" si="2"/>
        <v>0</v>
      </c>
      <c r="M51" s="177">
        <f t="shared" si="0"/>
        <v>0</v>
      </c>
    </row>
    <row r="52" spans="1:13" x14ac:dyDescent="0.2">
      <c r="A52" s="53">
        <v>47</v>
      </c>
      <c r="B52" s="1058">
        <v>1985</v>
      </c>
      <c r="C52" s="180" t="s">
        <v>1404</v>
      </c>
      <c r="D52" s="173">
        <v>15</v>
      </c>
      <c r="E52" s="173"/>
      <c r="F52" s="173"/>
      <c r="G52" s="174">
        <f t="shared" si="1"/>
        <v>15</v>
      </c>
      <c r="H52" s="175"/>
      <c r="I52" s="176"/>
      <c r="J52" s="173">
        <v>15</v>
      </c>
      <c r="K52" s="173"/>
      <c r="L52" s="174">
        <f t="shared" si="2"/>
        <v>15</v>
      </c>
      <c r="M52" s="177">
        <f t="shared" si="0"/>
        <v>0</v>
      </c>
    </row>
    <row r="53" spans="1:13" x14ac:dyDescent="0.2">
      <c r="A53" s="186">
        <v>47</v>
      </c>
      <c r="B53" s="1058">
        <v>1990</v>
      </c>
      <c r="C53" s="1061" t="s">
        <v>502</v>
      </c>
      <c r="D53" s="173"/>
      <c r="E53" s="173"/>
      <c r="F53" s="173"/>
      <c r="G53" s="174">
        <f t="shared" si="1"/>
        <v>0</v>
      </c>
      <c r="H53" s="175"/>
      <c r="I53" s="176"/>
      <c r="J53" s="173"/>
      <c r="K53" s="173"/>
      <c r="L53" s="174">
        <f t="shared" si="2"/>
        <v>0</v>
      </c>
      <c r="M53" s="177">
        <f t="shared" si="0"/>
        <v>0</v>
      </c>
    </row>
    <row r="54" spans="1:13" x14ac:dyDescent="0.2">
      <c r="A54" s="53">
        <v>47</v>
      </c>
      <c r="B54" s="1058">
        <v>1995</v>
      </c>
      <c r="C54" s="180" t="s">
        <v>294</v>
      </c>
      <c r="D54" s="173">
        <v>-3871421</v>
      </c>
      <c r="E54" s="173">
        <v>-445527</v>
      </c>
      <c r="F54" s="173"/>
      <c r="G54" s="174">
        <f t="shared" si="1"/>
        <v>-4316948</v>
      </c>
      <c r="H54" s="175"/>
      <c r="I54" s="176">
        <v>-1064210</v>
      </c>
      <c r="J54" s="173">
        <v>-165320</v>
      </c>
      <c r="K54" s="173"/>
      <c r="L54" s="174">
        <f t="shared" si="2"/>
        <v>-1229530</v>
      </c>
      <c r="M54" s="177">
        <f t="shared" si="0"/>
        <v>-3087418</v>
      </c>
    </row>
    <row r="55" spans="1:13" ht="14.25" x14ac:dyDescent="0.2">
      <c r="A55" s="53">
        <v>47</v>
      </c>
      <c r="B55" s="1058">
        <v>2440</v>
      </c>
      <c r="C55" s="180" t="s">
        <v>950</v>
      </c>
      <c r="D55" s="173"/>
      <c r="E55" s="173"/>
      <c r="F55" s="173"/>
      <c r="G55" s="174"/>
      <c r="I55" s="176"/>
      <c r="J55" s="173"/>
      <c r="K55" s="173"/>
      <c r="L55" s="174"/>
      <c r="M55" s="177"/>
    </row>
    <row r="56" spans="1:13" x14ac:dyDescent="0.2">
      <c r="A56" s="187"/>
      <c r="B56" s="187"/>
      <c r="C56" s="188"/>
      <c r="D56" s="189"/>
      <c r="E56" s="189"/>
      <c r="F56" s="189"/>
      <c r="G56" s="174">
        <f t="shared" si="1"/>
        <v>0</v>
      </c>
      <c r="I56" s="189"/>
      <c r="J56" s="189"/>
      <c r="K56" s="189"/>
      <c r="L56" s="174">
        <f t="shared" si="2"/>
        <v>0</v>
      </c>
      <c r="M56" s="177">
        <f>G56+L56</f>
        <v>0</v>
      </c>
    </row>
    <row r="57" spans="1:13" x14ac:dyDescent="0.2">
      <c r="A57" s="187"/>
      <c r="B57" s="187"/>
      <c r="C57" s="190" t="s">
        <v>204</v>
      </c>
      <c r="D57" s="191">
        <f>SUM(D17:D56)</f>
        <v>22628509</v>
      </c>
      <c r="E57" s="191">
        <f>SUM(E17:E56)</f>
        <v>339089</v>
      </c>
      <c r="F57" s="191">
        <f>SUM(F17:F56)</f>
        <v>0</v>
      </c>
      <c r="G57" s="191">
        <f>SUM(G17:G56)</f>
        <v>22967598</v>
      </c>
      <c r="H57" s="191"/>
      <c r="I57" s="191">
        <f>SUM(I17:I56)</f>
        <v>14973006</v>
      </c>
      <c r="J57" s="191">
        <f>SUM(J17:J56)</f>
        <v>858088</v>
      </c>
      <c r="K57" s="191">
        <f>SUM(K17:K56)</f>
        <v>0</v>
      </c>
      <c r="L57" s="191">
        <f>SUM(L17:L56)</f>
        <v>15831094</v>
      </c>
      <c r="M57" s="191">
        <f>SUM(M17:M56)</f>
        <v>7136504</v>
      </c>
    </row>
    <row r="58" spans="1:13" ht="37.5" x14ac:dyDescent="0.2">
      <c r="A58" s="187"/>
      <c r="B58" s="187"/>
      <c r="C58" s="192" t="s">
        <v>597</v>
      </c>
      <c r="D58" s="189"/>
      <c r="E58" s="189"/>
      <c r="F58" s="189"/>
      <c r="G58" s="174">
        <f>D58+E58+F58</f>
        <v>0</v>
      </c>
      <c r="I58" s="189"/>
      <c r="J58" s="189"/>
      <c r="K58" s="189"/>
      <c r="L58" s="174">
        <f>I58+J58+K58</f>
        <v>0</v>
      </c>
      <c r="M58" s="177">
        <f>G58+L58</f>
        <v>0</v>
      </c>
    </row>
    <row r="59" spans="1:13" ht="25.5" x14ac:dyDescent="0.2">
      <c r="A59" s="187"/>
      <c r="B59" s="187"/>
      <c r="C59" s="193" t="s">
        <v>596</v>
      </c>
      <c r="D59" s="189"/>
      <c r="E59" s="189"/>
      <c r="F59" s="189"/>
      <c r="G59" s="174">
        <f t="shared" si="1"/>
        <v>0</v>
      </c>
      <c r="I59" s="189"/>
      <c r="J59" s="189"/>
      <c r="K59" s="189"/>
      <c r="L59" s="174">
        <f>I59+J59+K59</f>
        <v>0</v>
      </c>
      <c r="M59" s="177">
        <f>G59+L59</f>
        <v>0</v>
      </c>
    </row>
    <row r="60" spans="1:13" x14ac:dyDescent="0.2">
      <c r="A60" s="187"/>
      <c r="B60" s="187"/>
      <c r="C60" s="190" t="s">
        <v>503</v>
      </c>
      <c r="D60" s="191">
        <f>SUM(D57:D59)</f>
        <v>22628509</v>
      </c>
      <c r="E60" s="191">
        <f>SUM(E57:E59)</f>
        <v>339089</v>
      </c>
      <c r="F60" s="191">
        <f>SUM(F57:F59)</f>
        <v>0</v>
      </c>
      <c r="G60" s="191">
        <f>SUM(G57:G59)</f>
        <v>22967598</v>
      </c>
      <c r="H60" s="191"/>
      <c r="I60" s="191">
        <f>SUM(I57:I59)</f>
        <v>14973006</v>
      </c>
      <c r="J60" s="191">
        <f>SUM(J57:J59)</f>
        <v>858088</v>
      </c>
      <c r="K60" s="191">
        <f>SUM(K57:K59)</f>
        <v>0</v>
      </c>
      <c r="L60" s="191">
        <f>SUM(L57:L59)</f>
        <v>15831094</v>
      </c>
      <c r="M60" s="191">
        <f>SUM(M57:M59)</f>
        <v>7136504</v>
      </c>
    </row>
    <row r="61" spans="1:13" ht="14.25" x14ac:dyDescent="0.2">
      <c r="A61" s="187"/>
      <c r="B61" s="187"/>
      <c r="C61" s="1603" t="s">
        <v>912</v>
      </c>
      <c r="D61" s="1604"/>
      <c r="E61" s="1604"/>
      <c r="F61" s="1604"/>
      <c r="G61" s="1604"/>
      <c r="H61" s="1604"/>
      <c r="I61" s="1605"/>
      <c r="J61" s="189"/>
      <c r="K61" s="194"/>
      <c r="L61" s="195"/>
      <c r="M61" s="196"/>
    </row>
    <row r="62" spans="1:13" x14ac:dyDescent="0.2">
      <c r="A62" s="187"/>
      <c r="B62" s="187"/>
      <c r="C62" s="1603" t="s">
        <v>295</v>
      </c>
      <c r="D62" s="1604"/>
      <c r="E62" s="1604"/>
      <c r="F62" s="1604"/>
      <c r="G62" s="1604"/>
      <c r="H62" s="1604"/>
      <c r="I62" s="1605"/>
      <c r="J62" s="191">
        <f>J60+J61</f>
        <v>858088</v>
      </c>
      <c r="K62" s="194"/>
      <c r="L62" s="195"/>
      <c r="M62" s="196"/>
    </row>
    <row r="64" spans="1:13" x14ac:dyDescent="0.2">
      <c r="I64" s="197" t="s">
        <v>422</v>
      </c>
      <c r="J64" s="1071"/>
    </row>
    <row r="65" spans="1:13" x14ac:dyDescent="0.2">
      <c r="A65" s="187">
        <v>10</v>
      </c>
      <c r="B65" s="187"/>
      <c r="C65" s="188" t="s">
        <v>296</v>
      </c>
      <c r="I65" s="1071" t="s">
        <v>296</v>
      </c>
      <c r="J65" s="1071"/>
      <c r="K65" s="198">
        <f>J41</f>
        <v>83137</v>
      </c>
    </row>
    <row r="66" spans="1:13" x14ac:dyDescent="0.2">
      <c r="A66" s="187">
        <v>8</v>
      </c>
      <c r="B66" s="187"/>
      <c r="C66" s="188" t="s">
        <v>287</v>
      </c>
      <c r="I66" s="1071" t="s">
        <v>851</v>
      </c>
      <c r="J66" s="1071"/>
      <c r="K66" s="199">
        <f>J46</f>
        <v>1545</v>
      </c>
    </row>
    <row r="67" spans="1:13" x14ac:dyDescent="0.2">
      <c r="I67" s="200" t="s">
        <v>297</v>
      </c>
      <c r="K67" s="201">
        <f>-K65-K66</f>
        <v>-84682</v>
      </c>
    </row>
    <row r="68" spans="1:13" x14ac:dyDescent="0.2">
      <c r="A68" s="1451"/>
      <c r="B68" s="1451"/>
      <c r="I68" s="200"/>
      <c r="K68" s="1453"/>
    </row>
    <row r="69" spans="1:13" x14ac:dyDescent="0.2">
      <c r="A69" s="1451"/>
      <c r="B69" s="1451"/>
      <c r="E69" s="122" t="s">
        <v>882</v>
      </c>
      <c r="F69" s="48" t="s">
        <v>105</v>
      </c>
      <c r="H69" s="52"/>
    </row>
    <row r="70" spans="1:13" ht="15" x14ac:dyDescent="0.25">
      <c r="A70" s="1451"/>
      <c r="B70" s="1451"/>
      <c r="C70" s="56"/>
      <c r="E70" s="122" t="s">
        <v>102</v>
      </c>
      <c r="F70" s="160">
        <v>2013</v>
      </c>
      <c r="G70" s="161"/>
    </row>
    <row r="71" spans="1:13" x14ac:dyDescent="0.2">
      <c r="A71" s="1451"/>
      <c r="B71" s="1451"/>
    </row>
    <row r="72" spans="1:13" x14ac:dyDescent="0.2">
      <c r="A72" s="1451"/>
      <c r="B72" s="1451"/>
      <c r="D72" s="1606" t="s">
        <v>264</v>
      </c>
      <c r="E72" s="1607"/>
      <c r="F72" s="1607"/>
      <c r="G72" s="1608"/>
      <c r="I72" s="162"/>
      <c r="J72" s="163" t="s">
        <v>265</v>
      </c>
      <c r="K72" s="163"/>
      <c r="L72" s="164"/>
      <c r="M72" s="159"/>
    </row>
    <row r="73" spans="1:13" ht="27" x14ac:dyDescent="0.2">
      <c r="A73" s="165" t="s">
        <v>1000</v>
      </c>
      <c r="B73" s="165" t="s">
        <v>1002</v>
      </c>
      <c r="C73" s="166" t="s">
        <v>1003</v>
      </c>
      <c r="D73" s="165" t="s">
        <v>236</v>
      </c>
      <c r="E73" s="167" t="s">
        <v>1001</v>
      </c>
      <c r="F73" s="167" t="s">
        <v>1189</v>
      </c>
      <c r="G73" s="165" t="s">
        <v>263</v>
      </c>
      <c r="H73" s="168"/>
      <c r="I73" s="169" t="s">
        <v>236</v>
      </c>
      <c r="J73" s="170" t="s">
        <v>237</v>
      </c>
      <c r="K73" s="170" t="s">
        <v>1189</v>
      </c>
      <c r="L73" s="171" t="s">
        <v>263</v>
      </c>
      <c r="M73" s="165" t="s">
        <v>300</v>
      </c>
    </row>
    <row r="74" spans="1:13" ht="25.5" x14ac:dyDescent="0.2">
      <c r="A74" s="53">
        <v>12</v>
      </c>
      <c r="B74" s="1450">
        <v>1611</v>
      </c>
      <c r="C74" s="172" t="s">
        <v>381</v>
      </c>
      <c r="D74" s="173">
        <v>241021</v>
      </c>
      <c r="E74" s="173">
        <v>2716</v>
      </c>
      <c r="F74" s="173"/>
      <c r="G74" s="174">
        <f>D74+E74+F74</f>
        <v>243737</v>
      </c>
      <c r="H74" s="175"/>
      <c r="I74" s="176">
        <v>230897</v>
      </c>
      <c r="J74" s="173">
        <v>19361</v>
      </c>
      <c r="K74" s="173"/>
      <c r="L74" s="174">
        <f>I74+J74+K74</f>
        <v>250258</v>
      </c>
      <c r="M74" s="177">
        <f>G74-L74</f>
        <v>-6521</v>
      </c>
    </row>
    <row r="75" spans="1:13" ht="25.5" x14ac:dyDescent="0.2">
      <c r="A75" s="53" t="s">
        <v>274</v>
      </c>
      <c r="B75" s="1450">
        <v>1612</v>
      </c>
      <c r="C75" s="172" t="s">
        <v>442</v>
      </c>
      <c r="D75" s="173">
        <v>2945</v>
      </c>
      <c r="E75" s="173"/>
      <c r="F75" s="173"/>
      <c r="G75" s="174">
        <f>D75+E75+F75</f>
        <v>2945</v>
      </c>
      <c r="H75" s="175"/>
      <c r="I75" s="176">
        <v>2725</v>
      </c>
      <c r="J75" s="173"/>
      <c r="K75" s="173"/>
      <c r="L75" s="174">
        <f>I75+J75+K75</f>
        <v>2725</v>
      </c>
      <c r="M75" s="177">
        <f t="shared" ref="M75:M120" si="3">G75-L75</f>
        <v>220</v>
      </c>
    </row>
    <row r="76" spans="1:13" x14ac:dyDescent="0.2">
      <c r="A76" s="53" t="s">
        <v>266</v>
      </c>
      <c r="B76" s="178">
        <v>1805</v>
      </c>
      <c r="C76" s="179" t="s">
        <v>267</v>
      </c>
      <c r="D76" s="173">
        <v>2112</v>
      </c>
      <c r="E76" s="173"/>
      <c r="F76" s="173"/>
      <c r="G76" s="174">
        <f>D76+E76+F76</f>
        <v>2112</v>
      </c>
      <c r="H76" s="175"/>
      <c r="I76" s="176"/>
      <c r="J76" s="173"/>
      <c r="K76" s="173"/>
      <c r="L76" s="174">
        <f>I76+J76+K76</f>
        <v>0</v>
      </c>
      <c r="M76" s="177">
        <f t="shared" si="3"/>
        <v>2112</v>
      </c>
    </row>
    <row r="77" spans="1:13" x14ac:dyDescent="0.2">
      <c r="A77" s="53">
        <v>47</v>
      </c>
      <c r="B77" s="178">
        <v>1808</v>
      </c>
      <c r="C77" s="180" t="s">
        <v>268</v>
      </c>
      <c r="D77" s="173"/>
      <c r="E77" s="173"/>
      <c r="F77" s="173"/>
      <c r="G77" s="174">
        <f t="shared" ref="G77:G120" si="4">D77+E77+F77</f>
        <v>0</v>
      </c>
      <c r="H77" s="175"/>
      <c r="I77" s="176"/>
      <c r="J77" s="173"/>
      <c r="K77" s="173"/>
      <c r="L77" s="174">
        <f t="shared" ref="L77:L120" si="5">I77+J77+K77</f>
        <v>0</v>
      </c>
      <c r="M77" s="177">
        <f t="shared" si="3"/>
        <v>0</v>
      </c>
    </row>
    <row r="78" spans="1:13" x14ac:dyDescent="0.2">
      <c r="A78" s="53">
        <v>13</v>
      </c>
      <c r="B78" s="178">
        <v>1810</v>
      </c>
      <c r="C78" s="180" t="s">
        <v>299</v>
      </c>
      <c r="D78" s="173"/>
      <c r="E78" s="173"/>
      <c r="F78" s="173"/>
      <c r="G78" s="174">
        <f t="shared" si="4"/>
        <v>0</v>
      </c>
      <c r="H78" s="175"/>
      <c r="I78" s="176"/>
      <c r="J78" s="173"/>
      <c r="K78" s="173"/>
      <c r="L78" s="174">
        <f t="shared" si="5"/>
        <v>0</v>
      </c>
      <c r="M78" s="177">
        <f t="shared" si="3"/>
        <v>0</v>
      </c>
    </row>
    <row r="79" spans="1:13" x14ac:dyDescent="0.2">
      <c r="A79" s="53">
        <v>47</v>
      </c>
      <c r="B79" s="178">
        <v>1815</v>
      </c>
      <c r="C79" s="180" t="s">
        <v>269</v>
      </c>
      <c r="D79" s="173"/>
      <c r="E79" s="173"/>
      <c r="F79" s="173"/>
      <c r="G79" s="174">
        <f t="shared" si="4"/>
        <v>0</v>
      </c>
      <c r="H79" s="175"/>
      <c r="I79" s="176"/>
      <c r="J79" s="173"/>
      <c r="K79" s="173"/>
      <c r="L79" s="174">
        <f t="shared" si="5"/>
        <v>0</v>
      </c>
      <c r="M79" s="177">
        <f t="shared" si="3"/>
        <v>0</v>
      </c>
    </row>
    <row r="80" spans="1:13" x14ac:dyDescent="0.2">
      <c r="A80" s="53">
        <v>47</v>
      </c>
      <c r="B80" s="178">
        <v>1820</v>
      </c>
      <c r="C80" s="172" t="s">
        <v>207</v>
      </c>
      <c r="D80" s="173">
        <v>142098</v>
      </c>
      <c r="E80" s="173"/>
      <c r="F80" s="173"/>
      <c r="G80" s="174">
        <f t="shared" si="4"/>
        <v>142098</v>
      </c>
      <c r="H80" s="175"/>
      <c r="I80" s="176">
        <v>141014</v>
      </c>
      <c r="J80" s="173">
        <v>62</v>
      </c>
      <c r="K80" s="173"/>
      <c r="L80" s="174">
        <f t="shared" si="5"/>
        <v>141076</v>
      </c>
      <c r="M80" s="177">
        <f t="shared" si="3"/>
        <v>1022</v>
      </c>
    </row>
    <row r="81" spans="1:13" x14ac:dyDescent="0.2">
      <c r="A81" s="53">
        <v>47</v>
      </c>
      <c r="B81" s="178">
        <v>1825</v>
      </c>
      <c r="C81" s="180" t="s">
        <v>270</v>
      </c>
      <c r="D81" s="173"/>
      <c r="E81" s="173"/>
      <c r="F81" s="173"/>
      <c r="G81" s="174">
        <f t="shared" si="4"/>
        <v>0</v>
      </c>
      <c r="H81" s="175"/>
      <c r="I81" s="176"/>
      <c r="J81" s="173"/>
      <c r="K81" s="173"/>
      <c r="L81" s="174">
        <f t="shared" si="5"/>
        <v>0</v>
      </c>
      <c r="M81" s="177">
        <f t="shared" si="3"/>
        <v>0</v>
      </c>
    </row>
    <row r="82" spans="1:13" x14ac:dyDescent="0.2">
      <c r="A82" s="53">
        <v>47</v>
      </c>
      <c r="B82" s="178">
        <v>1830</v>
      </c>
      <c r="C82" s="180" t="s">
        <v>271</v>
      </c>
      <c r="D82" s="173">
        <v>912587</v>
      </c>
      <c r="E82" s="173">
        <v>88785</v>
      </c>
      <c r="F82" s="173"/>
      <c r="G82" s="174">
        <f t="shared" si="4"/>
        <v>1001372</v>
      </c>
      <c r="H82" s="175"/>
      <c r="I82" s="176">
        <v>233649</v>
      </c>
      <c r="J82" s="173">
        <v>18672</v>
      </c>
      <c r="K82" s="173"/>
      <c r="L82" s="174">
        <f t="shared" si="5"/>
        <v>252321</v>
      </c>
      <c r="M82" s="177">
        <f t="shared" si="3"/>
        <v>749051</v>
      </c>
    </row>
    <row r="83" spans="1:13" x14ac:dyDescent="0.2">
      <c r="A83" s="53">
        <v>47</v>
      </c>
      <c r="B83" s="178">
        <v>1835</v>
      </c>
      <c r="C83" s="180" t="s">
        <v>208</v>
      </c>
      <c r="D83" s="173">
        <v>6381164</v>
      </c>
      <c r="E83" s="173">
        <v>76806</v>
      </c>
      <c r="F83" s="173"/>
      <c r="G83" s="174">
        <f t="shared" si="4"/>
        <v>6457970</v>
      </c>
      <c r="H83" s="175"/>
      <c r="I83" s="176">
        <v>4554423</v>
      </c>
      <c r="J83" s="173">
        <v>36380</v>
      </c>
      <c r="K83" s="173"/>
      <c r="L83" s="174">
        <f t="shared" si="5"/>
        <v>4590803</v>
      </c>
      <c r="M83" s="177">
        <f t="shared" si="3"/>
        <v>1867167</v>
      </c>
    </row>
    <row r="84" spans="1:13" x14ac:dyDescent="0.2">
      <c r="A84" s="53">
        <v>47</v>
      </c>
      <c r="B84" s="178">
        <v>1840</v>
      </c>
      <c r="C84" s="180" t="s">
        <v>209</v>
      </c>
      <c r="D84" s="173">
        <v>1375872</v>
      </c>
      <c r="E84" s="173">
        <v>425196</v>
      </c>
      <c r="F84" s="173"/>
      <c r="G84" s="174">
        <f t="shared" si="4"/>
        <v>1801068</v>
      </c>
      <c r="H84" s="175"/>
      <c r="I84" s="176">
        <v>296483</v>
      </c>
      <c r="J84" s="173">
        <v>28583</v>
      </c>
      <c r="K84" s="173"/>
      <c r="L84" s="174">
        <f t="shared" si="5"/>
        <v>325066</v>
      </c>
      <c r="M84" s="177">
        <f t="shared" si="3"/>
        <v>1476002</v>
      </c>
    </row>
    <row r="85" spans="1:13" x14ac:dyDescent="0.2">
      <c r="A85" s="53">
        <v>47</v>
      </c>
      <c r="B85" s="178">
        <v>1845</v>
      </c>
      <c r="C85" s="180" t="s">
        <v>210</v>
      </c>
      <c r="D85" s="173">
        <v>7476397</v>
      </c>
      <c r="E85" s="173">
        <v>440764</v>
      </c>
      <c r="F85" s="173"/>
      <c r="G85" s="174">
        <f t="shared" si="4"/>
        <v>7917161</v>
      </c>
      <c r="H85" s="175"/>
      <c r="I85" s="176">
        <v>4814953</v>
      </c>
      <c r="J85" s="173">
        <v>91845</v>
      </c>
      <c r="K85" s="173"/>
      <c r="L85" s="174">
        <f t="shared" si="5"/>
        <v>4906798</v>
      </c>
      <c r="M85" s="177">
        <f t="shared" si="3"/>
        <v>3010363</v>
      </c>
    </row>
    <row r="86" spans="1:13" x14ac:dyDescent="0.2">
      <c r="A86" s="53">
        <v>47</v>
      </c>
      <c r="B86" s="178">
        <v>1850</v>
      </c>
      <c r="C86" s="180" t="s">
        <v>272</v>
      </c>
      <c r="D86" s="173">
        <v>5727767</v>
      </c>
      <c r="E86" s="173">
        <v>237824</v>
      </c>
      <c r="F86" s="173"/>
      <c r="G86" s="174">
        <f t="shared" si="4"/>
        <v>5965591</v>
      </c>
      <c r="H86" s="175"/>
      <c r="I86" s="176">
        <v>3531691</v>
      </c>
      <c r="J86" s="173">
        <v>72106</v>
      </c>
      <c r="K86" s="173"/>
      <c r="L86" s="174">
        <f t="shared" si="5"/>
        <v>3603797</v>
      </c>
      <c r="M86" s="177">
        <f t="shared" si="3"/>
        <v>2361794</v>
      </c>
    </row>
    <row r="87" spans="1:13" x14ac:dyDescent="0.2">
      <c r="A87" s="53">
        <v>47</v>
      </c>
      <c r="B87" s="178">
        <v>1851</v>
      </c>
      <c r="C87" s="180" t="s">
        <v>1405</v>
      </c>
      <c r="D87" s="173"/>
      <c r="E87" s="173"/>
      <c r="F87" s="173"/>
      <c r="G87" s="174">
        <f t="shared" si="4"/>
        <v>0</v>
      </c>
      <c r="H87" s="175"/>
      <c r="I87" s="176"/>
      <c r="J87" s="173"/>
      <c r="K87" s="173"/>
      <c r="L87" s="174">
        <f t="shared" si="5"/>
        <v>0</v>
      </c>
      <c r="M87" s="177">
        <f t="shared" si="3"/>
        <v>0</v>
      </c>
    </row>
    <row r="88" spans="1:13" x14ac:dyDescent="0.2">
      <c r="A88" s="53">
        <v>47</v>
      </c>
      <c r="B88" s="178">
        <v>1852</v>
      </c>
      <c r="C88" s="180" t="s">
        <v>1406</v>
      </c>
      <c r="D88" s="173"/>
      <c r="E88" s="173">
        <v>22746</v>
      </c>
      <c r="F88" s="173"/>
      <c r="G88" s="174">
        <f t="shared" si="4"/>
        <v>22746</v>
      </c>
      <c r="H88" s="175"/>
      <c r="I88" s="176"/>
      <c r="J88" s="173">
        <v>190</v>
      </c>
      <c r="K88" s="173"/>
      <c r="L88" s="174">
        <f t="shared" si="5"/>
        <v>190</v>
      </c>
      <c r="M88" s="177">
        <f t="shared" si="3"/>
        <v>22556</v>
      </c>
    </row>
    <row r="89" spans="1:13" x14ac:dyDescent="0.2">
      <c r="A89" s="53">
        <v>47</v>
      </c>
      <c r="B89" s="178">
        <v>1855</v>
      </c>
      <c r="C89" s="180" t="s">
        <v>211</v>
      </c>
      <c r="D89" s="173">
        <v>772791</v>
      </c>
      <c r="E89" s="173">
        <v>99790</v>
      </c>
      <c r="F89" s="173"/>
      <c r="G89" s="174">
        <f t="shared" si="4"/>
        <v>872581</v>
      </c>
      <c r="H89" s="175"/>
      <c r="I89" s="176">
        <v>167364</v>
      </c>
      <c r="J89" s="173">
        <v>32917</v>
      </c>
      <c r="K89" s="173"/>
      <c r="L89" s="174">
        <f t="shared" si="5"/>
        <v>200281</v>
      </c>
      <c r="M89" s="177">
        <f t="shared" si="3"/>
        <v>672300</v>
      </c>
    </row>
    <row r="90" spans="1:13" x14ac:dyDescent="0.2">
      <c r="A90" s="53">
        <v>47</v>
      </c>
      <c r="B90" s="178">
        <v>1860</v>
      </c>
      <c r="C90" s="180" t="s">
        <v>273</v>
      </c>
      <c r="D90" s="173">
        <v>516664</v>
      </c>
      <c r="E90" s="173"/>
      <c r="F90" s="173">
        <v>-516664</v>
      </c>
      <c r="G90" s="174">
        <f>D90+E90+F90</f>
        <v>0</v>
      </c>
      <c r="H90" s="175"/>
      <c r="I90" s="176">
        <v>83233</v>
      </c>
      <c r="J90" s="173"/>
      <c r="K90" s="173">
        <v>-83233</v>
      </c>
      <c r="L90" s="174">
        <f>I90+J90+K90</f>
        <v>0</v>
      </c>
      <c r="M90" s="177">
        <f t="shared" si="3"/>
        <v>0</v>
      </c>
    </row>
    <row r="91" spans="1:13" ht="25.5" x14ac:dyDescent="0.2">
      <c r="A91" s="53">
        <v>47</v>
      </c>
      <c r="B91" s="178">
        <v>1861</v>
      </c>
      <c r="C91" s="180" t="s">
        <v>1396</v>
      </c>
      <c r="D91" s="173">
        <v>912143</v>
      </c>
      <c r="E91" s="173">
        <v>24695</v>
      </c>
      <c r="F91" s="173"/>
      <c r="G91" s="174">
        <f t="shared" si="4"/>
        <v>936838</v>
      </c>
      <c r="H91" s="175"/>
      <c r="I91" s="176"/>
      <c r="J91" s="173">
        <v>128350</v>
      </c>
      <c r="K91" s="173"/>
      <c r="L91" s="174">
        <f t="shared" si="5"/>
        <v>128350</v>
      </c>
      <c r="M91" s="177">
        <f t="shared" si="3"/>
        <v>808488</v>
      </c>
    </row>
    <row r="92" spans="1:13" x14ac:dyDescent="0.2">
      <c r="A92" s="53">
        <v>47</v>
      </c>
      <c r="B92" s="178">
        <v>1862</v>
      </c>
      <c r="C92" s="180" t="s">
        <v>1397</v>
      </c>
      <c r="D92" s="173">
        <v>316116</v>
      </c>
      <c r="E92" s="173">
        <v>7039</v>
      </c>
      <c r="F92" s="173"/>
      <c r="G92" s="174">
        <f t="shared" si="4"/>
        <v>323155</v>
      </c>
      <c r="H92" s="175"/>
      <c r="I92" s="176"/>
      <c r="J92" s="173">
        <v>33942</v>
      </c>
      <c r="K92" s="173"/>
      <c r="L92" s="174">
        <f t="shared" si="5"/>
        <v>33942</v>
      </c>
      <c r="M92" s="177">
        <f t="shared" si="3"/>
        <v>289213</v>
      </c>
    </row>
    <row r="93" spans="1:13" x14ac:dyDescent="0.2">
      <c r="A93" s="53">
        <v>47</v>
      </c>
      <c r="B93" s="178">
        <v>1863</v>
      </c>
      <c r="C93" s="180" t="s">
        <v>1398</v>
      </c>
      <c r="D93" s="173">
        <v>0</v>
      </c>
      <c r="E93" s="173"/>
      <c r="F93" s="173"/>
      <c r="G93" s="174">
        <f t="shared" si="4"/>
        <v>0</v>
      </c>
      <c r="H93" s="175"/>
      <c r="I93" s="176"/>
      <c r="J93" s="173"/>
      <c r="K93" s="173"/>
      <c r="L93" s="174">
        <f t="shared" si="5"/>
        <v>0</v>
      </c>
      <c r="M93" s="177">
        <f t="shared" si="3"/>
        <v>0</v>
      </c>
    </row>
    <row r="94" spans="1:13" x14ac:dyDescent="0.2">
      <c r="A94" s="53">
        <v>47</v>
      </c>
      <c r="B94" s="178">
        <v>1864</v>
      </c>
      <c r="C94" s="180" t="s">
        <v>1399</v>
      </c>
      <c r="D94" s="173">
        <v>108572</v>
      </c>
      <c r="E94" s="173">
        <v>2462</v>
      </c>
      <c r="F94" s="173"/>
      <c r="G94" s="174">
        <f t="shared" si="4"/>
        <v>111034</v>
      </c>
      <c r="H94" s="175"/>
      <c r="I94" s="176"/>
      <c r="J94" s="173">
        <v>3176</v>
      </c>
      <c r="K94" s="173"/>
      <c r="L94" s="174">
        <f t="shared" si="5"/>
        <v>3176</v>
      </c>
      <c r="M94" s="177">
        <f t="shared" si="3"/>
        <v>107858</v>
      </c>
    </row>
    <row r="95" spans="1:13" x14ac:dyDescent="0.2">
      <c r="A95" s="53">
        <v>47</v>
      </c>
      <c r="B95" s="178">
        <v>1865</v>
      </c>
      <c r="C95" s="179" t="s">
        <v>1400</v>
      </c>
      <c r="D95" s="173">
        <v>0</v>
      </c>
      <c r="E95" s="173"/>
      <c r="F95" s="173"/>
      <c r="G95" s="174">
        <f t="shared" si="4"/>
        <v>0</v>
      </c>
      <c r="H95" s="175"/>
      <c r="I95" s="176"/>
      <c r="J95" s="173"/>
      <c r="K95" s="173"/>
      <c r="L95" s="174">
        <f t="shared" si="5"/>
        <v>0</v>
      </c>
      <c r="M95" s="177">
        <f t="shared" si="3"/>
        <v>0</v>
      </c>
    </row>
    <row r="96" spans="1:13" x14ac:dyDescent="0.2">
      <c r="A96" s="53" t="s">
        <v>266</v>
      </c>
      <c r="B96" s="178">
        <v>1905</v>
      </c>
      <c r="C96" s="179" t="s">
        <v>267</v>
      </c>
      <c r="D96" s="173">
        <v>171765</v>
      </c>
      <c r="E96" s="173"/>
      <c r="F96" s="173"/>
      <c r="G96" s="174">
        <f t="shared" si="4"/>
        <v>171765</v>
      </c>
      <c r="H96" s="175"/>
      <c r="I96" s="176"/>
      <c r="J96" s="173"/>
      <c r="K96" s="173"/>
      <c r="L96" s="174">
        <f t="shared" si="5"/>
        <v>0</v>
      </c>
      <c r="M96" s="177">
        <f t="shared" si="3"/>
        <v>171765</v>
      </c>
    </row>
    <row r="97" spans="1:13" x14ac:dyDescent="0.2">
      <c r="A97" s="53">
        <v>47</v>
      </c>
      <c r="B97" s="178">
        <v>1908</v>
      </c>
      <c r="C97" s="180" t="s">
        <v>275</v>
      </c>
      <c r="D97" s="173">
        <v>664871</v>
      </c>
      <c r="E97" s="173"/>
      <c r="F97" s="173"/>
      <c r="G97" s="174">
        <f t="shared" si="4"/>
        <v>664871</v>
      </c>
      <c r="H97" s="175"/>
      <c r="I97" s="176">
        <v>346577</v>
      </c>
      <c r="J97" s="173">
        <v>14490</v>
      </c>
      <c r="K97" s="173"/>
      <c r="L97" s="174">
        <f t="shared" si="5"/>
        <v>361067</v>
      </c>
      <c r="M97" s="177">
        <f t="shared" si="3"/>
        <v>303804</v>
      </c>
    </row>
    <row r="98" spans="1:13" x14ac:dyDescent="0.2">
      <c r="A98" s="53">
        <v>13</v>
      </c>
      <c r="B98" s="178">
        <v>1910</v>
      </c>
      <c r="C98" s="180" t="s">
        <v>299</v>
      </c>
      <c r="D98" s="173"/>
      <c r="E98" s="173"/>
      <c r="F98" s="173"/>
      <c r="G98" s="174">
        <f t="shared" si="4"/>
        <v>0</v>
      </c>
      <c r="H98" s="175"/>
      <c r="I98" s="176"/>
      <c r="J98" s="173"/>
      <c r="K98" s="173"/>
      <c r="L98" s="174">
        <f t="shared" si="5"/>
        <v>0</v>
      </c>
      <c r="M98" s="177">
        <f t="shared" si="3"/>
        <v>0</v>
      </c>
    </row>
    <row r="99" spans="1:13" x14ac:dyDescent="0.2">
      <c r="A99" s="53">
        <v>8</v>
      </c>
      <c r="B99" s="178">
        <v>1915</v>
      </c>
      <c r="C99" s="180" t="s">
        <v>213</v>
      </c>
      <c r="D99" s="173">
        <v>242954</v>
      </c>
      <c r="E99" s="173">
        <v>2223</v>
      </c>
      <c r="F99" s="173"/>
      <c r="G99" s="174">
        <f t="shared" si="4"/>
        <v>245177</v>
      </c>
      <c r="H99" s="175"/>
      <c r="I99" s="176">
        <v>211554</v>
      </c>
      <c r="J99" s="173">
        <v>6873</v>
      </c>
      <c r="K99" s="173"/>
      <c r="L99" s="174">
        <f t="shared" si="5"/>
        <v>218427</v>
      </c>
      <c r="M99" s="177">
        <f t="shared" si="3"/>
        <v>26750</v>
      </c>
    </row>
    <row r="100" spans="1:13" x14ac:dyDescent="0.2">
      <c r="A100" s="53">
        <v>8</v>
      </c>
      <c r="B100" s="178">
        <v>1915</v>
      </c>
      <c r="C100" s="180" t="s">
        <v>214</v>
      </c>
      <c r="D100" s="173"/>
      <c r="E100" s="173"/>
      <c r="F100" s="173"/>
      <c r="G100" s="174">
        <f t="shared" si="4"/>
        <v>0</v>
      </c>
      <c r="H100" s="175"/>
      <c r="I100" s="176"/>
      <c r="J100" s="173"/>
      <c r="K100" s="173"/>
      <c r="L100" s="174">
        <f t="shared" si="5"/>
        <v>0</v>
      </c>
      <c r="M100" s="177">
        <f t="shared" si="3"/>
        <v>0</v>
      </c>
    </row>
    <row r="101" spans="1:13" x14ac:dyDescent="0.2">
      <c r="A101" s="53">
        <v>10</v>
      </c>
      <c r="B101" s="178">
        <v>1920</v>
      </c>
      <c r="C101" s="180" t="s">
        <v>215</v>
      </c>
      <c r="D101" s="173">
        <v>365612</v>
      </c>
      <c r="E101" s="173">
        <v>2165</v>
      </c>
      <c r="F101" s="173"/>
      <c r="G101" s="174">
        <f t="shared" si="4"/>
        <v>367777</v>
      </c>
      <c r="H101" s="175"/>
      <c r="I101" s="176">
        <v>358974</v>
      </c>
      <c r="J101" s="173">
        <v>5837</v>
      </c>
      <c r="K101" s="173"/>
      <c r="L101" s="174">
        <f t="shared" si="5"/>
        <v>364811</v>
      </c>
      <c r="M101" s="177">
        <f t="shared" si="3"/>
        <v>2966</v>
      </c>
    </row>
    <row r="102" spans="1:13" ht="25.5" x14ac:dyDescent="0.2">
      <c r="A102" s="53">
        <v>45</v>
      </c>
      <c r="B102" s="181">
        <v>1920</v>
      </c>
      <c r="C102" s="172" t="s">
        <v>217</v>
      </c>
      <c r="D102" s="173"/>
      <c r="E102" s="173"/>
      <c r="F102" s="173"/>
      <c r="G102" s="174">
        <f t="shared" si="4"/>
        <v>0</v>
      </c>
      <c r="H102" s="175"/>
      <c r="I102" s="176"/>
      <c r="J102" s="173"/>
      <c r="K102" s="173"/>
      <c r="L102" s="174">
        <f t="shared" si="5"/>
        <v>0</v>
      </c>
      <c r="M102" s="177">
        <f t="shared" si="3"/>
        <v>0</v>
      </c>
    </row>
    <row r="103" spans="1:13" ht="25.5" x14ac:dyDescent="0.2">
      <c r="A103" s="53">
        <v>45.1</v>
      </c>
      <c r="B103" s="181">
        <v>1920</v>
      </c>
      <c r="C103" s="172" t="s">
        <v>216</v>
      </c>
      <c r="D103" s="173"/>
      <c r="E103" s="173"/>
      <c r="F103" s="173"/>
      <c r="G103" s="174">
        <f t="shared" si="4"/>
        <v>0</v>
      </c>
      <c r="H103" s="175"/>
      <c r="I103" s="176"/>
      <c r="J103" s="173"/>
      <c r="K103" s="173"/>
      <c r="L103" s="174">
        <f t="shared" si="5"/>
        <v>0</v>
      </c>
      <c r="M103" s="177">
        <f t="shared" si="3"/>
        <v>0</v>
      </c>
    </row>
    <row r="104" spans="1:13" x14ac:dyDescent="0.2">
      <c r="A104" s="53">
        <v>10</v>
      </c>
      <c r="B104" s="1450">
        <v>1930</v>
      </c>
      <c r="C104" s="180" t="s">
        <v>286</v>
      </c>
      <c r="D104" s="173">
        <v>1886565</v>
      </c>
      <c r="E104" s="173"/>
      <c r="F104" s="173">
        <v>-1886565</v>
      </c>
      <c r="G104" s="174">
        <f>D104+E104+F104</f>
        <v>0</v>
      </c>
      <c r="H104" s="175"/>
      <c r="I104" s="176">
        <v>1645381</v>
      </c>
      <c r="J104" s="173"/>
      <c r="K104" s="173">
        <v>-1645381</v>
      </c>
      <c r="L104" s="174">
        <f>I104+J104+K104</f>
        <v>0</v>
      </c>
      <c r="M104" s="177">
        <f t="shared" si="3"/>
        <v>0</v>
      </c>
    </row>
    <row r="105" spans="1:13" x14ac:dyDescent="0.2">
      <c r="A105" s="53">
        <v>10</v>
      </c>
      <c r="B105" s="1473">
        <v>1931</v>
      </c>
      <c r="C105" s="180" t="s">
        <v>1401</v>
      </c>
      <c r="D105" s="173">
        <v>94305</v>
      </c>
      <c r="E105" s="173"/>
      <c r="F105" s="173"/>
      <c r="G105" s="174">
        <f>D105+E105-F105</f>
        <v>94305</v>
      </c>
      <c r="H105" s="175"/>
      <c r="I105" s="176"/>
      <c r="J105" s="173">
        <v>10478</v>
      </c>
      <c r="K105" s="173"/>
      <c r="L105" s="174">
        <f t="shared" si="5"/>
        <v>10478</v>
      </c>
      <c r="M105" s="177">
        <f t="shared" si="3"/>
        <v>83827</v>
      </c>
    </row>
    <row r="106" spans="1:13" x14ac:dyDescent="0.2">
      <c r="A106" s="53">
        <v>10</v>
      </c>
      <c r="B106" s="1473">
        <v>1932</v>
      </c>
      <c r="C106" s="180" t="s">
        <v>1402</v>
      </c>
      <c r="D106" s="173">
        <v>146879</v>
      </c>
      <c r="E106" s="173">
        <v>30000</v>
      </c>
      <c r="F106" s="173">
        <v>-4500</v>
      </c>
      <c r="G106" s="174">
        <f>D106+E106+F106</f>
        <v>172379</v>
      </c>
      <c r="H106" s="175"/>
      <c r="I106" s="176"/>
      <c r="J106" s="173">
        <v>56383</v>
      </c>
      <c r="K106" s="173"/>
      <c r="L106" s="174">
        <f t="shared" si="5"/>
        <v>56383</v>
      </c>
      <c r="M106" s="177">
        <f t="shared" si="3"/>
        <v>115996</v>
      </c>
    </row>
    <row r="107" spans="1:13" x14ac:dyDescent="0.2">
      <c r="A107" s="53">
        <v>10</v>
      </c>
      <c r="B107" s="1473">
        <v>1933</v>
      </c>
      <c r="C107" s="180" t="s">
        <v>1403</v>
      </c>
      <c r="D107" s="173">
        <v>0</v>
      </c>
      <c r="E107" s="173"/>
      <c r="F107" s="173"/>
      <c r="G107" s="174">
        <f>D107+E107-F107</f>
        <v>0</v>
      </c>
      <c r="H107" s="175"/>
      <c r="I107" s="176"/>
      <c r="J107" s="173"/>
      <c r="K107" s="173"/>
      <c r="L107" s="174">
        <f t="shared" si="5"/>
        <v>0</v>
      </c>
      <c r="M107" s="177">
        <f t="shared" si="3"/>
        <v>0</v>
      </c>
    </row>
    <row r="108" spans="1:13" x14ac:dyDescent="0.2">
      <c r="A108" s="53">
        <v>8</v>
      </c>
      <c r="B108" s="1450">
        <v>1935</v>
      </c>
      <c r="C108" s="180" t="s">
        <v>287</v>
      </c>
      <c r="D108" s="173"/>
      <c r="E108" s="173"/>
      <c r="F108" s="173"/>
      <c r="G108" s="174">
        <f t="shared" si="4"/>
        <v>0</v>
      </c>
      <c r="H108" s="175"/>
      <c r="I108" s="176"/>
      <c r="J108" s="173"/>
      <c r="K108" s="173"/>
      <c r="L108" s="174">
        <f t="shared" si="5"/>
        <v>0</v>
      </c>
      <c r="M108" s="177">
        <f t="shared" si="3"/>
        <v>0</v>
      </c>
    </row>
    <row r="109" spans="1:13" x14ac:dyDescent="0.2">
      <c r="A109" s="53">
        <v>8</v>
      </c>
      <c r="B109" s="1450">
        <v>1940</v>
      </c>
      <c r="C109" s="180" t="s">
        <v>288</v>
      </c>
      <c r="D109" s="173">
        <v>365513</v>
      </c>
      <c r="E109" s="173">
        <v>15400</v>
      </c>
      <c r="F109" s="173"/>
      <c r="G109" s="174">
        <f t="shared" si="4"/>
        <v>380913</v>
      </c>
      <c r="H109" s="175"/>
      <c r="I109" s="176">
        <v>319112</v>
      </c>
      <c r="J109" s="173">
        <v>13361</v>
      </c>
      <c r="K109" s="173"/>
      <c r="L109" s="174">
        <f t="shared" si="5"/>
        <v>332473</v>
      </c>
      <c r="M109" s="177">
        <f t="shared" si="3"/>
        <v>48440</v>
      </c>
    </row>
    <row r="110" spans="1:13" x14ac:dyDescent="0.2">
      <c r="A110" s="53">
        <v>8</v>
      </c>
      <c r="B110" s="1450">
        <v>1945</v>
      </c>
      <c r="C110" s="180" t="s">
        <v>289</v>
      </c>
      <c r="D110" s="173"/>
      <c r="E110" s="173"/>
      <c r="F110" s="173"/>
      <c r="G110" s="174">
        <f t="shared" si="4"/>
        <v>0</v>
      </c>
      <c r="H110" s="175"/>
      <c r="I110" s="176"/>
      <c r="J110" s="173"/>
      <c r="K110" s="173"/>
      <c r="L110" s="174">
        <f t="shared" si="5"/>
        <v>0</v>
      </c>
      <c r="M110" s="177">
        <f t="shared" si="3"/>
        <v>0</v>
      </c>
    </row>
    <row r="111" spans="1:13" x14ac:dyDescent="0.2">
      <c r="A111" s="53">
        <v>8</v>
      </c>
      <c r="B111" s="1450">
        <v>1950</v>
      </c>
      <c r="C111" s="180" t="s">
        <v>218</v>
      </c>
      <c r="D111" s="173"/>
      <c r="E111" s="173"/>
      <c r="F111" s="173"/>
      <c r="G111" s="174">
        <f t="shared" si="4"/>
        <v>0</v>
      </c>
      <c r="H111" s="175"/>
      <c r="I111" s="182"/>
      <c r="J111" s="173"/>
      <c r="K111" s="173"/>
      <c r="L111" s="174">
        <f t="shared" si="5"/>
        <v>0</v>
      </c>
      <c r="M111" s="177">
        <f t="shared" si="3"/>
        <v>0</v>
      </c>
    </row>
    <row r="112" spans="1:13" x14ac:dyDescent="0.2">
      <c r="A112" s="53">
        <v>8</v>
      </c>
      <c r="B112" s="1450">
        <v>1955</v>
      </c>
      <c r="C112" s="180" t="s">
        <v>290</v>
      </c>
      <c r="D112" s="173">
        <v>35831</v>
      </c>
      <c r="E112" s="173">
        <v>275</v>
      </c>
      <c r="F112" s="173"/>
      <c r="G112" s="174">
        <f t="shared" si="4"/>
        <v>36106</v>
      </c>
      <c r="H112" s="175"/>
      <c r="I112" s="176">
        <v>24745</v>
      </c>
      <c r="J112" s="173">
        <v>1483</v>
      </c>
      <c r="K112" s="173"/>
      <c r="L112" s="174">
        <f t="shared" si="5"/>
        <v>26228</v>
      </c>
      <c r="M112" s="177">
        <f t="shared" si="3"/>
        <v>9878</v>
      </c>
    </row>
    <row r="113" spans="1:13" x14ac:dyDescent="0.2">
      <c r="A113" s="183">
        <v>8</v>
      </c>
      <c r="B113" s="181">
        <v>1955</v>
      </c>
      <c r="C113" s="184" t="s">
        <v>219</v>
      </c>
      <c r="D113" s="173"/>
      <c r="E113" s="173"/>
      <c r="F113" s="173"/>
      <c r="G113" s="174">
        <f t="shared" si="4"/>
        <v>0</v>
      </c>
      <c r="H113" s="175"/>
      <c r="I113" s="176"/>
      <c r="J113" s="173"/>
      <c r="K113" s="173"/>
      <c r="L113" s="174">
        <f t="shared" si="5"/>
        <v>0</v>
      </c>
      <c r="M113" s="177">
        <f t="shared" si="3"/>
        <v>0</v>
      </c>
    </row>
    <row r="114" spans="1:13" x14ac:dyDescent="0.2">
      <c r="A114" s="183">
        <v>8</v>
      </c>
      <c r="B114" s="185">
        <v>1960</v>
      </c>
      <c r="C114" s="172" t="s">
        <v>220</v>
      </c>
      <c r="D114" s="173"/>
      <c r="E114" s="173"/>
      <c r="F114" s="173"/>
      <c r="G114" s="174">
        <f t="shared" si="4"/>
        <v>0</v>
      </c>
      <c r="H114" s="175"/>
      <c r="I114" s="176"/>
      <c r="J114" s="173"/>
      <c r="K114" s="173"/>
      <c r="L114" s="174">
        <f t="shared" si="5"/>
        <v>0</v>
      </c>
      <c r="M114" s="177">
        <f t="shared" si="3"/>
        <v>0</v>
      </c>
    </row>
    <row r="115" spans="1:13" ht="25.5" x14ac:dyDescent="0.2">
      <c r="A115" s="186">
        <v>47</v>
      </c>
      <c r="B115" s="185">
        <v>1970</v>
      </c>
      <c r="C115" s="180" t="s">
        <v>501</v>
      </c>
      <c r="D115" s="173"/>
      <c r="E115" s="173"/>
      <c r="F115" s="173"/>
      <c r="G115" s="174">
        <f t="shared" si="4"/>
        <v>0</v>
      </c>
      <c r="H115" s="175"/>
      <c r="I115" s="176"/>
      <c r="J115" s="173"/>
      <c r="K115" s="173"/>
      <c r="L115" s="174">
        <f t="shared" si="5"/>
        <v>0</v>
      </c>
      <c r="M115" s="177">
        <f t="shared" si="3"/>
        <v>0</v>
      </c>
    </row>
    <row r="116" spans="1:13" ht="25.5" x14ac:dyDescent="0.2">
      <c r="A116" s="53">
        <v>47</v>
      </c>
      <c r="B116" s="1450">
        <v>1975</v>
      </c>
      <c r="C116" s="180" t="s">
        <v>291</v>
      </c>
      <c r="D116" s="173"/>
      <c r="E116" s="173"/>
      <c r="F116" s="173"/>
      <c r="G116" s="174">
        <f t="shared" si="4"/>
        <v>0</v>
      </c>
      <c r="H116" s="175"/>
      <c r="I116" s="176"/>
      <c r="J116" s="173"/>
      <c r="K116" s="173"/>
      <c r="L116" s="174">
        <f t="shared" si="5"/>
        <v>0</v>
      </c>
      <c r="M116" s="177">
        <f t="shared" si="3"/>
        <v>0</v>
      </c>
    </row>
    <row r="117" spans="1:13" x14ac:dyDescent="0.2">
      <c r="A117" s="53">
        <v>47</v>
      </c>
      <c r="B117" s="1450">
        <v>1980</v>
      </c>
      <c r="C117" s="180" t="s">
        <v>292</v>
      </c>
      <c r="D117" s="173"/>
      <c r="E117" s="173"/>
      <c r="F117" s="173"/>
      <c r="G117" s="174">
        <f t="shared" si="4"/>
        <v>0</v>
      </c>
      <c r="H117" s="175"/>
      <c r="I117" s="176"/>
      <c r="J117" s="173"/>
      <c r="K117" s="173"/>
      <c r="L117" s="174">
        <f t="shared" si="5"/>
        <v>0</v>
      </c>
      <c r="M117" s="177">
        <f t="shared" si="3"/>
        <v>0</v>
      </c>
    </row>
    <row r="118" spans="1:13" x14ac:dyDescent="0.2">
      <c r="A118" s="53">
        <v>47</v>
      </c>
      <c r="B118" s="1450">
        <v>1985</v>
      </c>
      <c r="C118" s="180" t="s">
        <v>1404</v>
      </c>
      <c r="D118" s="173">
        <v>15</v>
      </c>
      <c r="E118" s="173"/>
      <c r="F118" s="173"/>
      <c r="G118" s="174">
        <f t="shared" si="4"/>
        <v>15</v>
      </c>
      <c r="H118" s="175"/>
      <c r="I118" s="176"/>
      <c r="J118" s="173"/>
      <c r="K118" s="173"/>
      <c r="L118" s="174">
        <f t="shared" si="5"/>
        <v>0</v>
      </c>
      <c r="M118" s="177">
        <f t="shared" si="3"/>
        <v>15</v>
      </c>
    </row>
    <row r="119" spans="1:13" x14ac:dyDescent="0.2">
      <c r="A119" s="186">
        <v>47</v>
      </c>
      <c r="B119" s="1450">
        <v>1990</v>
      </c>
      <c r="C119" s="1449" t="s">
        <v>502</v>
      </c>
      <c r="D119" s="173"/>
      <c r="E119" s="173"/>
      <c r="F119" s="173"/>
      <c r="G119" s="174">
        <f t="shared" si="4"/>
        <v>0</v>
      </c>
      <c r="H119" s="175"/>
      <c r="I119" s="176"/>
      <c r="J119" s="173"/>
      <c r="K119" s="173"/>
      <c r="L119" s="174">
        <f t="shared" si="5"/>
        <v>0</v>
      </c>
      <c r="M119" s="177">
        <f t="shared" si="3"/>
        <v>0</v>
      </c>
    </row>
    <row r="120" spans="1:13" x14ac:dyDescent="0.2">
      <c r="A120" s="53">
        <v>47</v>
      </c>
      <c r="B120" s="1450">
        <v>1995</v>
      </c>
      <c r="C120" s="180" t="s">
        <v>294</v>
      </c>
      <c r="D120" s="173">
        <v>-4316948</v>
      </c>
      <c r="E120" s="173">
        <v>-1175443</v>
      </c>
      <c r="F120" s="173"/>
      <c r="G120" s="174">
        <f t="shared" si="4"/>
        <v>-5492391</v>
      </c>
      <c r="H120" s="175"/>
      <c r="I120" s="176">
        <v>-1229529</v>
      </c>
      <c r="J120" s="173">
        <v>-197739</v>
      </c>
      <c r="K120" s="173"/>
      <c r="L120" s="174">
        <f t="shared" si="5"/>
        <v>-1427268</v>
      </c>
      <c r="M120" s="177">
        <f t="shared" si="3"/>
        <v>-4065123</v>
      </c>
    </row>
    <row r="121" spans="1:13" ht="14.25" x14ac:dyDescent="0.2">
      <c r="A121" s="53">
        <v>47</v>
      </c>
      <c r="B121" s="1450">
        <v>2440</v>
      </c>
      <c r="C121" s="180" t="s">
        <v>950</v>
      </c>
      <c r="D121" s="173"/>
      <c r="E121" s="173"/>
      <c r="F121" s="173"/>
      <c r="G121" s="174"/>
      <c r="I121" s="176"/>
      <c r="J121" s="173"/>
      <c r="K121" s="173"/>
      <c r="L121" s="174"/>
      <c r="M121" s="177"/>
    </row>
    <row r="122" spans="1:13" x14ac:dyDescent="0.2">
      <c r="A122" s="187"/>
      <c r="B122" s="187"/>
      <c r="C122" s="188"/>
      <c r="D122" s="189"/>
      <c r="E122" s="189"/>
      <c r="F122" s="189"/>
      <c r="G122" s="174">
        <f>D122+E122+F122</f>
        <v>0</v>
      </c>
      <c r="I122" s="189"/>
      <c r="J122" s="189"/>
      <c r="K122" s="189"/>
      <c r="L122" s="174">
        <f>I122+J122+K122</f>
        <v>0</v>
      </c>
      <c r="M122" s="177">
        <f>G122+L122</f>
        <v>0</v>
      </c>
    </row>
    <row r="123" spans="1:13" x14ac:dyDescent="0.2">
      <c r="A123" s="187"/>
      <c r="B123" s="187"/>
      <c r="C123" s="190" t="s">
        <v>204</v>
      </c>
      <c r="D123" s="191">
        <f>SUM(D74:D122)</f>
        <v>24545611</v>
      </c>
      <c r="E123" s="191">
        <f>SUM(E74:E122)</f>
        <v>303443</v>
      </c>
      <c r="F123" s="191">
        <f>SUM(F74:F122)</f>
        <v>-2407729</v>
      </c>
      <c r="G123" s="191">
        <f>SUM(G74:G122)</f>
        <v>22441325</v>
      </c>
      <c r="H123" s="191"/>
      <c r="I123" s="191">
        <f>SUM(I74:I122)</f>
        <v>15733246</v>
      </c>
      <c r="J123" s="191">
        <f>SUM(J74:J122)</f>
        <v>376750</v>
      </c>
      <c r="K123" s="191">
        <f>SUM(K74:K122)</f>
        <v>-1728614</v>
      </c>
      <c r="L123" s="191">
        <f>SUM(L74:L122)</f>
        <v>14381382</v>
      </c>
      <c r="M123" s="191">
        <f>SUM(M74:M122)</f>
        <v>8059943</v>
      </c>
    </row>
    <row r="124" spans="1:13" ht="37.5" x14ac:dyDescent="0.2">
      <c r="A124" s="187"/>
      <c r="B124" s="187"/>
      <c r="C124" s="192" t="s">
        <v>597</v>
      </c>
      <c r="D124" s="189"/>
      <c r="E124" s="189"/>
      <c r="F124" s="189"/>
      <c r="G124" s="174">
        <f>D124+E124+F124</f>
        <v>0</v>
      </c>
      <c r="I124" s="189"/>
      <c r="J124" s="189"/>
      <c r="K124" s="189"/>
      <c r="L124" s="174">
        <f>I124+J124+K124</f>
        <v>0</v>
      </c>
      <c r="M124" s="177">
        <f>G124+L124</f>
        <v>0</v>
      </c>
    </row>
    <row r="125" spans="1:13" ht="25.5" x14ac:dyDescent="0.2">
      <c r="A125" s="187"/>
      <c r="B125" s="187"/>
      <c r="C125" s="193" t="s">
        <v>596</v>
      </c>
      <c r="D125" s="189"/>
      <c r="E125" s="189"/>
      <c r="F125" s="189"/>
      <c r="G125" s="174">
        <f>D125+E125+F125</f>
        <v>0</v>
      </c>
      <c r="I125" s="189"/>
      <c r="J125" s="189"/>
      <c r="K125" s="189"/>
      <c r="L125" s="174">
        <f>I125+J125+K125</f>
        <v>0</v>
      </c>
      <c r="M125" s="177">
        <f>G125+L125</f>
        <v>0</v>
      </c>
    </row>
    <row r="126" spans="1:13" x14ac:dyDescent="0.2">
      <c r="A126" s="187"/>
      <c r="B126" s="187"/>
      <c r="C126" s="190" t="s">
        <v>503</v>
      </c>
      <c r="D126" s="191">
        <f>SUM(D123:D125)</f>
        <v>24545611</v>
      </c>
      <c r="E126" s="191">
        <f>SUM(E123:E125)</f>
        <v>303443</v>
      </c>
      <c r="F126" s="191">
        <f>SUM(F123:F125)</f>
        <v>-2407729</v>
      </c>
      <c r="G126" s="191">
        <f>SUM(G123:G125)</f>
        <v>22441325</v>
      </c>
      <c r="H126" s="191"/>
      <c r="I126" s="191">
        <f>SUM(I123:I125)</f>
        <v>15733246</v>
      </c>
      <c r="J126" s="191">
        <f>SUM(J123:J125)</f>
        <v>376750</v>
      </c>
      <c r="K126" s="191">
        <f>SUM(K123:K125)</f>
        <v>-1728614</v>
      </c>
      <c r="L126" s="191">
        <f>SUM(L123:L125)</f>
        <v>14381382</v>
      </c>
      <c r="M126" s="191">
        <f>SUM(M123:M125)</f>
        <v>8059943</v>
      </c>
    </row>
    <row r="127" spans="1:13" ht="14.25" x14ac:dyDescent="0.2">
      <c r="A127" s="187"/>
      <c r="B127" s="187"/>
      <c r="C127" s="1603" t="s">
        <v>912</v>
      </c>
      <c r="D127" s="1604"/>
      <c r="E127" s="1604"/>
      <c r="F127" s="1604"/>
      <c r="G127" s="1604"/>
      <c r="H127" s="1604"/>
      <c r="I127" s="1605"/>
      <c r="J127" s="189"/>
      <c r="K127" s="194"/>
      <c r="L127" s="195"/>
      <c r="M127" s="196"/>
    </row>
    <row r="128" spans="1:13" x14ac:dyDescent="0.2">
      <c r="A128" s="187"/>
      <c r="B128" s="187"/>
      <c r="C128" s="1603" t="s">
        <v>295</v>
      </c>
      <c r="D128" s="1604"/>
      <c r="E128" s="1604"/>
      <c r="F128" s="1604"/>
      <c r="G128" s="1604"/>
      <c r="H128" s="1604"/>
      <c r="I128" s="1605"/>
      <c r="J128" s="191">
        <f>J126+J127</f>
        <v>376750</v>
      </c>
      <c r="K128" s="194"/>
      <c r="L128" s="195"/>
      <c r="M128" s="196"/>
    </row>
    <row r="129" spans="1:13" x14ac:dyDescent="0.2">
      <c r="A129" s="1451"/>
      <c r="B129" s="1451"/>
    </row>
    <row r="130" spans="1:13" x14ac:dyDescent="0.2">
      <c r="A130" s="1451"/>
      <c r="B130" s="1451"/>
      <c r="I130" s="197" t="s">
        <v>422</v>
      </c>
      <c r="J130" s="1452"/>
    </row>
    <row r="131" spans="1:13" x14ac:dyDescent="0.2">
      <c r="A131" s="187">
        <v>10</v>
      </c>
      <c r="B131" s="187"/>
      <c r="C131" s="188" t="s">
        <v>296</v>
      </c>
      <c r="I131" s="1452" t="s">
        <v>296</v>
      </c>
      <c r="J131" s="1452"/>
      <c r="K131" s="198">
        <f>J104+J105+J106+J107</f>
        <v>66861</v>
      </c>
    </row>
    <row r="132" spans="1:13" x14ac:dyDescent="0.2">
      <c r="A132" s="187">
        <v>8</v>
      </c>
      <c r="B132" s="187"/>
      <c r="C132" s="188" t="s">
        <v>287</v>
      </c>
      <c r="I132" s="1452" t="s">
        <v>851</v>
      </c>
      <c r="J132" s="1452"/>
      <c r="K132" s="199">
        <f>J112</f>
        <v>1483</v>
      </c>
    </row>
    <row r="133" spans="1:13" x14ac:dyDescent="0.2">
      <c r="A133" s="1451"/>
      <c r="B133" s="1451"/>
      <c r="I133" s="200" t="s">
        <v>297</v>
      </c>
      <c r="K133" s="201">
        <f>J128-K131-K132</f>
        <v>308406</v>
      </c>
    </row>
    <row r="134" spans="1:13" x14ac:dyDescent="0.2">
      <c r="A134" s="1451"/>
      <c r="B134" s="1451"/>
      <c r="I134" s="200"/>
      <c r="K134" s="1453"/>
    </row>
    <row r="135" spans="1:13" x14ac:dyDescent="0.2">
      <c r="A135" s="1474"/>
      <c r="B135" s="1474"/>
      <c r="E135" s="122" t="s">
        <v>882</v>
      </c>
      <c r="F135" s="48" t="s">
        <v>105</v>
      </c>
      <c r="H135" s="52"/>
    </row>
    <row r="136" spans="1:13" ht="15" x14ac:dyDescent="0.25">
      <c r="A136" s="1474"/>
      <c r="B136" s="1474"/>
      <c r="C136" s="56"/>
      <c r="E136" s="122" t="s">
        <v>102</v>
      </c>
      <c r="F136" s="160">
        <v>2014</v>
      </c>
      <c r="G136" s="161"/>
    </row>
    <row r="137" spans="1:13" x14ac:dyDescent="0.2">
      <c r="A137" s="1474"/>
      <c r="B137" s="1474"/>
    </row>
    <row r="138" spans="1:13" x14ac:dyDescent="0.2">
      <c r="A138" s="1474"/>
      <c r="B138" s="1474"/>
      <c r="D138" s="1606" t="s">
        <v>264</v>
      </c>
      <c r="E138" s="1607"/>
      <c r="F138" s="1607"/>
      <c r="G138" s="1608"/>
      <c r="I138" s="162"/>
      <c r="J138" s="163" t="s">
        <v>265</v>
      </c>
      <c r="K138" s="163"/>
      <c r="L138" s="164"/>
      <c r="M138" s="159"/>
    </row>
    <row r="139" spans="1:13" ht="27" x14ac:dyDescent="0.2">
      <c r="A139" s="165" t="s">
        <v>1000</v>
      </c>
      <c r="B139" s="165" t="s">
        <v>1002</v>
      </c>
      <c r="C139" s="166" t="s">
        <v>1003</v>
      </c>
      <c r="D139" s="165" t="s">
        <v>236</v>
      </c>
      <c r="E139" s="167" t="s">
        <v>1001</v>
      </c>
      <c r="F139" s="167" t="s">
        <v>1189</v>
      </c>
      <c r="G139" s="165" t="s">
        <v>263</v>
      </c>
      <c r="H139" s="168"/>
      <c r="I139" s="169" t="s">
        <v>236</v>
      </c>
      <c r="J139" s="170" t="s">
        <v>237</v>
      </c>
      <c r="K139" s="170" t="s">
        <v>1189</v>
      </c>
      <c r="L139" s="171" t="s">
        <v>263</v>
      </c>
      <c r="M139" s="165" t="s">
        <v>300</v>
      </c>
    </row>
    <row r="140" spans="1:13" ht="25.5" x14ac:dyDescent="0.2">
      <c r="A140" s="53">
        <v>12</v>
      </c>
      <c r="B140" s="1473">
        <v>1611</v>
      </c>
      <c r="C140" s="172" t="s">
        <v>381</v>
      </c>
      <c r="D140" s="173">
        <v>243737</v>
      </c>
      <c r="E140" s="173">
        <v>13313</v>
      </c>
      <c r="F140" s="173"/>
      <c r="G140" s="174">
        <f>D140+E140+F140</f>
        <v>257050</v>
      </c>
      <c r="H140" s="175"/>
      <c r="I140" s="176">
        <v>250258</v>
      </c>
      <c r="J140" s="173">
        <v>2851</v>
      </c>
      <c r="K140" s="173"/>
      <c r="L140" s="174">
        <f>I140+J140+K140</f>
        <v>253109</v>
      </c>
      <c r="M140" s="177">
        <f>G140-L140</f>
        <v>3941</v>
      </c>
    </row>
    <row r="141" spans="1:13" ht="25.5" x14ac:dyDescent="0.2">
      <c r="A141" s="53" t="s">
        <v>274</v>
      </c>
      <c r="B141" s="1473">
        <v>1612</v>
      </c>
      <c r="C141" s="172" t="s">
        <v>442</v>
      </c>
      <c r="D141" s="173">
        <v>2945</v>
      </c>
      <c r="E141" s="173"/>
      <c r="F141" s="173"/>
      <c r="G141" s="174">
        <f>D141+E141+F141</f>
        <v>2945</v>
      </c>
      <c r="H141" s="175"/>
      <c r="I141" s="176">
        <v>2725</v>
      </c>
      <c r="J141" s="173">
        <v>0</v>
      </c>
      <c r="K141" s="173"/>
      <c r="L141" s="174">
        <f>I141+J141+K141</f>
        <v>2725</v>
      </c>
      <c r="M141" s="177">
        <f t="shared" ref="M141:M186" si="6">G141-L141</f>
        <v>220</v>
      </c>
    </row>
    <row r="142" spans="1:13" x14ac:dyDescent="0.2">
      <c r="A142" s="53" t="s">
        <v>266</v>
      </c>
      <c r="B142" s="178">
        <v>1805</v>
      </c>
      <c r="C142" s="179" t="s">
        <v>267</v>
      </c>
      <c r="D142" s="173">
        <v>2112</v>
      </c>
      <c r="E142" s="173"/>
      <c r="F142" s="173"/>
      <c r="G142" s="174">
        <f>D142+E142+F142</f>
        <v>2112</v>
      </c>
      <c r="H142" s="175"/>
      <c r="I142" s="176"/>
      <c r="J142" s="173"/>
      <c r="K142" s="173"/>
      <c r="L142" s="174">
        <f>I142+J142+K142</f>
        <v>0</v>
      </c>
      <c r="M142" s="177">
        <f t="shared" si="6"/>
        <v>2112</v>
      </c>
    </row>
    <row r="143" spans="1:13" x14ac:dyDescent="0.2">
      <c r="A143" s="53">
        <v>47</v>
      </c>
      <c r="B143" s="178">
        <v>1808</v>
      </c>
      <c r="C143" s="180" t="s">
        <v>268</v>
      </c>
      <c r="D143" s="173"/>
      <c r="E143" s="173"/>
      <c r="F143" s="173"/>
      <c r="G143" s="174">
        <f t="shared" ref="G143:G155" si="7">D143+E143+F143</f>
        <v>0</v>
      </c>
      <c r="H143" s="175"/>
      <c r="I143" s="176"/>
      <c r="J143" s="173"/>
      <c r="K143" s="173"/>
      <c r="L143" s="174">
        <f t="shared" ref="L143:L155" si="8">I143+J143+K143</f>
        <v>0</v>
      </c>
      <c r="M143" s="177">
        <f t="shared" si="6"/>
        <v>0</v>
      </c>
    </row>
    <row r="144" spans="1:13" x14ac:dyDescent="0.2">
      <c r="A144" s="53">
        <v>13</v>
      </c>
      <c r="B144" s="178">
        <v>1810</v>
      </c>
      <c r="C144" s="180" t="s">
        <v>299</v>
      </c>
      <c r="D144" s="173"/>
      <c r="E144" s="173"/>
      <c r="F144" s="173"/>
      <c r="G144" s="174">
        <f t="shared" si="7"/>
        <v>0</v>
      </c>
      <c r="H144" s="175"/>
      <c r="I144" s="176"/>
      <c r="J144" s="173"/>
      <c r="K144" s="173"/>
      <c r="L144" s="174">
        <f t="shared" si="8"/>
        <v>0</v>
      </c>
      <c r="M144" s="177">
        <f t="shared" si="6"/>
        <v>0</v>
      </c>
    </row>
    <row r="145" spans="1:13" x14ac:dyDescent="0.2">
      <c r="A145" s="53">
        <v>47</v>
      </c>
      <c r="B145" s="178">
        <v>1815</v>
      </c>
      <c r="C145" s="180" t="s">
        <v>269</v>
      </c>
      <c r="D145" s="173"/>
      <c r="E145" s="173"/>
      <c r="F145" s="173"/>
      <c r="G145" s="174">
        <f t="shared" si="7"/>
        <v>0</v>
      </c>
      <c r="H145" s="175"/>
      <c r="I145" s="176"/>
      <c r="J145" s="173"/>
      <c r="K145" s="173"/>
      <c r="L145" s="174">
        <f t="shared" si="8"/>
        <v>0</v>
      </c>
      <c r="M145" s="177">
        <f t="shared" si="6"/>
        <v>0</v>
      </c>
    </row>
    <row r="146" spans="1:13" x14ac:dyDescent="0.2">
      <c r="A146" s="53">
        <v>47</v>
      </c>
      <c r="B146" s="178">
        <v>1820</v>
      </c>
      <c r="C146" s="172" t="s">
        <v>207</v>
      </c>
      <c r="D146" s="173">
        <v>142098</v>
      </c>
      <c r="E146" s="173"/>
      <c r="F146" s="173"/>
      <c r="G146" s="174">
        <f t="shared" si="7"/>
        <v>142098</v>
      </c>
      <c r="H146" s="175"/>
      <c r="I146" s="176">
        <v>141076</v>
      </c>
      <c r="J146" s="173">
        <v>62</v>
      </c>
      <c r="K146" s="173"/>
      <c r="L146" s="174">
        <f t="shared" si="8"/>
        <v>141138</v>
      </c>
      <c r="M146" s="177">
        <f t="shared" si="6"/>
        <v>960</v>
      </c>
    </row>
    <row r="147" spans="1:13" x14ac:dyDescent="0.2">
      <c r="A147" s="53">
        <v>47</v>
      </c>
      <c r="B147" s="178">
        <v>1825</v>
      </c>
      <c r="C147" s="180" t="s">
        <v>270</v>
      </c>
      <c r="D147" s="173"/>
      <c r="E147" s="173"/>
      <c r="F147" s="173"/>
      <c r="G147" s="174">
        <f t="shared" si="7"/>
        <v>0</v>
      </c>
      <c r="H147" s="175"/>
      <c r="I147" s="176"/>
      <c r="J147" s="173"/>
      <c r="K147" s="173"/>
      <c r="L147" s="174">
        <f t="shared" si="8"/>
        <v>0</v>
      </c>
      <c r="M147" s="177">
        <f t="shared" si="6"/>
        <v>0</v>
      </c>
    </row>
    <row r="148" spans="1:13" x14ac:dyDescent="0.2">
      <c r="A148" s="53">
        <v>47</v>
      </c>
      <c r="B148" s="178">
        <v>1830</v>
      </c>
      <c r="C148" s="180" t="s">
        <v>271</v>
      </c>
      <c r="D148" s="173">
        <v>1001372</v>
      </c>
      <c r="E148" s="173">
        <v>35549</v>
      </c>
      <c r="F148" s="173"/>
      <c r="G148" s="174">
        <f t="shared" si="7"/>
        <v>1036921</v>
      </c>
      <c r="H148" s="175"/>
      <c r="I148" s="176">
        <v>252321</v>
      </c>
      <c r="J148" s="173">
        <v>20053</v>
      </c>
      <c r="K148" s="173"/>
      <c r="L148" s="174">
        <f t="shared" si="8"/>
        <v>272374</v>
      </c>
      <c r="M148" s="177">
        <f t="shared" si="6"/>
        <v>764547</v>
      </c>
    </row>
    <row r="149" spans="1:13" x14ac:dyDescent="0.2">
      <c r="A149" s="53">
        <v>47</v>
      </c>
      <c r="B149" s="178">
        <v>1835</v>
      </c>
      <c r="C149" s="180" t="s">
        <v>208</v>
      </c>
      <c r="D149" s="173">
        <v>6457970</v>
      </c>
      <c r="E149" s="173">
        <v>16269</v>
      </c>
      <c r="F149" s="173"/>
      <c r="G149" s="174">
        <f t="shared" si="7"/>
        <v>6474239</v>
      </c>
      <c r="H149" s="175"/>
      <c r="I149" s="176">
        <v>4590803</v>
      </c>
      <c r="J149" s="173">
        <v>36380</v>
      </c>
      <c r="K149" s="173"/>
      <c r="L149" s="174">
        <f t="shared" si="8"/>
        <v>4627183</v>
      </c>
      <c r="M149" s="177">
        <f t="shared" si="6"/>
        <v>1847056</v>
      </c>
    </row>
    <row r="150" spans="1:13" x14ac:dyDescent="0.2">
      <c r="A150" s="53">
        <v>47</v>
      </c>
      <c r="B150" s="178">
        <v>1840</v>
      </c>
      <c r="C150" s="180" t="s">
        <v>209</v>
      </c>
      <c r="D150" s="173">
        <v>1801068</v>
      </c>
      <c r="E150" s="173">
        <v>179440</v>
      </c>
      <c r="F150" s="173"/>
      <c r="G150" s="174">
        <f t="shared" si="7"/>
        <v>1980508</v>
      </c>
      <c r="H150" s="175"/>
      <c r="I150" s="176">
        <v>325066</v>
      </c>
      <c r="J150" s="173">
        <v>34629</v>
      </c>
      <c r="K150" s="173"/>
      <c r="L150" s="174">
        <f t="shared" si="8"/>
        <v>359695</v>
      </c>
      <c r="M150" s="177">
        <f t="shared" si="6"/>
        <v>1620813</v>
      </c>
    </row>
    <row r="151" spans="1:13" x14ac:dyDescent="0.2">
      <c r="A151" s="53">
        <v>47</v>
      </c>
      <c r="B151" s="178">
        <v>1845</v>
      </c>
      <c r="C151" s="180" t="s">
        <v>210</v>
      </c>
      <c r="D151" s="173">
        <v>7917161</v>
      </c>
      <c r="E151" s="173">
        <v>324572</v>
      </c>
      <c r="F151" s="173"/>
      <c r="G151" s="174">
        <f t="shared" si="7"/>
        <v>8241733</v>
      </c>
      <c r="H151" s="175"/>
      <c r="I151" s="176">
        <v>4906798</v>
      </c>
      <c r="J151" s="173">
        <v>101411</v>
      </c>
      <c r="K151" s="173"/>
      <c r="L151" s="174">
        <f t="shared" si="8"/>
        <v>5008209</v>
      </c>
      <c r="M151" s="177">
        <f t="shared" si="6"/>
        <v>3233524</v>
      </c>
    </row>
    <row r="152" spans="1:13" x14ac:dyDescent="0.2">
      <c r="A152" s="53">
        <v>47</v>
      </c>
      <c r="B152" s="178">
        <v>1850</v>
      </c>
      <c r="C152" s="180" t="s">
        <v>272</v>
      </c>
      <c r="D152" s="173">
        <v>5965591</v>
      </c>
      <c r="E152" s="173">
        <v>155111</v>
      </c>
      <c r="F152" s="173"/>
      <c r="G152" s="174">
        <f t="shared" si="7"/>
        <v>6120702</v>
      </c>
      <c r="H152" s="175"/>
      <c r="I152" s="176">
        <v>3603797</v>
      </c>
      <c r="J152" s="173">
        <v>77018</v>
      </c>
      <c r="K152" s="173"/>
      <c r="L152" s="174">
        <f t="shared" si="8"/>
        <v>3680815</v>
      </c>
      <c r="M152" s="177">
        <f t="shared" si="6"/>
        <v>2439887</v>
      </c>
    </row>
    <row r="153" spans="1:13" x14ac:dyDescent="0.2">
      <c r="A153" s="53">
        <v>47</v>
      </c>
      <c r="B153" s="178">
        <v>1851</v>
      </c>
      <c r="C153" s="180" t="s">
        <v>1405</v>
      </c>
      <c r="D153" s="173"/>
      <c r="E153" s="173">
        <v>4448</v>
      </c>
      <c r="F153" s="173"/>
      <c r="G153" s="174">
        <f t="shared" si="7"/>
        <v>4448</v>
      </c>
      <c r="H153" s="175"/>
      <c r="I153" s="176"/>
      <c r="J153" s="173">
        <v>111</v>
      </c>
      <c r="K153" s="173"/>
      <c r="L153" s="174">
        <f t="shared" si="8"/>
        <v>111</v>
      </c>
      <c r="M153" s="177">
        <f t="shared" si="6"/>
        <v>4337</v>
      </c>
    </row>
    <row r="154" spans="1:13" x14ac:dyDescent="0.2">
      <c r="A154" s="53">
        <v>47</v>
      </c>
      <c r="B154" s="178">
        <v>1852</v>
      </c>
      <c r="C154" s="180" t="s">
        <v>1406</v>
      </c>
      <c r="D154" s="173">
        <v>22746</v>
      </c>
      <c r="E154" s="173">
        <v>25184</v>
      </c>
      <c r="F154" s="173"/>
      <c r="G154" s="174">
        <f t="shared" si="7"/>
        <v>47930</v>
      </c>
      <c r="H154" s="175"/>
      <c r="I154" s="176">
        <v>190</v>
      </c>
      <c r="J154" s="173">
        <v>589</v>
      </c>
      <c r="K154" s="173"/>
      <c r="L154" s="174">
        <f t="shared" si="8"/>
        <v>779</v>
      </c>
      <c r="M154" s="177">
        <f t="shared" si="6"/>
        <v>47151</v>
      </c>
    </row>
    <row r="155" spans="1:13" x14ac:dyDescent="0.2">
      <c r="A155" s="53">
        <v>47</v>
      </c>
      <c r="B155" s="178">
        <v>1855</v>
      </c>
      <c r="C155" s="180" t="s">
        <v>211</v>
      </c>
      <c r="D155" s="173">
        <v>872581</v>
      </c>
      <c r="E155" s="173">
        <v>96768</v>
      </c>
      <c r="F155" s="173"/>
      <c r="G155" s="174">
        <f t="shared" si="7"/>
        <v>969349</v>
      </c>
      <c r="H155" s="175"/>
      <c r="I155" s="176">
        <v>200281</v>
      </c>
      <c r="J155" s="173">
        <v>36848</v>
      </c>
      <c r="K155" s="173"/>
      <c r="L155" s="174">
        <f t="shared" si="8"/>
        <v>237129</v>
      </c>
      <c r="M155" s="177">
        <f t="shared" si="6"/>
        <v>732220</v>
      </c>
    </row>
    <row r="156" spans="1:13" x14ac:dyDescent="0.2">
      <c r="A156" s="53">
        <v>47</v>
      </c>
      <c r="B156" s="178">
        <v>1860</v>
      </c>
      <c r="C156" s="180" t="s">
        <v>273</v>
      </c>
      <c r="D156" s="173"/>
      <c r="E156" s="173"/>
      <c r="F156" s="173"/>
      <c r="G156" s="174">
        <f>D156+E156+F156</f>
        <v>0</v>
      </c>
      <c r="H156" s="175"/>
      <c r="I156" s="176"/>
      <c r="J156" s="173"/>
      <c r="K156" s="173"/>
      <c r="L156" s="174">
        <f>I156+J156+K156</f>
        <v>0</v>
      </c>
      <c r="M156" s="177">
        <f t="shared" si="6"/>
        <v>0</v>
      </c>
    </row>
    <row r="157" spans="1:13" ht="25.5" x14ac:dyDescent="0.2">
      <c r="A157" s="53">
        <v>47</v>
      </c>
      <c r="B157" s="178">
        <v>1861</v>
      </c>
      <c r="C157" s="180" t="s">
        <v>1396</v>
      </c>
      <c r="D157" s="173">
        <v>936838</v>
      </c>
      <c r="E157" s="173">
        <v>21147</v>
      </c>
      <c r="F157" s="173"/>
      <c r="G157" s="174">
        <f t="shared" ref="G157:G169" si="9">D157+E157+F157</f>
        <v>957985</v>
      </c>
      <c r="H157" s="175"/>
      <c r="I157" s="176">
        <v>128350</v>
      </c>
      <c r="J157" s="173">
        <v>130642</v>
      </c>
      <c r="K157" s="173"/>
      <c r="L157" s="174">
        <f t="shared" ref="L157:L169" si="10">I157+J157+K157</f>
        <v>258992</v>
      </c>
      <c r="M157" s="177">
        <f t="shared" si="6"/>
        <v>698993</v>
      </c>
    </row>
    <row r="158" spans="1:13" x14ac:dyDescent="0.2">
      <c r="A158" s="53">
        <v>47</v>
      </c>
      <c r="B158" s="178">
        <v>1862</v>
      </c>
      <c r="C158" s="180" t="s">
        <v>1397</v>
      </c>
      <c r="D158" s="173">
        <v>323155</v>
      </c>
      <c r="E158" s="173">
        <v>6631</v>
      </c>
      <c r="F158" s="173"/>
      <c r="G158" s="174">
        <f t="shared" si="9"/>
        <v>329786</v>
      </c>
      <c r="H158" s="175"/>
      <c r="I158" s="176">
        <v>33942</v>
      </c>
      <c r="J158" s="173">
        <v>34398</v>
      </c>
      <c r="K158" s="173"/>
      <c r="L158" s="174">
        <f t="shared" si="10"/>
        <v>68340</v>
      </c>
      <c r="M158" s="177">
        <f t="shared" si="6"/>
        <v>261446</v>
      </c>
    </row>
    <row r="159" spans="1:13" x14ac:dyDescent="0.2">
      <c r="A159" s="53">
        <v>47</v>
      </c>
      <c r="B159" s="178">
        <v>1863</v>
      </c>
      <c r="C159" s="180" t="s">
        <v>1398</v>
      </c>
      <c r="D159" s="173">
        <v>0</v>
      </c>
      <c r="E159" s="173"/>
      <c r="F159" s="173"/>
      <c r="G159" s="174">
        <f t="shared" si="9"/>
        <v>0</v>
      </c>
      <c r="H159" s="175"/>
      <c r="I159" s="176"/>
      <c r="J159" s="173"/>
      <c r="K159" s="173"/>
      <c r="L159" s="174">
        <f t="shared" si="10"/>
        <v>0</v>
      </c>
      <c r="M159" s="177">
        <f t="shared" si="6"/>
        <v>0</v>
      </c>
    </row>
    <row r="160" spans="1:13" x14ac:dyDescent="0.2">
      <c r="A160" s="53">
        <v>47</v>
      </c>
      <c r="B160" s="178">
        <v>1864</v>
      </c>
      <c r="C160" s="180" t="s">
        <v>1399</v>
      </c>
      <c r="D160" s="173">
        <v>111034</v>
      </c>
      <c r="E160" s="173">
        <v>2567</v>
      </c>
      <c r="F160" s="173"/>
      <c r="G160" s="174">
        <f t="shared" si="9"/>
        <v>113601</v>
      </c>
      <c r="H160" s="175"/>
      <c r="I160" s="176">
        <v>3176</v>
      </c>
      <c r="J160" s="173">
        <v>3239</v>
      </c>
      <c r="K160" s="173"/>
      <c r="L160" s="174">
        <f t="shared" si="10"/>
        <v>6415</v>
      </c>
      <c r="M160" s="177">
        <f t="shared" si="6"/>
        <v>107186</v>
      </c>
    </row>
    <row r="161" spans="1:13" x14ac:dyDescent="0.2">
      <c r="A161" s="53">
        <v>47</v>
      </c>
      <c r="B161" s="178">
        <v>1865</v>
      </c>
      <c r="C161" s="179" t="s">
        <v>1400</v>
      </c>
      <c r="D161" s="173"/>
      <c r="E161" s="173"/>
      <c r="F161" s="173"/>
      <c r="G161" s="174">
        <f t="shared" si="9"/>
        <v>0</v>
      </c>
      <c r="H161" s="175"/>
      <c r="I161" s="176"/>
      <c r="J161" s="173"/>
      <c r="K161" s="173"/>
      <c r="L161" s="174">
        <f t="shared" si="10"/>
        <v>0</v>
      </c>
      <c r="M161" s="177">
        <f t="shared" si="6"/>
        <v>0</v>
      </c>
    </row>
    <row r="162" spans="1:13" x14ac:dyDescent="0.2">
      <c r="A162" s="53" t="s">
        <v>266</v>
      </c>
      <c r="B162" s="178">
        <v>1905</v>
      </c>
      <c r="C162" s="179" t="s">
        <v>267</v>
      </c>
      <c r="D162" s="173">
        <v>171765</v>
      </c>
      <c r="E162" s="173"/>
      <c r="F162" s="173"/>
      <c r="G162" s="174">
        <f t="shared" si="9"/>
        <v>171765</v>
      </c>
      <c r="H162" s="175"/>
      <c r="I162" s="176"/>
      <c r="J162" s="173"/>
      <c r="K162" s="173"/>
      <c r="L162" s="174">
        <f t="shared" si="10"/>
        <v>0</v>
      </c>
      <c r="M162" s="177">
        <f t="shared" si="6"/>
        <v>171765</v>
      </c>
    </row>
    <row r="163" spans="1:13" x14ac:dyDescent="0.2">
      <c r="A163" s="53">
        <v>47</v>
      </c>
      <c r="B163" s="178">
        <v>1908</v>
      </c>
      <c r="C163" s="180" t="s">
        <v>275</v>
      </c>
      <c r="D163" s="173">
        <v>664871</v>
      </c>
      <c r="E163" s="173">
        <v>336</v>
      </c>
      <c r="F163" s="173"/>
      <c r="G163" s="174">
        <f t="shared" si="9"/>
        <v>665207</v>
      </c>
      <c r="H163" s="175"/>
      <c r="I163" s="176">
        <v>361067</v>
      </c>
      <c r="J163" s="173">
        <v>14493</v>
      </c>
      <c r="K163" s="173"/>
      <c r="L163" s="174">
        <f t="shared" si="10"/>
        <v>375560</v>
      </c>
      <c r="M163" s="177">
        <f t="shared" si="6"/>
        <v>289647</v>
      </c>
    </row>
    <row r="164" spans="1:13" x14ac:dyDescent="0.2">
      <c r="A164" s="53">
        <v>13</v>
      </c>
      <c r="B164" s="178">
        <v>1910</v>
      </c>
      <c r="C164" s="180" t="s">
        <v>299</v>
      </c>
      <c r="D164" s="173"/>
      <c r="E164" s="173"/>
      <c r="F164" s="173"/>
      <c r="G164" s="174">
        <f t="shared" si="9"/>
        <v>0</v>
      </c>
      <c r="H164" s="175"/>
      <c r="I164" s="176"/>
      <c r="J164" s="173"/>
      <c r="K164" s="173"/>
      <c r="L164" s="174">
        <f t="shared" si="10"/>
        <v>0</v>
      </c>
      <c r="M164" s="177">
        <f t="shared" si="6"/>
        <v>0</v>
      </c>
    </row>
    <row r="165" spans="1:13" x14ac:dyDescent="0.2">
      <c r="A165" s="53">
        <v>8</v>
      </c>
      <c r="B165" s="178">
        <v>1915</v>
      </c>
      <c r="C165" s="180" t="s">
        <v>213</v>
      </c>
      <c r="D165" s="173">
        <v>245177</v>
      </c>
      <c r="E165" s="173">
        <v>140</v>
      </c>
      <c r="F165" s="173"/>
      <c r="G165" s="174">
        <f t="shared" si="9"/>
        <v>245317</v>
      </c>
      <c r="H165" s="175"/>
      <c r="I165" s="176">
        <v>218427</v>
      </c>
      <c r="J165" s="173">
        <v>6651</v>
      </c>
      <c r="K165" s="173"/>
      <c r="L165" s="174">
        <f t="shared" si="10"/>
        <v>225078</v>
      </c>
      <c r="M165" s="177">
        <f t="shared" si="6"/>
        <v>20239</v>
      </c>
    </row>
    <row r="166" spans="1:13" x14ac:dyDescent="0.2">
      <c r="A166" s="53">
        <v>8</v>
      </c>
      <c r="B166" s="178">
        <v>1915</v>
      </c>
      <c r="C166" s="180" t="s">
        <v>214</v>
      </c>
      <c r="D166" s="173"/>
      <c r="E166" s="173"/>
      <c r="F166" s="173"/>
      <c r="G166" s="174">
        <f t="shared" si="9"/>
        <v>0</v>
      </c>
      <c r="H166" s="175"/>
      <c r="I166" s="176"/>
      <c r="J166" s="173"/>
      <c r="K166" s="173"/>
      <c r="L166" s="174">
        <f t="shared" si="10"/>
        <v>0</v>
      </c>
      <c r="M166" s="177">
        <f t="shared" si="6"/>
        <v>0</v>
      </c>
    </row>
    <row r="167" spans="1:13" x14ac:dyDescent="0.2">
      <c r="A167" s="53">
        <v>10</v>
      </c>
      <c r="B167" s="178">
        <v>1920</v>
      </c>
      <c r="C167" s="180" t="s">
        <v>215</v>
      </c>
      <c r="D167" s="173">
        <v>367777</v>
      </c>
      <c r="E167" s="173">
        <v>11279</v>
      </c>
      <c r="F167" s="173"/>
      <c r="G167" s="174">
        <f t="shared" si="9"/>
        <v>379056</v>
      </c>
      <c r="H167" s="175"/>
      <c r="I167" s="176">
        <v>364811</v>
      </c>
      <c r="J167" s="173">
        <v>4577</v>
      </c>
      <c r="K167" s="173"/>
      <c r="L167" s="174">
        <f t="shared" si="10"/>
        <v>369388</v>
      </c>
      <c r="M167" s="177">
        <f t="shared" si="6"/>
        <v>9668</v>
      </c>
    </row>
    <row r="168" spans="1:13" ht="25.5" x14ac:dyDescent="0.2">
      <c r="A168" s="53">
        <v>45</v>
      </c>
      <c r="B168" s="181">
        <v>1920</v>
      </c>
      <c r="C168" s="172" t="s">
        <v>217</v>
      </c>
      <c r="D168" s="173"/>
      <c r="E168" s="173"/>
      <c r="F168" s="173"/>
      <c r="G168" s="174">
        <f t="shared" si="9"/>
        <v>0</v>
      </c>
      <c r="H168" s="175"/>
      <c r="I168" s="176"/>
      <c r="J168" s="173"/>
      <c r="K168" s="173"/>
      <c r="L168" s="174">
        <f t="shared" si="10"/>
        <v>0</v>
      </c>
      <c r="M168" s="177">
        <f t="shared" si="6"/>
        <v>0</v>
      </c>
    </row>
    <row r="169" spans="1:13" ht="25.5" x14ac:dyDescent="0.2">
      <c r="A169" s="53">
        <v>45.1</v>
      </c>
      <c r="B169" s="181">
        <v>1920</v>
      </c>
      <c r="C169" s="172" t="s">
        <v>216</v>
      </c>
      <c r="D169" s="173"/>
      <c r="E169" s="173"/>
      <c r="F169" s="173"/>
      <c r="G169" s="174">
        <f t="shared" si="9"/>
        <v>0</v>
      </c>
      <c r="H169" s="175"/>
      <c r="I169" s="176"/>
      <c r="J169" s="173"/>
      <c r="K169" s="173"/>
      <c r="L169" s="174">
        <f t="shared" si="10"/>
        <v>0</v>
      </c>
      <c r="M169" s="177">
        <f t="shared" si="6"/>
        <v>0</v>
      </c>
    </row>
    <row r="170" spans="1:13" x14ac:dyDescent="0.2">
      <c r="A170" s="53">
        <v>10</v>
      </c>
      <c r="B170" s="1473">
        <v>1930</v>
      </c>
      <c r="C170" s="180" t="s">
        <v>286</v>
      </c>
      <c r="D170" s="173"/>
      <c r="E170" s="173"/>
      <c r="F170" s="173"/>
      <c r="G170" s="174">
        <f>D170+E170+F170</f>
        <v>0</v>
      </c>
      <c r="H170" s="175"/>
      <c r="I170" s="176"/>
      <c r="J170" s="173"/>
      <c r="K170" s="173"/>
      <c r="L170" s="174">
        <f>I170+J170+K170</f>
        <v>0</v>
      </c>
      <c r="M170" s="177">
        <f t="shared" si="6"/>
        <v>0</v>
      </c>
    </row>
    <row r="171" spans="1:13" x14ac:dyDescent="0.2">
      <c r="A171" s="53">
        <v>10</v>
      </c>
      <c r="B171" s="1473">
        <v>1931</v>
      </c>
      <c r="C171" s="180" t="s">
        <v>1401</v>
      </c>
      <c r="D171" s="173">
        <v>94305</v>
      </c>
      <c r="E171" s="173">
        <v>21756</v>
      </c>
      <c r="F171" s="173"/>
      <c r="G171" s="174">
        <f>D171+E171-F171</f>
        <v>116061</v>
      </c>
      <c r="H171" s="175"/>
      <c r="I171" s="176">
        <v>10478</v>
      </c>
      <c r="J171" s="173">
        <v>11204</v>
      </c>
      <c r="K171" s="173"/>
      <c r="L171" s="174">
        <f t="shared" ref="L171:L186" si="11">I171+J171+K171</f>
        <v>21682</v>
      </c>
      <c r="M171" s="177">
        <f t="shared" si="6"/>
        <v>94379</v>
      </c>
    </row>
    <row r="172" spans="1:13" x14ac:dyDescent="0.2">
      <c r="A172" s="53">
        <v>10</v>
      </c>
      <c r="B172" s="1473">
        <v>1932</v>
      </c>
      <c r="C172" s="180" t="s">
        <v>1402</v>
      </c>
      <c r="D172" s="173">
        <v>172379</v>
      </c>
      <c r="E172" s="173"/>
      <c r="F172" s="173">
        <v>-1200</v>
      </c>
      <c r="G172" s="174">
        <f>D172+E172+F172</f>
        <v>171179</v>
      </c>
      <c r="H172" s="175"/>
      <c r="I172" s="176">
        <v>56383</v>
      </c>
      <c r="J172" s="173">
        <v>53967</v>
      </c>
      <c r="K172" s="173"/>
      <c r="L172" s="174">
        <f t="shared" si="11"/>
        <v>110350</v>
      </c>
      <c r="M172" s="177">
        <f t="shared" si="6"/>
        <v>60829</v>
      </c>
    </row>
    <row r="173" spans="1:13" x14ac:dyDescent="0.2">
      <c r="A173" s="53">
        <v>10</v>
      </c>
      <c r="B173" s="1473">
        <v>1933</v>
      </c>
      <c r="C173" s="180" t="s">
        <v>1403</v>
      </c>
      <c r="D173" s="173">
        <v>0</v>
      </c>
      <c r="E173" s="173">
        <v>70712</v>
      </c>
      <c r="F173" s="173"/>
      <c r="G173" s="174">
        <f>D173+E173-F173</f>
        <v>70712</v>
      </c>
      <c r="H173" s="175"/>
      <c r="I173" s="176">
        <v>0</v>
      </c>
      <c r="J173" s="173">
        <v>3536</v>
      </c>
      <c r="K173" s="173"/>
      <c r="L173" s="174">
        <f t="shared" si="11"/>
        <v>3536</v>
      </c>
      <c r="M173" s="177">
        <f t="shared" si="6"/>
        <v>67176</v>
      </c>
    </row>
    <row r="174" spans="1:13" x14ac:dyDescent="0.2">
      <c r="A174" s="53">
        <v>8</v>
      </c>
      <c r="B174" s="1473">
        <v>1935</v>
      </c>
      <c r="C174" s="180" t="s">
        <v>287</v>
      </c>
      <c r="D174" s="173"/>
      <c r="E174" s="173"/>
      <c r="F174" s="173"/>
      <c r="G174" s="174">
        <f t="shared" ref="G174:G186" si="12">D174+E174+F174</f>
        <v>0</v>
      </c>
      <c r="H174" s="175"/>
      <c r="I174" s="176"/>
      <c r="J174" s="173"/>
      <c r="K174" s="173"/>
      <c r="L174" s="174">
        <f t="shared" si="11"/>
        <v>0</v>
      </c>
      <c r="M174" s="177">
        <f t="shared" si="6"/>
        <v>0</v>
      </c>
    </row>
    <row r="175" spans="1:13" x14ac:dyDescent="0.2">
      <c r="A175" s="53">
        <v>8</v>
      </c>
      <c r="B175" s="1473">
        <v>1940</v>
      </c>
      <c r="C175" s="180" t="s">
        <v>288</v>
      </c>
      <c r="D175" s="173">
        <v>380913</v>
      </c>
      <c r="E175" s="173">
        <v>916</v>
      </c>
      <c r="F175" s="173"/>
      <c r="G175" s="174">
        <f t="shared" si="12"/>
        <v>381829</v>
      </c>
      <c r="H175" s="175"/>
      <c r="I175" s="176">
        <v>332473</v>
      </c>
      <c r="J175" s="173">
        <v>11912</v>
      </c>
      <c r="K175" s="173"/>
      <c r="L175" s="174">
        <f t="shared" si="11"/>
        <v>344385</v>
      </c>
      <c r="M175" s="177">
        <f t="shared" si="6"/>
        <v>37444</v>
      </c>
    </row>
    <row r="176" spans="1:13" x14ac:dyDescent="0.2">
      <c r="A176" s="53">
        <v>8</v>
      </c>
      <c r="B176" s="1473">
        <v>1945</v>
      </c>
      <c r="C176" s="180" t="s">
        <v>289</v>
      </c>
      <c r="D176" s="173"/>
      <c r="E176" s="173"/>
      <c r="F176" s="173"/>
      <c r="G176" s="174">
        <f t="shared" si="12"/>
        <v>0</v>
      </c>
      <c r="H176" s="175"/>
      <c r="I176" s="176"/>
      <c r="J176" s="173"/>
      <c r="K176" s="173"/>
      <c r="L176" s="174">
        <f t="shared" si="11"/>
        <v>0</v>
      </c>
      <c r="M176" s="177">
        <f t="shared" si="6"/>
        <v>0</v>
      </c>
    </row>
    <row r="177" spans="1:13" x14ac:dyDescent="0.2">
      <c r="A177" s="53">
        <v>8</v>
      </c>
      <c r="B177" s="1473">
        <v>1950</v>
      </c>
      <c r="C177" s="180" t="s">
        <v>218</v>
      </c>
      <c r="D177" s="173"/>
      <c r="E177" s="173"/>
      <c r="F177" s="173"/>
      <c r="G177" s="174">
        <f t="shared" si="12"/>
        <v>0</v>
      </c>
      <c r="H177" s="175"/>
      <c r="I177" s="182"/>
      <c r="J177" s="173"/>
      <c r="K177" s="173"/>
      <c r="L177" s="174">
        <f t="shared" si="11"/>
        <v>0</v>
      </c>
      <c r="M177" s="177">
        <f t="shared" si="6"/>
        <v>0</v>
      </c>
    </row>
    <row r="178" spans="1:13" x14ac:dyDescent="0.2">
      <c r="A178" s="53">
        <v>8</v>
      </c>
      <c r="B178" s="1473">
        <v>1955</v>
      </c>
      <c r="C178" s="180" t="s">
        <v>290</v>
      </c>
      <c r="D178" s="173">
        <v>36106</v>
      </c>
      <c r="E178" s="173">
        <v>40</v>
      </c>
      <c r="F178" s="173"/>
      <c r="G178" s="174">
        <f t="shared" si="12"/>
        <v>36146</v>
      </c>
      <c r="H178" s="175"/>
      <c r="I178" s="176">
        <v>26228</v>
      </c>
      <c r="J178" s="173">
        <v>1435</v>
      </c>
      <c r="K178" s="173"/>
      <c r="L178" s="174">
        <f t="shared" si="11"/>
        <v>27663</v>
      </c>
      <c r="M178" s="177">
        <f t="shared" si="6"/>
        <v>8483</v>
      </c>
    </row>
    <row r="179" spans="1:13" x14ac:dyDescent="0.2">
      <c r="A179" s="183">
        <v>8</v>
      </c>
      <c r="B179" s="181">
        <v>1955</v>
      </c>
      <c r="C179" s="184" t="s">
        <v>219</v>
      </c>
      <c r="D179" s="173"/>
      <c r="E179" s="173"/>
      <c r="F179" s="173"/>
      <c r="G179" s="174">
        <f t="shared" si="12"/>
        <v>0</v>
      </c>
      <c r="H179" s="175"/>
      <c r="I179" s="176"/>
      <c r="J179" s="173"/>
      <c r="K179" s="173"/>
      <c r="L179" s="174">
        <f t="shared" si="11"/>
        <v>0</v>
      </c>
      <c r="M179" s="177">
        <f t="shared" si="6"/>
        <v>0</v>
      </c>
    </row>
    <row r="180" spans="1:13" x14ac:dyDescent="0.2">
      <c r="A180" s="183">
        <v>8</v>
      </c>
      <c r="B180" s="185">
        <v>1960</v>
      </c>
      <c r="C180" s="172" t="s">
        <v>220</v>
      </c>
      <c r="D180" s="173"/>
      <c r="E180" s="173"/>
      <c r="F180" s="173"/>
      <c r="G180" s="174">
        <f t="shared" si="12"/>
        <v>0</v>
      </c>
      <c r="H180" s="175"/>
      <c r="I180" s="176"/>
      <c r="J180" s="173"/>
      <c r="K180" s="173"/>
      <c r="L180" s="174">
        <f t="shared" si="11"/>
        <v>0</v>
      </c>
      <c r="M180" s="177">
        <f t="shared" si="6"/>
        <v>0</v>
      </c>
    </row>
    <row r="181" spans="1:13" ht="25.5" x14ac:dyDescent="0.2">
      <c r="A181" s="186">
        <v>47</v>
      </c>
      <c r="B181" s="185">
        <v>1970</v>
      </c>
      <c r="C181" s="180" t="s">
        <v>501</v>
      </c>
      <c r="D181" s="173"/>
      <c r="E181" s="173"/>
      <c r="F181" s="173"/>
      <c r="G181" s="174">
        <f t="shared" si="12"/>
        <v>0</v>
      </c>
      <c r="H181" s="175"/>
      <c r="I181" s="176"/>
      <c r="J181" s="173"/>
      <c r="K181" s="173"/>
      <c r="L181" s="174">
        <f t="shared" si="11"/>
        <v>0</v>
      </c>
      <c r="M181" s="177">
        <f t="shared" si="6"/>
        <v>0</v>
      </c>
    </row>
    <row r="182" spans="1:13" ht="25.5" x14ac:dyDescent="0.2">
      <c r="A182" s="53">
        <v>47</v>
      </c>
      <c r="B182" s="1473">
        <v>1975</v>
      </c>
      <c r="C182" s="180" t="s">
        <v>291</v>
      </c>
      <c r="D182" s="173"/>
      <c r="E182" s="173"/>
      <c r="F182" s="173"/>
      <c r="G182" s="174">
        <f t="shared" si="12"/>
        <v>0</v>
      </c>
      <c r="H182" s="175"/>
      <c r="I182" s="176"/>
      <c r="J182" s="173"/>
      <c r="K182" s="173"/>
      <c r="L182" s="174">
        <f t="shared" si="11"/>
        <v>0</v>
      </c>
      <c r="M182" s="177">
        <f t="shared" si="6"/>
        <v>0</v>
      </c>
    </row>
    <row r="183" spans="1:13" x14ac:dyDescent="0.2">
      <c r="A183" s="53">
        <v>47</v>
      </c>
      <c r="B183" s="1473">
        <v>1980</v>
      </c>
      <c r="C183" s="180" t="s">
        <v>292</v>
      </c>
      <c r="D183" s="173"/>
      <c r="E183" s="173"/>
      <c r="F183" s="173"/>
      <c r="G183" s="174">
        <f t="shared" si="12"/>
        <v>0</v>
      </c>
      <c r="H183" s="175"/>
      <c r="I183" s="176"/>
      <c r="J183" s="173"/>
      <c r="K183" s="173"/>
      <c r="L183" s="174">
        <f t="shared" si="11"/>
        <v>0</v>
      </c>
      <c r="M183" s="177">
        <f t="shared" si="6"/>
        <v>0</v>
      </c>
    </row>
    <row r="184" spans="1:13" x14ac:dyDescent="0.2">
      <c r="A184" s="53">
        <v>47</v>
      </c>
      <c r="B184" s="1473">
        <v>1985</v>
      </c>
      <c r="C184" s="180" t="s">
        <v>1404</v>
      </c>
      <c r="D184" s="173">
        <v>15</v>
      </c>
      <c r="E184" s="173"/>
      <c r="F184" s="173"/>
      <c r="G184" s="174">
        <f t="shared" si="12"/>
        <v>15</v>
      </c>
      <c r="H184" s="175"/>
      <c r="I184" s="176">
        <v>15</v>
      </c>
      <c r="J184" s="173"/>
      <c r="K184" s="173"/>
      <c r="L184" s="174">
        <f t="shared" si="11"/>
        <v>15</v>
      </c>
      <c r="M184" s="177">
        <f t="shared" si="6"/>
        <v>0</v>
      </c>
    </row>
    <row r="185" spans="1:13" x14ac:dyDescent="0.2">
      <c r="A185" s="186">
        <v>47</v>
      </c>
      <c r="B185" s="1473">
        <v>1990</v>
      </c>
      <c r="C185" s="1472" t="s">
        <v>502</v>
      </c>
      <c r="D185" s="173"/>
      <c r="E185" s="173"/>
      <c r="F185" s="173"/>
      <c r="G185" s="174">
        <f t="shared" si="12"/>
        <v>0</v>
      </c>
      <c r="H185" s="175"/>
      <c r="I185" s="176"/>
      <c r="J185" s="173"/>
      <c r="K185" s="173"/>
      <c r="L185" s="174">
        <f t="shared" si="11"/>
        <v>0</v>
      </c>
      <c r="M185" s="177">
        <f t="shared" si="6"/>
        <v>0</v>
      </c>
    </row>
    <row r="186" spans="1:13" x14ac:dyDescent="0.2">
      <c r="A186" s="53">
        <v>47</v>
      </c>
      <c r="B186" s="1473">
        <v>1995</v>
      </c>
      <c r="C186" s="180" t="s">
        <v>294</v>
      </c>
      <c r="D186" s="173">
        <v>-5492391</v>
      </c>
      <c r="E186" s="173">
        <v>-603122</v>
      </c>
      <c r="F186" s="173"/>
      <c r="G186" s="174">
        <f t="shared" si="12"/>
        <v>-6095513</v>
      </c>
      <c r="H186" s="175"/>
      <c r="I186" s="176">
        <v>-1427268</v>
      </c>
      <c r="J186" s="173">
        <v>-233310</v>
      </c>
      <c r="K186" s="173"/>
      <c r="L186" s="174">
        <f t="shared" si="11"/>
        <v>-1660578</v>
      </c>
      <c r="M186" s="177">
        <f t="shared" si="6"/>
        <v>-4434935</v>
      </c>
    </row>
    <row r="187" spans="1:13" ht="14.25" x14ac:dyDescent="0.2">
      <c r="A187" s="53">
        <v>47</v>
      </c>
      <c r="B187" s="1473">
        <v>2440</v>
      </c>
      <c r="C187" s="180" t="s">
        <v>950</v>
      </c>
      <c r="D187" s="173"/>
      <c r="E187" s="173"/>
      <c r="F187" s="173"/>
      <c r="G187" s="174"/>
      <c r="I187" s="176"/>
      <c r="J187" s="173"/>
      <c r="K187" s="173"/>
      <c r="L187" s="174"/>
      <c r="M187" s="177"/>
    </row>
    <row r="188" spans="1:13" x14ac:dyDescent="0.2">
      <c r="A188" s="187"/>
      <c r="B188" s="187"/>
      <c r="C188" s="188"/>
      <c r="D188" s="189"/>
      <c r="E188" s="189"/>
      <c r="F188" s="189"/>
      <c r="G188" s="174">
        <f>D188+E188+F188</f>
        <v>0</v>
      </c>
      <c r="I188" s="189"/>
      <c r="J188" s="189"/>
      <c r="K188" s="189"/>
      <c r="L188" s="174">
        <f>I188+J188+K188</f>
        <v>0</v>
      </c>
      <c r="M188" s="177">
        <f>G188+L188</f>
        <v>0</v>
      </c>
    </row>
    <row r="189" spans="1:13" x14ac:dyDescent="0.2">
      <c r="A189" s="187"/>
      <c r="B189" s="187"/>
      <c r="C189" s="190" t="s">
        <v>204</v>
      </c>
      <c r="D189" s="191">
        <f>SUM(D140:D188)</f>
        <v>22441325</v>
      </c>
      <c r="E189" s="191">
        <f>SUM(E140:E188)</f>
        <v>383056</v>
      </c>
      <c r="F189" s="191">
        <f>SUM(F140:F188)</f>
        <v>-1200</v>
      </c>
      <c r="G189" s="191">
        <f>SUM(G140:G188)</f>
        <v>22823181</v>
      </c>
      <c r="H189" s="191"/>
      <c r="I189" s="191">
        <f>SUM(I140:I188)</f>
        <v>14381397</v>
      </c>
      <c r="J189" s="191">
        <f>SUM(J140:J188)</f>
        <v>352696</v>
      </c>
      <c r="K189" s="191">
        <f>SUM(K140:K188)</f>
        <v>0</v>
      </c>
      <c r="L189" s="191">
        <f>SUM(L140:L188)</f>
        <v>14734093</v>
      </c>
      <c r="M189" s="191">
        <f>SUM(M140:M188)</f>
        <v>8089088</v>
      </c>
    </row>
    <row r="190" spans="1:13" ht="37.5" x14ac:dyDescent="0.2">
      <c r="A190" s="187"/>
      <c r="B190" s="187"/>
      <c r="C190" s="192" t="s">
        <v>597</v>
      </c>
      <c r="D190" s="189"/>
      <c r="E190" s="189"/>
      <c r="F190" s="189"/>
      <c r="G190" s="174">
        <f>D190+E190+F190</f>
        <v>0</v>
      </c>
      <c r="I190" s="189"/>
      <c r="J190" s="189"/>
      <c r="K190" s="189"/>
      <c r="L190" s="174">
        <f>I190+J190+K190</f>
        <v>0</v>
      </c>
      <c r="M190" s="177">
        <f>G190+L190</f>
        <v>0</v>
      </c>
    </row>
    <row r="191" spans="1:13" ht="25.5" x14ac:dyDescent="0.2">
      <c r="A191" s="187"/>
      <c r="B191" s="187"/>
      <c r="C191" s="193" t="s">
        <v>596</v>
      </c>
      <c r="D191" s="189"/>
      <c r="E191" s="189"/>
      <c r="F191" s="189"/>
      <c r="G191" s="174">
        <f>D191+E191+F191</f>
        <v>0</v>
      </c>
      <c r="I191" s="189"/>
      <c r="J191" s="189"/>
      <c r="K191" s="189"/>
      <c r="L191" s="174">
        <f>I191+J191+K191</f>
        <v>0</v>
      </c>
      <c r="M191" s="177">
        <f>G191+L191</f>
        <v>0</v>
      </c>
    </row>
    <row r="192" spans="1:13" x14ac:dyDescent="0.2">
      <c r="A192" s="187"/>
      <c r="B192" s="187"/>
      <c r="C192" s="190" t="s">
        <v>503</v>
      </c>
      <c r="D192" s="191">
        <f>SUM(D189:D191)</f>
        <v>22441325</v>
      </c>
      <c r="E192" s="191">
        <f>SUM(E189:E191)</f>
        <v>383056</v>
      </c>
      <c r="F192" s="191">
        <f>SUM(F189:F191)</f>
        <v>-1200</v>
      </c>
      <c r="G192" s="191">
        <f>SUM(G189:G191)</f>
        <v>22823181</v>
      </c>
      <c r="H192" s="191"/>
      <c r="I192" s="191">
        <f>SUM(I189:I191)</f>
        <v>14381397</v>
      </c>
      <c r="J192" s="191">
        <f>SUM(J189:J191)</f>
        <v>352696</v>
      </c>
      <c r="K192" s="191">
        <f>SUM(K189:K191)</f>
        <v>0</v>
      </c>
      <c r="L192" s="191">
        <f>SUM(L189:L191)</f>
        <v>14734093</v>
      </c>
      <c r="M192" s="191">
        <f>SUM(M189:M191)</f>
        <v>8089088</v>
      </c>
    </row>
    <row r="193" spans="1:13" ht="14.25" x14ac:dyDescent="0.2">
      <c r="A193" s="187"/>
      <c r="B193" s="187"/>
      <c r="C193" s="1603" t="s">
        <v>912</v>
      </c>
      <c r="D193" s="1604"/>
      <c r="E193" s="1604"/>
      <c r="F193" s="1604"/>
      <c r="G193" s="1604"/>
      <c r="H193" s="1604"/>
      <c r="I193" s="1605"/>
      <c r="J193" s="189"/>
      <c r="K193" s="194"/>
      <c r="L193" s="195"/>
      <c r="M193" s="196"/>
    </row>
    <row r="194" spans="1:13" x14ac:dyDescent="0.2">
      <c r="A194" s="187"/>
      <c r="B194" s="187"/>
      <c r="C194" s="1603" t="s">
        <v>295</v>
      </c>
      <c r="D194" s="1604"/>
      <c r="E194" s="1604"/>
      <c r="F194" s="1604"/>
      <c r="G194" s="1604"/>
      <c r="H194" s="1604"/>
      <c r="I194" s="1605"/>
      <c r="J194" s="191">
        <f>J192+J193</f>
        <v>352696</v>
      </c>
      <c r="K194" s="194"/>
      <c r="L194" s="195"/>
      <c r="M194" s="196"/>
    </row>
    <row r="195" spans="1:13" x14ac:dyDescent="0.2">
      <c r="A195" s="1474"/>
      <c r="B195" s="1474"/>
    </row>
    <row r="196" spans="1:13" x14ac:dyDescent="0.2">
      <c r="A196" s="1474"/>
      <c r="B196" s="1474"/>
      <c r="I196" s="197" t="s">
        <v>422</v>
      </c>
      <c r="J196" s="1475"/>
    </row>
    <row r="197" spans="1:13" x14ac:dyDescent="0.2">
      <c r="A197" s="187">
        <v>10</v>
      </c>
      <c r="B197" s="187"/>
      <c r="C197" s="188" t="s">
        <v>296</v>
      </c>
      <c r="I197" s="1475" t="s">
        <v>296</v>
      </c>
      <c r="J197" s="1475"/>
      <c r="K197" s="198">
        <f>J171+J172+J173</f>
        <v>68707</v>
      </c>
    </row>
    <row r="198" spans="1:13" x14ac:dyDescent="0.2">
      <c r="A198" s="187">
        <v>8</v>
      </c>
      <c r="B198" s="187"/>
      <c r="C198" s="188" t="s">
        <v>287</v>
      </c>
      <c r="I198" s="1475" t="s">
        <v>851</v>
      </c>
      <c r="J198" s="1475"/>
      <c r="K198" s="199">
        <f>J178</f>
        <v>1435</v>
      </c>
    </row>
    <row r="199" spans="1:13" x14ac:dyDescent="0.2">
      <c r="A199" s="1474"/>
      <c r="B199" s="1474"/>
      <c r="I199" s="200" t="s">
        <v>297</v>
      </c>
      <c r="K199" s="201">
        <f>J194-K197-K198</f>
        <v>282554</v>
      </c>
    </row>
    <row r="200" spans="1:13" x14ac:dyDescent="0.2">
      <c r="A200" s="1471"/>
      <c r="B200" s="1471"/>
      <c r="I200" s="200"/>
      <c r="K200" s="1453"/>
    </row>
    <row r="201" spans="1:13" x14ac:dyDescent="0.2">
      <c r="A201" s="1474"/>
      <c r="B201" s="1474"/>
      <c r="E201" s="122" t="s">
        <v>882</v>
      </c>
      <c r="F201" s="48" t="s">
        <v>105</v>
      </c>
      <c r="H201" s="52"/>
    </row>
    <row r="202" spans="1:13" ht="15" x14ac:dyDescent="0.25">
      <c r="A202" s="1474"/>
      <c r="B202" s="1474"/>
      <c r="C202" s="56"/>
      <c r="E202" s="122" t="s">
        <v>102</v>
      </c>
      <c r="F202" s="160">
        <v>2015</v>
      </c>
      <c r="G202" s="161"/>
    </row>
    <row r="203" spans="1:13" x14ac:dyDescent="0.2">
      <c r="A203" s="1474"/>
      <c r="B203" s="1474"/>
    </row>
    <row r="204" spans="1:13" x14ac:dyDescent="0.2">
      <c r="A204" s="1474"/>
      <c r="B204" s="1474"/>
      <c r="D204" s="1606" t="s">
        <v>264</v>
      </c>
      <c r="E204" s="1607"/>
      <c r="F204" s="1607"/>
      <c r="G204" s="1608"/>
      <c r="I204" s="162"/>
      <c r="J204" s="163" t="s">
        <v>265</v>
      </c>
      <c r="K204" s="163"/>
      <c r="L204" s="164"/>
      <c r="M204" s="159"/>
    </row>
    <row r="205" spans="1:13" ht="27" x14ac:dyDescent="0.2">
      <c r="A205" s="165" t="s">
        <v>1000</v>
      </c>
      <c r="B205" s="165" t="s">
        <v>1002</v>
      </c>
      <c r="C205" s="166" t="s">
        <v>1003</v>
      </c>
      <c r="D205" s="165" t="s">
        <v>236</v>
      </c>
      <c r="E205" s="167" t="s">
        <v>1001</v>
      </c>
      <c r="F205" s="167" t="s">
        <v>1189</v>
      </c>
      <c r="G205" s="165" t="s">
        <v>263</v>
      </c>
      <c r="H205" s="168"/>
      <c r="I205" s="169" t="s">
        <v>236</v>
      </c>
      <c r="J205" s="170" t="s">
        <v>237</v>
      </c>
      <c r="K205" s="170" t="s">
        <v>1189</v>
      </c>
      <c r="L205" s="171" t="s">
        <v>263</v>
      </c>
      <c r="M205" s="165" t="s">
        <v>300</v>
      </c>
    </row>
    <row r="206" spans="1:13" ht="25.5" x14ac:dyDescent="0.2">
      <c r="A206" s="53">
        <v>12</v>
      </c>
      <c r="B206" s="1473">
        <v>1611</v>
      </c>
      <c r="C206" s="172" t="s">
        <v>381</v>
      </c>
      <c r="D206" s="173">
        <v>257050</v>
      </c>
      <c r="E206" s="173">
        <v>2201</v>
      </c>
      <c r="F206" s="173"/>
      <c r="G206" s="174">
        <f>D206+E206+F206</f>
        <v>259251</v>
      </c>
      <c r="H206" s="175"/>
      <c r="I206" s="176">
        <v>253109</v>
      </c>
      <c r="J206" s="173">
        <v>3774</v>
      </c>
      <c r="K206" s="173"/>
      <c r="L206" s="174">
        <f>I206+J206+K206</f>
        <v>256883</v>
      </c>
      <c r="M206" s="177">
        <f>G206-L206</f>
        <v>2368</v>
      </c>
    </row>
    <row r="207" spans="1:13" ht="25.5" x14ac:dyDescent="0.2">
      <c r="A207" s="53" t="s">
        <v>274</v>
      </c>
      <c r="B207" s="1473">
        <v>1612</v>
      </c>
      <c r="C207" s="172" t="s">
        <v>442</v>
      </c>
      <c r="D207" s="173">
        <v>2945</v>
      </c>
      <c r="E207" s="173"/>
      <c r="F207" s="173"/>
      <c r="G207" s="174">
        <f>D207+E207+F207</f>
        <v>2945</v>
      </c>
      <c r="H207" s="175"/>
      <c r="I207" s="176">
        <v>2725</v>
      </c>
      <c r="J207" s="173"/>
      <c r="K207" s="173"/>
      <c r="L207" s="174">
        <f>I207+J207+K207</f>
        <v>2725</v>
      </c>
      <c r="M207" s="177">
        <f t="shared" ref="M207:M252" si="13">G207-L207</f>
        <v>220</v>
      </c>
    </row>
    <row r="208" spans="1:13" x14ac:dyDescent="0.2">
      <c r="A208" s="53" t="s">
        <v>266</v>
      </c>
      <c r="B208" s="178">
        <v>1805</v>
      </c>
      <c r="C208" s="179" t="s">
        <v>267</v>
      </c>
      <c r="D208" s="173">
        <v>2112</v>
      </c>
      <c r="E208" s="173"/>
      <c r="F208" s="173"/>
      <c r="G208" s="174">
        <f>D208+E208+F208</f>
        <v>2112</v>
      </c>
      <c r="H208" s="175"/>
      <c r="I208" s="176"/>
      <c r="J208" s="173"/>
      <c r="K208" s="173"/>
      <c r="L208" s="174">
        <f>I208+J208+K208</f>
        <v>0</v>
      </c>
      <c r="M208" s="177">
        <f t="shared" si="13"/>
        <v>2112</v>
      </c>
    </row>
    <row r="209" spans="1:13" x14ac:dyDescent="0.2">
      <c r="A209" s="53">
        <v>47</v>
      </c>
      <c r="B209" s="178">
        <v>1808</v>
      </c>
      <c r="C209" s="180" t="s">
        <v>268</v>
      </c>
      <c r="D209" s="173"/>
      <c r="E209" s="173"/>
      <c r="F209" s="173"/>
      <c r="G209" s="174">
        <f t="shared" ref="G209:G221" si="14">D209+E209+F209</f>
        <v>0</v>
      </c>
      <c r="H209" s="175"/>
      <c r="I209" s="176"/>
      <c r="J209" s="173"/>
      <c r="K209" s="173"/>
      <c r="L209" s="174">
        <f t="shared" ref="L209:L221" si="15">I209+J209+K209</f>
        <v>0</v>
      </c>
      <c r="M209" s="177">
        <f t="shared" si="13"/>
        <v>0</v>
      </c>
    </row>
    <row r="210" spans="1:13" x14ac:dyDescent="0.2">
      <c r="A210" s="53">
        <v>13</v>
      </c>
      <c r="B210" s="178">
        <v>1810</v>
      </c>
      <c r="C210" s="180" t="s">
        <v>299</v>
      </c>
      <c r="D210" s="173"/>
      <c r="E210" s="173"/>
      <c r="F210" s="173"/>
      <c r="G210" s="174">
        <f t="shared" si="14"/>
        <v>0</v>
      </c>
      <c r="H210" s="175"/>
      <c r="I210" s="176"/>
      <c r="J210" s="173"/>
      <c r="K210" s="173"/>
      <c r="L210" s="174">
        <f t="shared" si="15"/>
        <v>0</v>
      </c>
      <c r="M210" s="177">
        <f t="shared" si="13"/>
        <v>0</v>
      </c>
    </row>
    <row r="211" spans="1:13" x14ac:dyDescent="0.2">
      <c r="A211" s="53">
        <v>47</v>
      </c>
      <c r="B211" s="178">
        <v>1815</v>
      </c>
      <c r="C211" s="180" t="s">
        <v>269</v>
      </c>
      <c r="D211" s="173"/>
      <c r="E211" s="173"/>
      <c r="F211" s="173"/>
      <c r="G211" s="174">
        <f t="shared" si="14"/>
        <v>0</v>
      </c>
      <c r="H211" s="175"/>
      <c r="I211" s="176"/>
      <c r="J211" s="173"/>
      <c r="K211" s="173"/>
      <c r="L211" s="174">
        <f t="shared" si="15"/>
        <v>0</v>
      </c>
      <c r="M211" s="177">
        <f t="shared" si="13"/>
        <v>0</v>
      </c>
    </row>
    <row r="212" spans="1:13" x14ac:dyDescent="0.2">
      <c r="A212" s="53">
        <v>47</v>
      </c>
      <c r="B212" s="178">
        <v>1820</v>
      </c>
      <c r="C212" s="172" t="s">
        <v>207</v>
      </c>
      <c r="D212" s="173">
        <v>142098</v>
      </c>
      <c r="E212" s="173"/>
      <c r="F212" s="173"/>
      <c r="G212" s="174">
        <f t="shared" si="14"/>
        <v>142098</v>
      </c>
      <c r="H212" s="175"/>
      <c r="I212" s="176">
        <v>141138</v>
      </c>
      <c r="J212" s="173">
        <v>62</v>
      </c>
      <c r="K212" s="173"/>
      <c r="L212" s="174">
        <f t="shared" si="15"/>
        <v>141200</v>
      </c>
      <c r="M212" s="177">
        <f t="shared" si="13"/>
        <v>898</v>
      </c>
    </row>
    <row r="213" spans="1:13" x14ac:dyDescent="0.2">
      <c r="A213" s="53">
        <v>47</v>
      </c>
      <c r="B213" s="178">
        <v>1825</v>
      </c>
      <c r="C213" s="180" t="s">
        <v>270</v>
      </c>
      <c r="D213" s="173"/>
      <c r="E213" s="173"/>
      <c r="F213" s="173"/>
      <c r="G213" s="174">
        <f t="shared" si="14"/>
        <v>0</v>
      </c>
      <c r="H213" s="175"/>
      <c r="I213" s="176"/>
      <c r="J213" s="173"/>
      <c r="K213" s="173"/>
      <c r="L213" s="174">
        <f t="shared" si="15"/>
        <v>0</v>
      </c>
      <c r="M213" s="177">
        <f t="shared" si="13"/>
        <v>0</v>
      </c>
    </row>
    <row r="214" spans="1:13" x14ac:dyDescent="0.2">
      <c r="A214" s="53">
        <v>47</v>
      </c>
      <c r="B214" s="178">
        <v>1830</v>
      </c>
      <c r="C214" s="180" t="s">
        <v>271</v>
      </c>
      <c r="D214" s="173">
        <v>1034672</v>
      </c>
      <c r="E214" s="173">
        <v>52492</v>
      </c>
      <c r="F214" s="173"/>
      <c r="G214" s="174">
        <f t="shared" si="14"/>
        <v>1087164</v>
      </c>
      <c r="H214" s="175"/>
      <c r="I214" s="176">
        <v>272374</v>
      </c>
      <c r="J214" s="173">
        <v>21031</v>
      </c>
      <c r="K214" s="173"/>
      <c r="L214" s="174">
        <f t="shared" si="15"/>
        <v>293405</v>
      </c>
      <c r="M214" s="177">
        <f t="shared" si="13"/>
        <v>793759</v>
      </c>
    </row>
    <row r="215" spans="1:13" x14ac:dyDescent="0.2">
      <c r="A215" s="53">
        <v>47</v>
      </c>
      <c r="B215" s="178">
        <v>1835</v>
      </c>
      <c r="C215" s="180" t="s">
        <v>208</v>
      </c>
      <c r="D215" s="173">
        <v>6474239</v>
      </c>
      <c r="E215" s="173">
        <v>27991</v>
      </c>
      <c r="F215" s="173"/>
      <c r="G215" s="174">
        <f t="shared" si="14"/>
        <v>6502230</v>
      </c>
      <c r="H215" s="175"/>
      <c r="I215" s="176">
        <v>4627183</v>
      </c>
      <c r="J215" s="173">
        <v>37525</v>
      </c>
      <c r="K215" s="173"/>
      <c r="L215" s="174">
        <f t="shared" si="15"/>
        <v>4664708</v>
      </c>
      <c r="M215" s="177">
        <f t="shared" si="13"/>
        <v>1837522</v>
      </c>
    </row>
    <row r="216" spans="1:13" x14ac:dyDescent="0.2">
      <c r="A216" s="53">
        <v>47</v>
      </c>
      <c r="B216" s="178">
        <v>1840</v>
      </c>
      <c r="C216" s="180" t="s">
        <v>209</v>
      </c>
      <c r="D216" s="173">
        <v>1953364</v>
      </c>
      <c r="E216" s="173">
        <v>263064</v>
      </c>
      <c r="F216" s="173"/>
      <c r="G216" s="174">
        <f t="shared" si="14"/>
        <v>2216428</v>
      </c>
      <c r="H216" s="175"/>
      <c r="I216" s="176">
        <v>359695</v>
      </c>
      <c r="J216" s="173">
        <v>39054</v>
      </c>
      <c r="K216" s="173"/>
      <c r="L216" s="174">
        <f t="shared" si="15"/>
        <v>398749</v>
      </c>
      <c r="M216" s="177">
        <f t="shared" si="13"/>
        <v>1817679</v>
      </c>
    </row>
    <row r="217" spans="1:13" x14ac:dyDescent="0.2">
      <c r="A217" s="53">
        <v>47</v>
      </c>
      <c r="B217" s="178">
        <v>1845</v>
      </c>
      <c r="C217" s="180" t="s">
        <v>210</v>
      </c>
      <c r="D217" s="173">
        <v>8197561</v>
      </c>
      <c r="E217" s="173">
        <v>126314</v>
      </c>
      <c r="F217" s="173"/>
      <c r="G217" s="174">
        <f t="shared" si="14"/>
        <v>8323875</v>
      </c>
      <c r="H217" s="175"/>
      <c r="I217" s="176">
        <v>5008209</v>
      </c>
      <c r="J217" s="173">
        <v>107047</v>
      </c>
      <c r="K217" s="173"/>
      <c r="L217" s="174">
        <f t="shared" si="15"/>
        <v>5115256</v>
      </c>
      <c r="M217" s="177">
        <f t="shared" si="13"/>
        <v>3208619</v>
      </c>
    </row>
    <row r="218" spans="1:13" x14ac:dyDescent="0.2">
      <c r="A218" s="53">
        <v>47</v>
      </c>
      <c r="B218" s="178">
        <v>1850</v>
      </c>
      <c r="C218" s="180" t="s">
        <v>272</v>
      </c>
      <c r="D218" s="173">
        <v>6083306</v>
      </c>
      <c r="E218" s="173">
        <v>305722</v>
      </c>
      <c r="F218" s="173"/>
      <c r="G218" s="174">
        <f t="shared" si="14"/>
        <v>6389028</v>
      </c>
      <c r="H218" s="175"/>
      <c r="I218" s="176">
        <v>3680815</v>
      </c>
      <c r="J218" s="173">
        <v>82778</v>
      </c>
      <c r="K218" s="173"/>
      <c r="L218" s="174">
        <f t="shared" si="15"/>
        <v>3763593</v>
      </c>
      <c r="M218" s="177">
        <f t="shared" si="13"/>
        <v>2625435</v>
      </c>
    </row>
    <row r="219" spans="1:13" x14ac:dyDescent="0.2">
      <c r="A219" s="53">
        <v>47</v>
      </c>
      <c r="B219" s="178">
        <v>1851</v>
      </c>
      <c r="C219" s="180" t="s">
        <v>1405</v>
      </c>
      <c r="D219" s="173">
        <v>4448</v>
      </c>
      <c r="E219" s="173">
        <v>4067</v>
      </c>
      <c r="F219" s="173"/>
      <c r="G219" s="174">
        <f t="shared" si="14"/>
        <v>8515</v>
      </c>
      <c r="H219" s="175"/>
      <c r="I219" s="176">
        <v>111</v>
      </c>
      <c r="J219" s="173">
        <v>324</v>
      </c>
      <c r="K219" s="173"/>
      <c r="L219" s="174">
        <f t="shared" si="15"/>
        <v>435</v>
      </c>
      <c r="M219" s="177">
        <f t="shared" si="13"/>
        <v>8080</v>
      </c>
    </row>
    <row r="220" spans="1:13" x14ac:dyDescent="0.2">
      <c r="A220" s="53">
        <v>47</v>
      </c>
      <c r="B220" s="178">
        <v>1852</v>
      </c>
      <c r="C220" s="180" t="s">
        <v>1406</v>
      </c>
      <c r="D220" s="173">
        <v>37877</v>
      </c>
      <c r="E220" s="173">
        <v>36068</v>
      </c>
      <c r="F220" s="173"/>
      <c r="G220" s="174">
        <f t="shared" si="14"/>
        <v>73945</v>
      </c>
      <c r="H220" s="175"/>
      <c r="I220" s="176">
        <v>779</v>
      </c>
      <c r="J220" s="173">
        <v>1099</v>
      </c>
      <c r="K220" s="173"/>
      <c r="L220" s="174">
        <f t="shared" si="15"/>
        <v>1878</v>
      </c>
      <c r="M220" s="177">
        <f t="shared" si="13"/>
        <v>72067</v>
      </c>
    </row>
    <row r="221" spans="1:13" x14ac:dyDescent="0.2">
      <c r="A221" s="53">
        <v>47</v>
      </c>
      <c r="B221" s="178">
        <v>1855</v>
      </c>
      <c r="C221" s="180" t="s">
        <v>211</v>
      </c>
      <c r="D221" s="173">
        <v>932126</v>
      </c>
      <c r="E221" s="173">
        <v>98936</v>
      </c>
      <c r="F221" s="173"/>
      <c r="G221" s="174">
        <f t="shared" si="14"/>
        <v>1031062</v>
      </c>
      <c r="H221" s="175"/>
      <c r="I221" s="176">
        <v>237129</v>
      </c>
      <c r="J221" s="173">
        <v>40762</v>
      </c>
      <c r="K221" s="173"/>
      <c r="L221" s="174">
        <f t="shared" si="15"/>
        <v>277891</v>
      </c>
      <c r="M221" s="177">
        <f t="shared" si="13"/>
        <v>753171</v>
      </c>
    </row>
    <row r="222" spans="1:13" x14ac:dyDescent="0.2">
      <c r="A222" s="53">
        <v>47</v>
      </c>
      <c r="B222" s="178">
        <v>1860</v>
      </c>
      <c r="C222" s="180" t="s">
        <v>273</v>
      </c>
      <c r="D222" s="173">
        <v>0</v>
      </c>
      <c r="E222" s="173"/>
      <c r="F222" s="173"/>
      <c r="G222" s="174">
        <f>D222+E222+F222</f>
        <v>0</v>
      </c>
      <c r="H222" s="175"/>
      <c r="I222" s="176"/>
      <c r="J222" s="173"/>
      <c r="K222" s="173"/>
      <c r="L222" s="174">
        <f>I222+J222+K222</f>
        <v>0</v>
      </c>
      <c r="M222" s="177">
        <f t="shared" si="13"/>
        <v>0</v>
      </c>
    </row>
    <row r="223" spans="1:13" ht="25.5" x14ac:dyDescent="0.2">
      <c r="A223" s="53">
        <v>47</v>
      </c>
      <c r="B223" s="178">
        <v>1861</v>
      </c>
      <c r="C223" s="180" t="s">
        <v>1396</v>
      </c>
      <c r="D223" s="173">
        <v>957985</v>
      </c>
      <c r="E223" s="173">
        <v>366021</v>
      </c>
      <c r="F223" s="173"/>
      <c r="G223" s="174">
        <f t="shared" ref="G223:G235" si="16">D223+E223+F223</f>
        <v>1324006</v>
      </c>
      <c r="H223" s="175"/>
      <c r="I223" s="176">
        <v>258992</v>
      </c>
      <c r="J223" s="173">
        <v>132244</v>
      </c>
      <c r="K223" s="173"/>
      <c r="L223" s="174">
        <f t="shared" ref="L223:L235" si="17">I223+J223+K223</f>
        <v>391236</v>
      </c>
      <c r="M223" s="177">
        <f t="shared" si="13"/>
        <v>932770</v>
      </c>
    </row>
    <row r="224" spans="1:13" x14ac:dyDescent="0.2">
      <c r="A224" s="53">
        <v>47</v>
      </c>
      <c r="B224" s="178">
        <v>1862</v>
      </c>
      <c r="C224" s="180" t="s">
        <v>1397</v>
      </c>
      <c r="D224" s="173">
        <v>316808</v>
      </c>
      <c r="E224" s="173">
        <v>5768</v>
      </c>
      <c r="F224" s="173"/>
      <c r="G224" s="174">
        <f t="shared" si="16"/>
        <v>322576</v>
      </c>
      <c r="H224" s="175"/>
      <c r="I224" s="176">
        <v>68340</v>
      </c>
      <c r="J224" s="173">
        <v>34568</v>
      </c>
      <c r="K224" s="173"/>
      <c r="L224" s="174">
        <f t="shared" si="17"/>
        <v>102908</v>
      </c>
      <c r="M224" s="177">
        <f t="shared" si="13"/>
        <v>219668</v>
      </c>
    </row>
    <row r="225" spans="1:13" x14ac:dyDescent="0.2">
      <c r="A225" s="53">
        <v>47</v>
      </c>
      <c r="B225" s="178">
        <v>1863</v>
      </c>
      <c r="C225" s="180" t="s">
        <v>1398</v>
      </c>
      <c r="D225" s="173">
        <v>0</v>
      </c>
      <c r="E225" s="173">
        <v>1013</v>
      </c>
      <c r="F225" s="173"/>
      <c r="G225" s="174">
        <f t="shared" si="16"/>
        <v>1013</v>
      </c>
      <c r="H225" s="175"/>
      <c r="I225" s="176">
        <v>0</v>
      </c>
      <c r="J225" s="173">
        <v>34</v>
      </c>
      <c r="K225" s="173"/>
      <c r="L225" s="174">
        <f t="shared" si="17"/>
        <v>34</v>
      </c>
      <c r="M225" s="177">
        <f t="shared" si="13"/>
        <v>979</v>
      </c>
    </row>
    <row r="226" spans="1:13" x14ac:dyDescent="0.2">
      <c r="A226" s="53">
        <v>47</v>
      </c>
      <c r="B226" s="178">
        <v>1864</v>
      </c>
      <c r="C226" s="180" t="s">
        <v>1399</v>
      </c>
      <c r="D226" s="173">
        <v>108323</v>
      </c>
      <c r="E226" s="173">
        <v>909</v>
      </c>
      <c r="F226" s="173"/>
      <c r="G226" s="174">
        <f t="shared" si="16"/>
        <v>109232</v>
      </c>
      <c r="H226" s="175"/>
      <c r="I226" s="176">
        <v>6415</v>
      </c>
      <c r="J226" s="173">
        <v>3282</v>
      </c>
      <c r="K226" s="173"/>
      <c r="L226" s="174">
        <f t="shared" si="17"/>
        <v>9697</v>
      </c>
      <c r="M226" s="177">
        <f t="shared" si="13"/>
        <v>99535</v>
      </c>
    </row>
    <row r="227" spans="1:13" x14ac:dyDescent="0.2">
      <c r="A227" s="53">
        <v>47</v>
      </c>
      <c r="B227" s="178">
        <v>1865</v>
      </c>
      <c r="C227" s="179" t="s">
        <v>1400</v>
      </c>
      <c r="D227" s="173"/>
      <c r="E227" s="173"/>
      <c r="F227" s="173"/>
      <c r="G227" s="174">
        <f t="shared" si="16"/>
        <v>0</v>
      </c>
      <c r="H227" s="175"/>
      <c r="I227" s="176"/>
      <c r="J227" s="173"/>
      <c r="K227" s="173"/>
      <c r="L227" s="174">
        <f t="shared" si="17"/>
        <v>0</v>
      </c>
      <c r="M227" s="177">
        <f t="shared" si="13"/>
        <v>0</v>
      </c>
    </row>
    <row r="228" spans="1:13" x14ac:dyDescent="0.2">
      <c r="A228" s="53" t="s">
        <v>266</v>
      </c>
      <c r="B228" s="178">
        <v>1905</v>
      </c>
      <c r="C228" s="179" t="s">
        <v>267</v>
      </c>
      <c r="D228" s="173">
        <v>171765</v>
      </c>
      <c r="E228" s="173"/>
      <c r="F228" s="173"/>
      <c r="G228" s="174">
        <f t="shared" si="16"/>
        <v>171765</v>
      </c>
      <c r="H228" s="175"/>
      <c r="I228" s="176">
        <v>0</v>
      </c>
      <c r="J228" s="173"/>
      <c r="K228" s="173"/>
      <c r="L228" s="174">
        <f t="shared" si="17"/>
        <v>0</v>
      </c>
      <c r="M228" s="177">
        <f t="shared" si="13"/>
        <v>171765</v>
      </c>
    </row>
    <row r="229" spans="1:13" x14ac:dyDescent="0.2">
      <c r="A229" s="53">
        <v>47</v>
      </c>
      <c r="B229" s="178">
        <v>1908</v>
      </c>
      <c r="C229" s="180" t="s">
        <v>275</v>
      </c>
      <c r="D229" s="173">
        <v>665207</v>
      </c>
      <c r="E229" s="173">
        <v>236</v>
      </c>
      <c r="F229" s="173"/>
      <c r="G229" s="174">
        <f t="shared" si="16"/>
        <v>665443</v>
      </c>
      <c r="H229" s="175"/>
      <c r="I229" s="176">
        <v>375560</v>
      </c>
      <c r="J229" s="173">
        <v>14499</v>
      </c>
      <c r="K229" s="173"/>
      <c r="L229" s="174">
        <f t="shared" si="17"/>
        <v>390059</v>
      </c>
      <c r="M229" s="177">
        <f t="shared" si="13"/>
        <v>275384</v>
      </c>
    </row>
    <row r="230" spans="1:13" x14ac:dyDescent="0.2">
      <c r="A230" s="53">
        <v>13</v>
      </c>
      <c r="B230" s="178">
        <v>1910</v>
      </c>
      <c r="C230" s="180" t="s">
        <v>299</v>
      </c>
      <c r="D230" s="173"/>
      <c r="E230" s="173"/>
      <c r="F230" s="173"/>
      <c r="G230" s="174">
        <f t="shared" si="16"/>
        <v>0</v>
      </c>
      <c r="H230" s="175"/>
      <c r="I230" s="176"/>
      <c r="J230" s="173"/>
      <c r="K230" s="173"/>
      <c r="L230" s="174">
        <f t="shared" si="17"/>
        <v>0</v>
      </c>
      <c r="M230" s="177">
        <f t="shared" si="13"/>
        <v>0</v>
      </c>
    </row>
    <row r="231" spans="1:13" x14ac:dyDescent="0.2">
      <c r="A231" s="53">
        <v>8</v>
      </c>
      <c r="B231" s="178">
        <v>1915</v>
      </c>
      <c r="C231" s="180" t="s">
        <v>213</v>
      </c>
      <c r="D231" s="173">
        <v>245317</v>
      </c>
      <c r="E231" s="173">
        <v>7675</v>
      </c>
      <c r="F231" s="173"/>
      <c r="G231" s="174">
        <f t="shared" si="16"/>
        <v>252992</v>
      </c>
      <c r="H231" s="175"/>
      <c r="I231" s="176">
        <v>225078</v>
      </c>
      <c r="J231" s="173">
        <v>5846</v>
      </c>
      <c r="K231" s="173"/>
      <c r="L231" s="174">
        <f t="shared" si="17"/>
        <v>230924</v>
      </c>
      <c r="M231" s="177">
        <f t="shared" si="13"/>
        <v>22068</v>
      </c>
    </row>
    <row r="232" spans="1:13" x14ac:dyDescent="0.2">
      <c r="A232" s="53">
        <v>8</v>
      </c>
      <c r="B232" s="178">
        <v>1915</v>
      </c>
      <c r="C232" s="180" t="s">
        <v>214</v>
      </c>
      <c r="D232" s="173"/>
      <c r="E232" s="173"/>
      <c r="F232" s="173"/>
      <c r="G232" s="174">
        <f t="shared" si="16"/>
        <v>0</v>
      </c>
      <c r="H232" s="175"/>
      <c r="I232" s="176"/>
      <c r="J232" s="173"/>
      <c r="K232" s="173"/>
      <c r="L232" s="174">
        <f t="shared" si="17"/>
        <v>0</v>
      </c>
      <c r="M232" s="177">
        <f t="shared" si="13"/>
        <v>0</v>
      </c>
    </row>
    <row r="233" spans="1:13" x14ac:dyDescent="0.2">
      <c r="A233" s="53">
        <v>10</v>
      </c>
      <c r="B233" s="178">
        <v>1920</v>
      </c>
      <c r="C233" s="180" t="s">
        <v>215</v>
      </c>
      <c r="D233" s="173">
        <v>379056</v>
      </c>
      <c r="E233" s="173">
        <v>24709</v>
      </c>
      <c r="F233" s="173"/>
      <c r="G233" s="174">
        <f t="shared" si="16"/>
        <v>403765</v>
      </c>
      <c r="H233" s="175"/>
      <c r="I233" s="176">
        <v>369388</v>
      </c>
      <c r="J233" s="173">
        <v>7020</v>
      </c>
      <c r="K233" s="173"/>
      <c r="L233" s="174">
        <f t="shared" si="17"/>
        <v>376408</v>
      </c>
      <c r="M233" s="177">
        <f t="shared" si="13"/>
        <v>27357</v>
      </c>
    </row>
    <row r="234" spans="1:13" ht="25.5" x14ac:dyDescent="0.2">
      <c r="A234" s="53">
        <v>45</v>
      </c>
      <c r="B234" s="181">
        <v>1920</v>
      </c>
      <c r="C234" s="172" t="s">
        <v>217</v>
      </c>
      <c r="D234" s="173"/>
      <c r="E234" s="173"/>
      <c r="F234" s="173"/>
      <c r="G234" s="174">
        <f t="shared" si="16"/>
        <v>0</v>
      </c>
      <c r="H234" s="175"/>
      <c r="I234" s="176"/>
      <c r="J234" s="173"/>
      <c r="K234" s="173"/>
      <c r="L234" s="174">
        <f t="shared" si="17"/>
        <v>0</v>
      </c>
      <c r="M234" s="177">
        <f t="shared" si="13"/>
        <v>0</v>
      </c>
    </row>
    <row r="235" spans="1:13" ht="25.5" x14ac:dyDescent="0.2">
      <c r="A235" s="53">
        <v>45.1</v>
      </c>
      <c r="B235" s="181">
        <v>1920</v>
      </c>
      <c r="C235" s="172" t="s">
        <v>216</v>
      </c>
      <c r="D235" s="173"/>
      <c r="E235" s="173"/>
      <c r="F235" s="173"/>
      <c r="G235" s="174">
        <f t="shared" si="16"/>
        <v>0</v>
      </c>
      <c r="H235" s="175"/>
      <c r="I235" s="176"/>
      <c r="J235" s="173"/>
      <c r="K235" s="173"/>
      <c r="L235" s="174">
        <f t="shared" si="17"/>
        <v>0</v>
      </c>
      <c r="M235" s="177">
        <f t="shared" si="13"/>
        <v>0</v>
      </c>
    </row>
    <row r="236" spans="1:13" x14ac:dyDescent="0.2">
      <c r="A236" s="53">
        <v>10</v>
      </c>
      <c r="B236" s="1473">
        <v>1930</v>
      </c>
      <c r="C236" s="180" t="s">
        <v>286</v>
      </c>
      <c r="D236" s="173"/>
      <c r="E236" s="173"/>
      <c r="F236" s="173"/>
      <c r="G236" s="174">
        <f>D236+E236+F236</f>
        <v>0</v>
      </c>
      <c r="H236" s="175"/>
      <c r="I236" s="176"/>
      <c r="J236" s="173"/>
      <c r="K236" s="173"/>
      <c r="L236" s="174">
        <f>I236+J236+K236</f>
        <v>0</v>
      </c>
      <c r="M236" s="177">
        <f t="shared" si="13"/>
        <v>0</v>
      </c>
    </row>
    <row r="237" spans="1:13" x14ac:dyDescent="0.2">
      <c r="A237" s="53">
        <v>10</v>
      </c>
      <c r="B237" s="1473">
        <v>1931</v>
      </c>
      <c r="C237" s="180" t="s">
        <v>1401</v>
      </c>
      <c r="D237" s="173">
        <v>116061</v>
      </c>
      <c r="E237" s="173"/>
      <c r="F237" s="173"/>
      <c r="G237" s="174">
        <f>D237+E237-F237</f>
        <v>116061</v>
      </c>
      <c r="H237" s="175"/>
      <c r="I237" s="176">
        <v>21682</v>
      </c>
      <c r="J237" s="173">
        <v>11929</v>
      </c>
      <c r="K237" s="173"/>
      <c r="L237" s="174">
        <f t="shared" ref="L237:L252" si="18">I237+J237+K237</f>
        <v>33611</v>
      </c>
      <c r="M237" s="177">
        <f t="shared" si="13"/>
        <v>82450</v>
      </c>
    </row>
    <row r="238" spans="1:13" x14ac:dyDescent="0.2">
      <c r="A238" s="53">
        <v>10</v>
      </c>
      <c r="B238" s="1473">
        <v>1932</v>
      </c>
      <c r="C238" s="180" t="s">
        <v>1402</v>
      </c>
      <c r="D238" s="173">
        <v>171179</v>
      </c>
      <c r="E238" s="173"/>
      <c r="F238" s="173"/>
      <c r="G238" s="174">
        <f>D238+E238+F238</f>
        <v>171179</v>
      </c>
      <c r="H238" s="175"/>
      <c r="I238" s="176">
        <v>110350</v>
      </c>
      <c r="J238" s="173">
        <v>25440</v>
      </c>
      <c r="K238" s="173"/>
      <c r="L238" s="174">
        <f t="shared" si="18"/>
        <v>135790</v>
      </c>
      <c r="M238" s="177">
        <f t="shared" si="13"/>
        <v>35389</v>
      </c>
    </row>
    <row r="239" spans="1:13" x14ac:dyDescent="0.2">
      <c r="A239" s="53">
        <v>10</v>
      </c>
      <c r="B239" s="1473">
        <v>1933</v>
      </c>
      <c r="C239" s="180" t="s">
        <v>1403</v>
      </c>
      <c r="D239" s="173">
        <v>70712</v>
      </c>
      <c r="E239" s="173"/>
      <c r="F239" s="173"/>
      <c r="G239" s="174">
        <f>D239+E239-F239</f>
        <v>70712</v>
      </c>
      <c r="H239" s="175"/>
      <c r="I239" s="176">
        <v>3536</v>
      </c>
      <c r="J239" s="173">
        <v>7071</v>
      </c>
      <c r="K239" s="173"/>
      <c r="L239" s="174">
        <f t="shared" si="18"/>
        <v>10607</v>
      </c>
      <c r="M239" s="177">
        <f t="shared" si="13"/>
        <v>60105</v>
      </c>
    </row>
    <row r="240" spans="1:13" x14ac:dyDescent="0.2">
      <c r="A240" s="53">
        <v>8</v>
      </c>
      <c r="B240" s="1473">
        <v>1935</v>
      </c>
      <c r="C240" s="180" t="s">
        <v>287</v>
      </c>
      <c r="D240" s="173"/>
      <c r="E240" s="173"/>
      <c r="F240" s="173"/>
      <c r="G240" s="174">
        <f t="shared" ref="G240:G252" si="19">D240+E240+F240</f>
        <v>0</v>
      </c>
      <c r="H240" s="175"/>
      <c r="I240" s="176"/>
      <c r="J240" s="173"/>
      <c r="K240" s="173"/>
      <c r="L240" s="174">
        <f t="shared" si="18"/>
        <v>0</v>
      </c>
      <c r="M240" s="177">
        <f t="shared" si="13"/>
        <v>0</v>
      </c>
    </row>
    <row r="241" spans="1:13" x14ac:dyDescent="0.2">
      <c r="A241" s="53">
        <v>8</v>
      </c>
      <c r="B241" s="1473">
        <v>1940</v>
      </c>
      <c r="C241" s="180" t="s">
        <v>288</v>
      </c>
      <c r="D241" s="173">
        <v>381829</v>
      </c>
      <c r="E241" s="173">
        <v>4107</v>
      </c>
      <c r="F241" s="173"/>
      <c r="G241" s="174">
        <f t="shared" si="19"/>
        <v>385936</v>
      </c>
      <c r="H241" s="175"/>
      <c r="I241" s="176">
        <v>344385</v>
      </c>
      <c r="J241" s="173">
        <v>9369</v>
      </c>
      <c r="K241" s="173"/>
      <c r="L241" s="174">
        <f t="shared" si="18"/>
        <v>353754</v>
      </c>
      <c r="M241" s="177">
        <f t="shared" si="13"/>
        <v>32182</v>
      </c>
    </row>
    <row r="242" spans="1:13" x14ac:dyDescent="0.2">
      <c r="A242" s="53">
        <v>8</v>
      </c>
      <c r="B242" s="1473">
        <v>1945</v>
      </c>
      <c r="C242" s="180" t="s">
        <v>289</v>
      </c>
      <c r="D242" s="173"/>
      <c r="E242" s="173"/>
      <c r="F242" s="173"/>
      <c r="G242" s="174">
        <f t="shared" si="19"/>
        <v>0</v>
      </c>
      <c r="H242" s="175"/>
      <c r="I242" s="176"/>
      <c r="J242" s="173"/>
      <c r="K242" s="173"/>
      <c r="L242" s="174">
        <f t="shared" si="18"/>
        <v>0</v>
      </c>
      <c r="M242" s="177">
        <f t="shared" si="13"/>
        <v>0</v>
      </c>
    </row>
    <row r="243" spans="1:13" x14ac:dyDescent="0.2">
      <c r="A243" s="53">
        <v>8</v>
      </c>
      <c r="B243" s="1473">
        <v>1950</v>
      </c>
      <c r="C243" s="180" t="s">
        <v>218</v>
      </c>
      <c r="D243" s="173"/>
      <c r="E243" s="173"/>
      <c r="F243" s="173"/>
      <c r="G243" s="174">
        <f t="shared" si="19"/>
        <v>0</v>
      </c>
      <c r="H243" s="175"/>
      <c r="I243" s="182"/>
      <c r="J243" s="173"/>
      <c r="K243" s="173"/>
      <c r="L243" s="174">
        <f t="shared" si="18"/>
        <v>0</v>
      </c>
      <c r="M243" s="177">
        <f t="shared" si="13"/>
        <v>0</v>
      </c>
    </row>
    <row r="244" spans="1:13" x14ac:dyDescent="0.2">
      <c r="A244" s="53">
        <v>8</v>
      </c>
      <c r="B244" s="1473">
        <v>1955</v>
      </c>
      <c r="C244" s="180" t="s">
        <v>290</v>
      </c>
      <c r="D244" s="173">
        <v>36146</v>
      </c>
      <c r="E244" s="173">
        <v>727</v>
      </c>
      <c r="F244" s="173"/>
      <c r="G244" s="174">
        <f t="shared" si="19"/>
        <v>36873</v>
      </c>
      <c r="H244" s="175"/>
      <c r="I244" s="176">
        <v>27663</v>
      </c>
      <c r="J244" s="173">
        <v>1450</v>
      </c>
      <c r="K244" s="173"/>
      <c r="L244" s="174">
        <f t="shared" si="18"/>
        <v>29113</v>
      </c>
      <c r="M244" s="177">
        <f t="shared" si="13"/>
        <v>7760</v>
      </c>
    </row>
    <row r="245" spans="1:13" x14ac:dyDescent="0.2">
      <c r="A245" s="183">
        <v>8</v>
      </c>
      <c r="B245" s="181">
        <v>1955</v>
      </c>
      <c r="C245" s="184" t="s">
        <v>219</v>
      </c>
      <c r="D245" s="173"/>
      <c r="E245" s="173"/>
      <c r="F245" s="173"/>
      <c r="G245" s="174">
        <f t="shared" si="19"/>
        <v>0</v>
      </c>
      <c r="H245" s="175"/>
      <c r="I245" s="176"/>
      <c r="J245" s="173"/>
      <c r="K245" s="173"/>
      <c r="L245" s="174">
        <f t="shared" si="18"/>
        <v>0</v>
      </c>
      <c r="M245" s="177">
        <f t="shared" si="13"/>
        <v>0</v>
      </c>
    </row>
    <row r="246" spans="1:13" x14ac:dyDescent="0.2">
      <c r="A246" s="183">
        <v>8</v>
      </c>
      <c r="B246" s="185">
        <v>1960</v>
      </c>
      <c r="C246" s="172" t="s">
        <v>220</v>
      </c>
      <c r="D246" s="173"/>
      <c r="E246" s="173"/>
      <c r="F246" s="173"/>
      <c r="G246" s="174">
        <f t="shared" si="19"/>
        <v>0</v>
      </c>
      <c r="H246" s="175"/>
      <c r="I246" s="176"/>
      <c r="J246" s="173"/>
      <c r="K246" s="173"/>
      <c r="L246" s="174">
        <f t="shared" si="18"/>
        <v>0</v>
      </c>
      <c r="M246" s="177">
        <f t="shared" si="13"/>
        <v>0</v>
      </c>
    </row>
    <row r="247" spans="1:13" ht="25.5" x14ac:dyDescent="0.2">
      <c r="A247" s="186">
        <v>47</v>
      </c>
      <c r="B247" s="185">
        <v>1970</v>
      </c>
      <c r="C247" s="180" t="s">
        <v>501</v>
      </c>
      <c r="D247" s="173"/>
      <c r="E247" s="173"/>
      <c r="F247" s="173"/>
      <c r="G247" s="174">
        <f t="shared" si="19"/>
        <v>0</v>
      </c>
      <c r="H247" s="175"/>
      <c r="I247" s="176"/>
      <c r="J247" s="173"/>
      <c r="K247" s="173"/>
      <c r="L247" s="174">
        <f t="shared" si="18"/>
        <v>0</v>
      </c>
      <c r="M247" s="177">
        <f t="shared" si="13"/>
        <v>0</v>
      </c>
    </row>
    <row r="248" spans="1:13" ht="25.5" x14ac:dyDescent="0.2">
      <c r="A248" s="53">
        <v>47</v>
      </c>
      <c r="B248" s="1473">
        <v>1975</v>
      </c>
      <c r="C248" s="180" t="s">
        <v>291</v>
      </c>
      <c r="D248" s="173"/>
      <c r="E248" s="173"/>
      <c r="F248" s="173"/>
      <c r="G248" s="174">
        <f t="shared" si="19"/>
        <v>0</v>
      </c>
      <c r="H248" s="175"/>
      <c r="I248" s="176"/>
      <c r="J248" s="173"/>
      <c r="K248" s="173"/>
      <c r="L248" s="174">
        <f t="shared" si="18"/>
        <v>0</v>
      </c>
      <c r="M248" s="177">
        <f t="shared" si="13"/>
        <v>0</v>
      </c>
    </row>
    <row r="249" spans="1:13" x14ac:dyDescent="0.2">
      <c r="A249" s="53">
        <v>47</v>
      </c>
      <c r="B249" s="1473">
        <v>1980</v>
      </c>
      <c r="C249" s="180" t="s">
        <v>292</v>
      </c>
      <c r="D249" s="173"/>
      <c r="E249" s="173"/>
      <c r="F249" s="173"/>
      <c r="G249" s="174">
        <f t="shared" si="19"/>
        <v>0</v>
      </c>
      <c r="H249" s="175"/>
      <c r="I249" s="176"/>
      <c r="J249" s="173"/>
      <c r="K249" s="173"/>
      <c r="L249" s="174">
        <f t="shared" si="18"/>
        <v>0</v>
      </c>
      <c r="M249" s="177">
        <f t="shared" si="13"/>
        <v>0</v>
      </c>
    </row>
    <row r="250" spans="1:13" x14ac:dyDescent="0.2">
      <c r="A250" s="53">
        <v>47</v>
      </c>
      <c r="B250" s="1473">
        <v>1985</v>
      </c>
      <c r="C250" s="180" t="s">
        <v>1404</v>
      </c>
      <c r="D250" s="173">
        <v>15</v>
      </c>
      <c r="E250" s="173"/>
      <c r="F250" s="173"/>
      <c r="G250" s="174">
        <f t="shared" si="19"/>
        <v>15</v>
      </c>
      <c r="H250" s="175"/>
      <c r="I250" s="176">
        <v>15</v>
      </c>
      <c r="J250" s="173"/>
      <c r="K250" s="173"/>
      <c r="L250" s="174">
        <f t="shared" si="18"/>
        <v>15</v>
      </c>
      <c r="M250" s="177">
        <f t="shared" si="13"/>
        <v>0</v>
      </c>
    </row>
    <row r="251" spans="1:13" x14ac:dyDescent="0.2">
      <c r="A251" s="186">
        <v>47</v>
      </c>
      <c r="B251" s="1473">
        <v>1990</v>
      </c>
      <c r="C251" s="1472" t="s">
        <v>502</v>
      </c>
      <c r="D251" s="173"/>
      <c r="E251" s="173"/>
      <c r="F251" s="173"/>
      <c r="G251" s="174">
        <f t="shared" si="19"/>
        <v>0</v>
      </c>
      <c r="H251" s="175"/>
      <c r="I251" s="176"/>
      <c r="J251" s="173"/>
      <c r="K251" s="173"/>
      <c r="L251" s="174">
        <f t="shared" si="18"/>
        <v>0</v>
      </c>
      <c r="M251" s="177">
        <f t="shared" si="13"/>
        <v>0</v>
      </c>
    </row>
    <row r="252" spans="1:13" x14ac:dyDescent="0.2">
      <c r="A252" s="53">
        <v>47</v>
      </c>
      <c r="B252" s="1473">
        <v>1995</v>
      </c>
      <c r="C252" s="180" t="s">
        <v>294</v>
      </c>
      <c r="D252" s="173">
        <v>-6095513</v>
      </c>
      <c r="E252" s="173">
        <v>-247033</v>
      </c>
      <c r="F252" s="173"/>
      <c r="G252" s="174">
        <f t="shared" si="19"/>
        <v>-6342546</v>
      </c>
      <c r="H252" s="175"/>
      <c r="I252" s="176">
        <v>-1660578</v>
      </c>
      <c r="J252" s="173">
        <v>-250313</v>
      </c>
      <c r="K252" s="173"/>
      <c r="L252" s="174">
        <f t="shared" si="18"/>
        <v>-1910891</v>
      </c>
      <c r="M252" s="177">
        <f t="shared" si="13"/>
        <v>-4431655</v>
      </c>
    </row>
    <row r="253" spans="1:13" ht="14.25" x14ac:dyDescent="0.2">
      <c r="A253" s="53">
        <v>47</v>
      </c>
      <c r="B253" s="1473">
        <v>2440</v>
      </c>
      <c r="C253" s="180" t="s">
        <v>950</v>
      </c>
      <c r="D253" s="173"/>
      <c r="E253" s="173"/>
      <c r="F253" s="173"/>
      <c r="G253" s="174"/>
      <c r="I253" s="176"/>
      <c r="J253" s="173"/>
      <c r="K253" s="173"/>
      <c r="L253" s="174"/>
      <c r="M253" s="177"/>
    </row>
    <row r="254" spans="1:13" x14ac:dyDescent="0.2">
      <c r="A254" s="187"/>
      <c r="B254" s="187"/>
      <c r="C254" s="188"/>
      <c r="D254" s="189"/>
      <c r="E254" s="189"/>
      <c r="F254" s="189"/>
      <c r="G254" s="174">
        <f>D254+E254+F254</f>
        <v>0</v>
      </c>
      <c r="I254" s="189"/>
      <c r="J254" s="189"/>
      <c r="K254" s="189"/>
      <c r="L254" s="174">
        <f>I254+J254+K254</f>
        <v>0</v>
      </c>
      <c r="M254" s="177">
        <f>G254+L254</f>
        <v>0</v>
      </c>
    </row>
    <row r="255" spans="1:13" x14ac:dyDescent="0.2">
      <c r="A255" s="187"/>
      <c r="B255" s="187"/>
      <c r="C255" s="190" t="s">
        <v>204</v>
      </c>
      <c r="D255" s="191">
        <f>SUM(D206:D254)</f>
        <v>22646688</v>
      </c>
      <c r="E255" s="191">
        <f>SUM(E206:E254)</f>
        <v>1080987</v>
      </c>
      <c r="F255" s="191">
        <f>SUM(F206:F254)</f>
        <v>0</v>
      </c>
      <c r="G255" s="191">
        <f>SUM(G206:G254)</f>
        <v>23727675</v>
      </c>
      <c r="H255" s="191"/>
      <c r="I255" s="191">
        <f>SUM(I206:I254)</f>
        <v>14734093</v>
      </c>
      <c r="J255" s="191">
        <f>SUM(J206:J254)</f>
        <v>335895</v>
      </c>
      <c r="K255" s="191">
        <f>SUM(K206:K254)</f>
        <v>0</v>
      </c>
      <c r="L255" s="191">
        <f>SUM(L206:L254)</f>
        <v>15069988</v>
      </c>
      <c r="M255" s="191">
        <f>SUM(M206:M254)</f>
        <v>8657687</v>
      </c>
    </row>
    <row r="256" spans="1:13" ht="37.5" x14ac:dyDescent="0.2">
      <c r="A256" s="187"/>
      <c r="B256" s="187"/>
      <c r="C256" s="192" t="s">
        <v>597</v>
      </c>
      <c r="D256" s="189"/>
      <c r="E256" s="189"/>
      <c r="F256" s="189"/>
      <c r="G256" s="174">
        <f>D256+E256+F256</f>
        <v>0</v>
      </c>
      <c r="I256" s="189"/>
      <c r="J256" s="189"/>
      <c r="K256" s="189"/>
      <c r="L256" s="174">
        <f>I256+J256+K256</f>
        <v>0</v>
      </c>
      <c r="M256" s="177">
        <f>G256+L256</f>
        <v>0</v>
      </c>
    </row>
    <row r="257" spans="1:13" ht="25.5" x14ac:dyDescent="0.2">
      <c r="A257" s="187"/>
      <c r="B257" s="187"/>
      <c r="C257" s="193" t="s">
        <v>596</v>
      </c>
      <c r="D257" s="189"/>
      <c r="E257" s="189"/>
      <c r="F257" s="189"/>
      <c r="G257" s="174">
        <f>D257+E257+F257</f>
        <v>0</v>
      </c>
      <c r="I257" s="189"/>
      <c r="J257" s="189"/>
      <c r="K257" s="189"/>
      <c r="L257" s="174">
        <f>I257+J257+K257</f>
        <v>0</v>
      </c>
      <c r="M257" s="177">
        <f>G257+L257</f>
        <v>0</v>
      </c>
    </row>
    <row r="258" spans="1:13" x14ac:dyDescent="0.2">
      <c r="A258" s="187"/>
      <c r="B258" s="187"/>
      <c r="C258" s="190" t="s">
        <v>503</v>
      </c>
      <c r="D258" s="191">
        <f>SUM(D255:D257)</f>
        <v>22646688</v>
      </c>
      <c r="E258" s="191">
        <f>SUM(E255:E257)</f>
        <v>1080987</v>
      </c>
      <c r="F258" s="191">
        <f>SUM(F255:F257)</f>
        <v>0</v>
      </c>
      <c r="G258" s="191">
        <f>SUM(G255:G257)</f>
        <v>23727675</v>
      </c>
      <c r="H258" s="191"/>
      <c r="I258" s="191">
        <f>SUM(I255:I257)</f>
        <v>14734093</v>
      </c>
      <c r="J258" s="191">
        <f>SUM(J255:J257)</f>
        <v>335895</v>
      </c>
      <c r="K258" s="191">
        <f>SUM(K255:K257)</f>
        <v>0</v>
      </c>
      <c r="L258" s="191">
        <f>SUM(L255:L257)</f>
        <v>15069988</v>
      </c>
      <c r="M258" s="191">
        <f>SUM(M255:M257)</f>
        <v>8657687</v>
      </c>
    </row>
    <row r="259" spans="1:13" ht="14.25" x14ac:dyDescent="0.2">
      <c r="A259" s="187"/>
      <c r="B259" s="187"/>
      <c r="C259" s="1603" t="s">
        <v>912</v>
      </c>
      <c r="D259" s="1604"/>
      <c r="E259" s="1604"/>
      <c r="F259" s="1604"/>
      <c r="G259" s="1604"/>
      <c r="H259" s="1604"/>
      <c r="I259" s="1605"/>
      <c r="J259" s="189"/>
      <c r="K259" s="194"/>
      <c r="L259" s="195"/>
      <c r="M259" s="196"/>
    </row>
    <row r="260" spans="1:13" x14ac:dyDescent="0.2">
      <c r="A260" s="187"/>
      <c r="B260" s="187"/>
      <c r="C260" s="1603" t="s">
        <v>295</v>
      </c>
      <c r="D260" s="1604"/>
      <c r="E260" s="1604"/>
      <c r="F260" s="1604"/>
      <c r="G260" s="1604"/>
      <c r="H260" s="1604"/>
      <c r="I260" s="1605"/>
      <c r="J260" s="191">
        <f>J258+J259</f>
        <v>335895</v>
      </c>
      <c r="K260" s="194"/>
      <c r="L260" s="195"/>
      <c r="M260" s="196"/>
    </row>
    <row r="261" spans="1:13" x14ac:dyDescent="0.2">
      <c r="A261" s="1474"/>
      <c r="B261" s="1474"/>
    </row>
    <row r="262" spans="1:13" x14ac:dyDescent="0.2">
      <c r="A262" s="1474"/>
      <c r="B262" s="1474"/>
      <c r="I262" s="197" t="s">
        <v>422</v>
      </c>
      <c r="J262" s="1475"/>
    </row>
    <row r="263" spans="1:13" x14ac:dyDescent="0.2">
      <c r="A263" s="187">
        <v>10</v>
      </c>
      <c r="B263" s="187"/>
      <c r="C263" s="188" t="s">
        <v>296</v>
      </c>
      <c r="I263" s="1475" t="s">
        <v>296</v>
      </c>
      <c r="J263" s="1475"/>
      <c r="K263" s="198">
        <f>J237+J238+J239</f>
        <v>44440</v>
      </c>
    </row>
    <row r="264" spans="1:13" x14ac:dyDescent="0.2">
      <c r="A264" s="187">
        <v>8</v>
      </c>
      <c r="B264" s="187"/>
      <c r="C264" s="188" t="s">
        <v>287</v>
      </c>
      <c r="I264" s="1475" t="s">
        <v>851</v>
      </c>
      <c r="J264" s="1475"/>
      <c r="K264" s="199">
        <f>J244</f>
        <v>1450</v>
      </c>
    </row>
    <row r="265" spans="1:13" x14ac:dyDescent="0.2">
      <c r="A265" s="1474"/>
      <c r="B265" s="1474"/>
      <c r="I265" s="200" t="s">
        <v>297</v>
      </c>
      <c r="K265" s="201">
        <f>J260-K263-K264</f>
        <v>290005</v>
      </c>
    </row>
    <row r="266" spans="1:13" x14ac:dyDescent="0.2">
      <c r="A266" s="1471"/>
      <c r="B266" s="1471"/>
      <c r="I266" s="200"/>
      <c r="K266" s="1453"/>
    </row>
    <row r="267" spans="1:13" x14ac:dyDescent="0.2">
      <c r="A267" s="1474"/>
      <c r="B267" s="1474"/>
      <c r="E267" s="122" t="s">
        <v>882</v>
      </c>
      <c r="F267" s="48" t="s">
        <v>105</v>
      </c>
      <c r="H267" s="52"/>
    </row>
    <row r="268" spans="1:13" ht="15" x14ac:dyDescent="0.25">
      <c r="A268" s="1474"/>
      <c r="B268" s="1474"/>
      <c r="C268" s="56"/>
      <c r="E268" s="122" t="s">
        <v>102</v>
      </c>
      <c r="F268" s="160">
        <v>2016</v>
      </c>
      <c r="G268" s="161"/>
    </row>
    <row r="269" spans="1:13" x14ac:dyDescent="0.2">
      <c r="A269" s="1474"/>
      <c r="B269" s="1474"/>
    </row>
    <row r="270" spans="1:13" x14ac:dyDescent="0.2">
      <c r="A270" s="1474"/>
      <c r="B270" s="1474"/>
      <c r="D270" s="1606" t="s">
        <v>264</v>
      </c>
      <c r="E270" s="1607"/>
      <c r="F270" s="1607"/>
      <c r="G270" s="1608"/>
      <c r="I270" s="162"/>
      <c r="J270" s="163" t="s">
        <v>265</v>
      </c>
      <c r="K270" s="163"/>
      <c r="L270" s="164"/>
      <c r="M270" s="159"/>
    </row>
    <row r="271" spans="1:13" ht="27" x14ac:dyDescent="0.2">
      <c r="A271" s="165" t="s">
        <v>1000</v>
      </c>
      <c r="B271" s="165" t="s">
        <v>1002</v>
      </c>
      <c r="C271" s="166" t="s">
        <v>1003</v>
      </c>
      <c r="D271" s="165" t="s">
        <v>236</v>
      </c>
      <c r="E271" s="167" t="s">
        <v>1001</v>
      </c>
      <c r="F271" s="167" t="s">
        <v>1189</v>
      </c>
      <c r="G271" s="165" t="s">
        <v>263</v>
      </c>
      <c r="H271" s="168"/>
      <c r="I271" s="169" t="s">
        <v>236</v>
      </c>
      <c r="J271" s="170" t="s">
        <v>237</v>
      </c>
      <c r="K271" s="170" t="s">
        <v>1189</v>
      </c>
      <c r="L271" s="171" t="s">
        <v>263</v>
      </c>
      <c r="M271" s="165" t="s">
        <v>300</v>
      </c>
    </row>
    <row r="272" spans="1:13" ht="25.5" x14ac:dyDescent="0.2">
      <c r="A272" s="53">
        <v>12</v>
      </c>
      <c r="B272" s="1473">
        <v>1611</v>
      </c>
      <c r="C272" s="172" t="s">
        <v>381</v>
      </c>
      <c r="D272" s="173">
        <v>259251</v>
      </c>
      <c r="E272" s="173">
        <v>1500</v>
      </c>
      <c r="F272" s="173"/>
      <c r="G272" s="174">
        <f>D272+E272+F272</f>
        <v>260751</v>
      </c>
      <c r="H272" s="175"/>
      <c r="I272" s="176">
        <v>256883</v>
      </c>
      <c r="J272" s="173">
        <v>4055</v>
      </c>
      <c r="K272" s="173"/>
      <c r="L272" s="174">
        <f>I272+J272+K272</f>
        <v>260938</v>
      </c>
      <c r="M272" s="177">
        <f>G272-L272</f>
        <v>-187</v>
      </c>
    </row>
    <row r="273" spans="1:13" ht="25.5" x14ac:dyDescent="0.2">
      <c r="A273" s="53" t="s">
        <v>274</v>
      </c>
      <c r="B273" s="1473">
        <v>1612</v>
      </c>
      <c r="C273" s="172" t="s">
        <v>442</v>
      </c>
      <c r="D273" s="173">
        <v>2945</v>
      </c>
      <c r="E273" s="173"/>
      <c r="F273" s="173"/>
      <c r="G273" s="174">
        <f>D273+E273+F273</f>
        <v>2945</v>
      </c>
      <c r="H273" s="175"/>
      <c r="I273" s="176">
        <v>2725</v>
      </c>
      <c r="J273" s="173"/>
      <c r="K273" s="173"/>
      <c r="L273" s="174">
        <f>I273+J273+K273</f>
        <v>2725</v>
      </c>
      <c r="M273" s="177">
        <f t="shared" ref="M273:M318" si="20">G273-L273</f>
        <v>220</v>
      </c>
    </row>
    <row r="274" spans="1:13" x14ac:dyDescent="0.2">
      <c r="A274" s="53" t="s">
        <v>266</v>
      </c>
      <c r="B274" s="178">
        <v>1805</v>
      </c>
      <c r="C274" s="179" t="s">
        <v>267</v>
      </c>
      <c r="D274" s="173">
        <v>2112</v>
      </c>
      <c r="E274" s="173"/>
      <c r="F274" s="173"/>
      <c r="G274" s="174">
        <f>D274+E274+F274</f>
        <v>2112</v>
      </c>
      <c r="H274" s="175"/>
      <c r="I274" s="176"/>
      <c r="J274" s="173"/>
      <c r="K274" s="173"/>
      <c r="L274" s="174">
        <f>I274+J274+K274</f>
        <v>0</v>
      </c>
      <c r="M274" s="177">
        <f t="shared" si="20"/>
        <v>2112</v>
      </c>
    </row>
    <row r="275" spans="1:13" x14ac:dyDescent="0.2">
      <c r="A275" s="53">
        <v>47</v>
      </c>
      <c r="B275" s="178">
        <v>1808</v>
      </c>
      <c r="C275" s="180" t="s">
        <v>268</v>
      </c>
      <c r="D275" s="173"/>
      <c r="E275" s="173"/>
      <c r="F275" s="173"/>
      <c r="G275" s="174">
        <f t="shared" ref="G275:G287" si="21">D275+E275+F275</f>
        <v>0</v>
      </c>
      <c r="H275" s="175"/>
      <c r="I275" s="176"/>
      <c r="J275" s="173"/>
      <c r="K275" s="173"/>
      <c r="L275" s="174">
        <f t="shared" ref="L275:L287" si="22">I275+J275+K275</f>
        <v>0</v>
      </c>
      <c r="M275" s="177">
        <f t="shared" si="20"/>
        <v>0</v>
      </c>
    </row>
    <row r="276" spans="1:13" x14ac:dyDescent="0.2">
      <c r="A276" s="53">
        <v>13</v>
      </c>
      <c r="B276" s="178">
        <v>1810</v>
      </c>
      <c r="C276" s="180" t="s">
        <v>299</v>
      </c>
      <c r="D276" s="173"/>
      <c r="E276" s="173"/>
      <c r="F276" s="173"/>
      <c r="G276" s="174">
        <f t="shared" si="21"/>
        <v>0</v>
      </c>
      <c r="H276" s="175"/>
      <c r="I276" s="176"/>
      <c r="J276" s="173"/>
      <c r="K276" s="173"/>
      <c r="L276" s="174">
        <f t="shared" si="22"/>
        <v>0</v>
      </c>
      <c r="M276" s="177">
        <f t="shared" si="20"/>
        <v>0</v>
      </c>
    </row>
    <row r="277" spans="1:13" x14ac:dyDescent="0.2">
      <c r="A277" s="53">
        <v>47</v>
      </c>
      <c r="B277" s="178">
        <v>1815</v>
      </c>
      <c r="C277" s="180" t="s">
        <v>269</v>
      </c>
      <c r="D277" s="173"/>
      <c r="E277" s="173"/>
      <c r="F277" s="173"/>
      <c r="G277" s="174">
        <f t="shared" si="21"/>
        <v>0</v>
      </c>
      <c r="H277" s="175"/>
      <c r="I277" s="176"/>
      <c r="J277" s="173"/>
      <c r="K277" s="173"/>
      <c r="L277" s="174">
        <f t="shared" si="22"/>
        <v>0</v>
      </c>
      <c r="M277" s="177">
        <f t="shared" si="20"/>
        <v>0</v>
      </c>
    </row>
    <row r="278" spans="1:13" x14ac:dyDescent="0.2">
      <c r="A278" s="53">
        <v>47</v>
      </c>
      <c r="B278" s="178">
        <v>1820</v>
      </c>
      <c r="C278" s="172" t="s">
        <v>207</v>
      </c>
      <c r="D278" s="173">
        <v>142098</v>
      </c>
      <c r="E278" s="173"/>
      <c r="F278" s="173"/>
      <c r="G278" s="174">
        <f t="shared" si="21"/>
        <v>142098</v>
      </c>
      <c r="H278" s="175"/>
      <c r="I278" s="176">
        <v>141200</v>
      </c>
      <c r="J278" s="173">
        <v>62</v>
      </c>
      <c r="K278" s="173"/>
      <c r="L278" s="174">
        <f t="shared" si="22"/>
        <v>141262</v>
      </c>
      <c r="M278" s="177">
        <f t="shared" si="20"/>
        <v>836</v>
      </c>
    </row>
    <row r="279" spans="1:13" x14ac:dyDescent="0.2">
      <c r="A279" s="53">
        <v>47</v>
      </c>
      <c r="B279" s="178">
        <v>1825</v>
      </c>
      <c r="C279" s="180" t="s">
        <v>270</v>
      </c>
      <c r="D279" s="173">
        <v>0</v>
      </c>
      <c r="E279" s="173"/>
      <c r="F279" s="173"/>
      <c r="G279" s="174">
        <f t="shared" si="21"/>
        <v>0</v>
      </c>
      <c r="H279" s="175"/>
      <c r="I279" s="176"/>
      <c r="J279" s="173"/>
      <c r="K279" s="173"/>
      <c r="L279" s="174">
        <f t="shared" si="22"/>
        <v>0</v>
      </c>
      <c r="M279" s="177">
        <f t="shared" si="20"/>
        <v>0</v>
      </c>
    </row>
    <row r="280" spans="1:13" x14ac:dyDescent="0.2">
      <c r="A280" s="53">
        <v>47</v>
      </c>
      <c r="B280" s="178">
        <v>1830</v>
      </c>
      <c r="C280" s="180" t="s">
        <v>271</v>
      </c>
      <c r="D280" s="173">
        <v>1087164</v>
      </c>
      <c r="E280" s="173">
        <v>83000</v>
      </c>
      <c r="F280" s="173"/>
      <c r="G280" s="174">
        <f t="shared" si="21"/>
        <v>1170164</v>
      </c>
      <c r="H280" s="175"/>
      <c r="I280" s="176">
        <v>293405</v>
      </c>
      <c r="J280" s="173">
        <v>22537</v>
      </c>
      <c r="K280" s="173"/>
      <c r="L280" s="174">
        <f t="shared" si="22"/>
        <v>315942</v>
      </c>
      <c r="M280" s="177">
        <f t="shared" si="20"/>
        <v>854222</v>
      </c>
    </row>
    <row r="281" spans="1:13" x14ac:dyDescent="0.2">
      <c r="A281" s="53">
        <v>47</v>
      </c>
      <c r="B281" s="178">
        <v>1835</v>
      </c>
      <c r="C281" s="180" t="s">
        <v>208</v>
      </c>
      <c r="D281" s="173">
        <v>6502230</v>
      </c>
      <c r="E281" s="173">
        <v>44000</v>
      </c>
      <c r="F281" s="173"/>
      <c r="G281" s="174">
        <f t="shared" si="21"/>
        <v>6546230</v>
      </c>
      <c r="H281" s="175"/>
      <c r="I281" s="176">
        <v>4664708</v>
      </c>
      <c r="J281" s="173">
        <v>38124</v>
      </c>
      <c r="K281" s="173"/>
      <c r="L281" s="174">
        <f t="shared" si="22"/>
        <v>4702832</v>
      </c>
      <c r="M281" s="177">
        <f t="shared" si="20"/>
        <v>1843398</v>
      </c>
    </row>
    <row r="282" spans="1:13" x14ac:dyDescent="0.2">
      <c r="A282" s="53">
        <v>47</v>
      </c>
      <c r="B282" s="178">
        <v>1840</v>
      </c>
      <c r="C282" s="180" t="s">
        <v>209</v>
      </c>
      <c r="D282" s="173">
        <v>2216428</v>
      </c>
      <c r="E282" s="173">
        <v>180000</v>
      </c>
      <c r="F282" s="173"/>
      <c r="G282" s="174">
        <f t="shared" si="21"/>
        <v>2396428</v>
      </c>
      <c r="H282" s="175"/>
      <c r="I282" s="176">
        <v>398749</v>
      </c>
      <c r="J282" s="173">
        <v>43484</v>
      </c>
      <c r="K282" s="173"/>
      <c r="L282" s="174">
        <f t="shared" si="22"/>
        <v>442233</v>
      </c>
      <c r="M282" s="177">
        <f t="shared" si="20"/>
        <v>1954195</v>
      </c>
    </row>
    <row r="283" spans="1:13" x14ac:dyDescent="0.2">
      <c r="A283" s="53">
        <v>47</v>
      </c>
      <c r="B283" s="178">
        <v>1845</v>
      </c>
      <c r="C283" s="180" t="s">
        <v>210</v>
      </c>
      <c r="D283" s="173">
        <v>8323875</v>
      </c>
      <c r="E283" s="173">
        <v>425000</v>
      </c>
      <c r="F283" s="173"/>
      <c r="G283" s="174">
        <f t="shared" si="21"/>
        <v>8748875</v>
      </c>
      <c r="H283" s="175"/>
      <c r="I283" s="176">
        <v>5115256</v>
      </c>
      <c r="J283" s="173">
        <v>113939</v>
      </c>
      <c r="K283" s="173"/>
      <c r="L283" s="174">
        <f t="shared" si="22"/>
        <v>5229195</v>
      </c>
      <c r="M283" s="177">
        <f t="shared" si="20"/>
        <v>3519680</v>
      </c>
    </row>
    <row r="284" spans="1:13" x14ac:dyDescent="0.2">
      <c r="A284" s="53">
        <v>47</v>
      </c>
      <c r="B284" s="178">
        <v>1850</v>
      </c>
      <c r="C284" s="180" t="s">
        <v>272</v>
      </c>
      <c r="D284" s="173">
        <v>6389028</v>
      </c>
      <c r="E284" s="173">
        <v>417000</v>
      </c>
      <c r="F284" s="173"/>
      <c r="G284" s="174">
        <f t="shared" si="21"/>
        <v>6806028</v>
      </c>
      <c r="H284" s="175"/>
      <c r="I284" s="176">
        <v>3763593</v>
      </c>
      <c r="J284" s="173">
        <v>91812</v>
      </c>
      <c r="K284" s="173"/>
      <c r="L284" s="174">
        <f t="shared" si="22"/>
        <v>3855405</v>
      </c>
      <c r="M284" s="177">
        <f t="shared" si="20"/>
        <v>2950623</v>
      </c>
    </row>
    <row r="285" spans="1:13" x14ac:dyDescent="0.2">
      <c r="A285" s="53">
        <v>47</v>
      </c>
      <c r="B285" s="178">
        <v>1851</v>
      </c>
      <c r="C285" s="180" t="s">
        <v>1405</v>
      </c>
      <c r="D285" s="173">
        <v>8515</v>
      </c>
      <c r="E285" s="173">
        <v>2000</v>
      </c>
      <c r="F285" s="173"/>
      <c r="G285" s="174">
        <f t="shared" si="21"/>
        <v>10515</v>
      </c>
      <c r="H285" s="175"/>
      <c r="I285" s="176">
        <v>435</v>
      </c>
      <c r="J285" s="173">
        <v>476</v>
      </c>
      <c r="K285" s="173"/>
      <c r="L285" s="174">
        <f t="shared" si="22"/>
        <v>911</v>
      </c>
      <c r="M285" s="177">
        <f t="shared" si="20"/>
        <v>9604</v>
      </c>
    </row>
    <row r="286" spans="1:13" x14ac:dyDescent="0.2">
      <c r="A286" s="53">
        <v>47</v>
      </c>
      <c r="B286" s="178">
        <v>1852</v>
      </c>
      <c r="C286" s="180" t="s">
        <v>1406</v>
      </c>
      <c r="D286" s="173">
        <v>73945</v>
      </c>
      <c r="E286" s="173">
        <v>6000</v>
      </c>
      <c r="F286" s="173"/>
      <c r="G286" s="174">
        <f t="shared" si="21"/>
        <v>79945</v>
      </c>
      <c r="H286" s="175"/>
      <c r="I286" s="176">
        <v>1878</v>
      </c>
      <c r="J286" s="173">
        <v>1450</v>
      </c>
      <c r="K286" s="173"/>
      <c r="L286" s="174">
        <f t="shared" si="22"/>
        <v>3328</v>
      </c>
      <c r="M286" s="177">
        <f t="shared" si="20"/>
        <v>76617</v>
      </c>
    </row>
    <row r="287" spans="1:13" x14ac:dyDescent="0.2">
      <c r="A287" s="53">
        <v>47</v>
      </c>
      <c r="B287" s="178">
        <v>1855</v>
      </c>
      <c r="C287" s="180" t="s">
        <v>211</v>
      </c>
      <c r="D287" s="173">
        <v>1031062</v>
      </c>
      <c r="E287" s="173">
        <v>128000</v>
      </c>
      <c r="F287" s="173"/>
      <c r="G287" s="174">
        <f t="shared" si="21"/>
        <v>1159062</v>
      </c>
      <c r="H287" s="175"/>
      <c r="I287" s="176">
        <v>277891</v>
      </c>
      <c r="J287" s="173">
        <v>45301</v>
      </c>
      <c r="K287" s="173"/>
      <c r="L287" s="174">
        <f t="shared" si="22"/>
        <v>323192</v>
      </c>
      <c r="M287" s="177">
        <f t="shared" si="20"/>
        <v>835870</v>
      </c>
    </row>
    <row r="288" spans="1:13" x14ac:dyDescent="0.2">
      <c r="A288" s="53">
        <v>47</v>
      </c>
      <c r="B288" s="178">
        <v>1860</v>
      </c>
      <c r="C288" s="180" t="s">
        <v>273</v>
      </c>
      <c r="D288" s="173"/>
      <c r="E288" s="173"/>
      <c r="F288" s="173"/>
      <c r="G288" s="174">
        <f>D288+E288+F288</f>
        <v>0</v>
      </c>
      <c r="H288" s="175"/>
      <c r="I288" s="176"/>
      <c r="J288" s="173"/>
      <c r="K288" s="173"/>
      <c r="L288" s="174">
        <f>I288+J288+K288</f>
        <v>0</v>
      </c>
      <c r="M288" s="177">
        <f t="shared" si="20"/>
        <v>0</v>
      </c>
    </row>
    <row r="289" spans="1:13" ht="25.5" x14ac:dyDescent="0.2">
      <c r="A289" s="53">
        <v>47</v>
      </c>
      <c r="B289" s="178">
        <v>1861</v>
      </c>
      <c r="C289" s="180" t="s">
        <v>1396</v>
      </c>
      <c r="D289" s="173">
        <v>1324006</v>
      </c>
      <c r="E289" s="173">
        <v>9000</v>
      </c>
      <c r="F289" s="173"/>
      <c r="G289" s="174">
        <f t="shared" ref="G289:G301" si="23">D289+E289+F289</f>
        <v>1333006</v>
      </c>
      <c r="H289" s="175"/>
      <c r="I289" s="176">
        <v>391236</v>
      </c>
      <c r="J289" s="173">
        <v>133238</v>
      </c>
      <c r="K289" s="173"/>
      <c r="L289" s="174">
        <f t="shared" ref="L289:L301" si="24">I289+J289+K289</f>
        <v>524474</v>
      </c>
      <c r="M289" s="177">
        <f t="shared" si="20"/>
        <v>808532</v>
      </c>
    </row>
    <row r="290" spans="1:13" x14ac:dyDescent="0.2">
      <c r="A290" s="53">
        <v>47</v>
      </c>
      <c r="B290" s="178">
        <v>1862</v>
      </c>
      <c r="C290" s="180" t="s">
        <v>1397</v>
      </c>
      <c r="D290" s="173">
        <v>322576</v>
      </c>
      <c r="E290" s="173">
        <v>30000</v>
      </c>
      <c r="F290" s="173"/>
      <c r="G290" s="174">
        <f t="shared" si="23"/>
        <v>352576</v>
      </c>
      <c r="H290" s="175"/>
      <c r="I290" s="176">
        <v>102908</v>
      </c>
      <c r="J290" s="173">
        <v>35744</v>
      </c>
      <c r="K290" s="173"/>
      <c r="L290" s="174">
        <f t="shared" si="24"/>
        <v>138652</v>
      </c>
      <c r="M290" s="177">
        <f t="shared" si="20"/>
        <v>213924</v>
      </c>
    </row>
    <row r="291" spans="1:13" x14ac:dyDescent="0.2">
      <c r="A291" s="53">
        <v>47</v>
      </c>
      <c r="B291" s="178">
        <v>1863</v>
      </c>
      <c r="C291" s="180" t="s">
        <v>1398</v>
      </c>
      <c r="D291" s="173">
        <v>1013</v>
      </c>
      <c r="E291" s="173">
        <v>5000</v>
      </c>
      <c r="F291" s="173"/>
      <c r="G291" s="174">
        <f t="shared" si="23"/>
        <v>6013</v>
      </c>
      <c r="H291" s="175"/>
      <c r="I291" s="176">
        <v>34</v>
      </c>
      <c r="J291" s="173">
        <v>234</v>
      </c>
      <c r="K291" s="173"/>
      <c r="L291" s="174">
        <f t="shared" si="24"/>
        <v>268</v>
      </c>
      <c r="M291" s="177">
        <f t="shared" si="20"/>
        <v>5745</v>
      </c>
    </row>
    <row r="292" spans="1:13" x14ac:dyDescent="0.2">
      <c r="A292" s="53">
        <v>47</v>
      </c>
      <c r="B292" s="178">
        <v>1864</v>
      </c>
      <c r="C292" s="180" t="s">
        <v>1399</v>
      </c>
      <c r="D292" s="173">
        <v>109232</v>
      </c>
      <c r="E292" s="173">
        <v>2000</v>
      </c>
      <c r="F292" s="173"/>
      <c r="G292" s="174">
        <f t="shared" si="23"/>
        <v>111232</v>
      </c>
      <c r="H292" s="175"/>
      <c r="I292" s="176">
        <v>9697</v>
      </c>
      <c r="J292" s="173">
        <v>3319</v>
      </c>
      <c r="K292" s="173"/>
      <c r="L292" s="174">
        <f t="shared" si="24"/>
        <v>13016</v>
      </c>
      <c r="M292" s="177">
        <f t="shared" si="20"/>
        <v>98216</v>
      </c>
    </row>
    <row r="293" spans="1:13" x14ac:dyDescent="0.2">
      <c r="A293" s="53">
        <v>47</v>
      </c>
      <c r="B293" s="178">
        <v>1865</v>
      </c>
      <c r="C293" s="179" t="s">
        <v>1400</v>
      </c>
      <c r="D293" s="173"/>
      <c r="E293" s="173"/>
      <c r="F293" s="173"/>
      <c r="G293" s="174">
        <f t="shared" si="23"/>
        <v>0</v>
      </c>
      <c r="H293" s="175"/>
      <c r="I293" s="176"/>
      <c r="J293" s="173"/>
      <c r="K293" s="173"/>
      <c r="L293" s="174">
        <f t="shared" si="24"/>
        <v>0</v>
      </c>
      <c r="M293" s="177">
        <f t="shared" si="20"/>
        <v>0</v>
      </c>
    </row>
    <row r="294" spans="1:13" x14ac:dyDescent="0.2">
      <c r="A294" s="53" t="s">
        <v>266</v>
      </c>
      <c r="B294" s="178">
        <v>1905</v>
      </c>
      <c r="C294" s="179" t="s">
        <v>267</v>
      </c>
      <c r="D294" s="173">
        <v>171765</v>
      </c>
      <c r="E294" s="173"/>
      <c r="F294" s="173"/>
      <c r="G294" s="174">
        <f t="shared" si="23"/>
        <v>171765</v>
      </c>
      <c r="H294" s="175"/>
      <c r="I294" s="176"/>
      <c r="J294" s="173"/>
      <c r="K294" s="173"/>
      <c r="L294" s="174">
        <f t="shared" si="24"/>
        <v>0</v>
      </c>
      <c r="M294" s="177">
        <f t="shared" si="20"/>
        <v>171765</v>
      </c>
    </row>
    <row r="295" spans="1:13" x14ac:dyDescent="0.2">
      <c r="A295" s="53">
        <v>47</v>
      </c>
      <c r="B295" s="178">
        <v>1908</v>
      </c>
      <c r="C295" s="180" t="s">
        <v>275</v>
      </c>
      <c r="D295" s="173">
        <v>665443</v>
      </c>
      <c r="E295" s="173">
        <v>16000</v>
      </c>
      <c r="F295" s="173">
        <v>-249155</v>
      </c>
      <c r="G295" s="174">
        <f t="shared" si="23"/>
        <v>432288</v>
      </c>
      <c r="H295" s="175"/>
      <c r="I295" s="176">
        <v>390059</v>
      </c>
      <c r="J295" s="173">
        <v>12169</v>
      </c>
      <c r="K295" s="173">
        <v>-151974</v>
      </c>
      <c r="L295" s="174">
        <f t="shared" si="24"/>
        <v>250254</v>
      </c>
      <c r="M295" s="177">
        <f t="shared" si="20"/>
        <v>182034</v>
      </c>
    </row>
    <row r="296" spans="1:13" x14ac:dyDescent="0.2">
      <c r="A296" s="53">
        <v>13</v>
      </c>
      <c r="B296" s="178">
        <v>1910</v>
      </c>
      <c r="C296" s="180" t="s">
        <v>299</v>
      </c>
      <c r="D296" s="173"/>
      <c r="E296" s="173"/>
      <c r="F296" s="173"/>
      <c r="G296" s="174">
        <f t="shared" si="23"/>
        <v>0</v>
      </c>
      <c r="H296" s="175"/>
      <c r="I296" s="176"/>
      <c r="J296" s="173"/>
      <c r="K296" s="173"/>
      <c r="L296" s="174">
        <f t="shared" si="24"/>
        <v>0</v>
      </c>
      <c r="M296" s="177">
        <f t="shared" si="20"/>
        <v>0</v>
      </c>
    </row>
    <row r="297" spans="1:13" x14ac:dyDescent="0.2">
      <c r="A297" s="53">
        <v>8</v>
      </c>
      <c r="B297" s="178">
        <v>1915</v>
      </c>
      <c r="C297" s="180" t="s">
        <v>213</v>
      </c>
      <c r="D297" s="173">
        <v>252992</v>
      </c>
      <c r="E297" s="173">
        <v>49000</v>
      </c>
      <c r="F297" s="173"/>
      <c r="G297" s="174">
        <f t="shared" si="23"/>
        <v>301992</v>
      </c>
      <c r="H297" s="175"/>
      <c r="I297" s="176">
        <v>230924</v>
      </c>
      <c r="J297" s="173">
        <v>7302</v>
      </c>
      <c r="K297" s="173"/>
      <c r="L297" s="174">
        <f t="shared" si="24"/>
        <v>238226</v>
      </c>
      <c r="M297" s="177">
        <f t="shared" si="20"/>
        <v>63766</v>
      </c>
    </row>
    <row r="298" spans="1:13" x14ac:dyDescent="0.2">
      <c r="A298" s="53">
        <v>8</v>
      </c>
      <c r="B298" s="178">
        <v>1915</v>
      </c>
      <c r="C298" s="180" t="s">
        <v>214</v>
      </c>
      <c r="D298" s="173"/>
      <c r="E298" s="173"/>
      <c r="F298" s="173"/>
      <c r="G298" s="174">
        <f t="shared" si="23"/>
        <v>0</v>
      </c>
      <c r="H298" s="175"/>
      <c r="I298" s="176"/>
      <c r="J298" s="173"/>
      <c r="K298" s="173"/>
      <c r="L298" s="174">
        <f t="shared" si="24"/>
        <v>0</v>
      </c>
      <c r="M298" s="177">
        <f t="shared" si="20"/>
        <v>0</v>
      </c>
    </row>
    <row r="299" spans="1:13" x14ac:dyDescent="0.2">
      <c r="A299" s="53">
        <v>10</v>
      </c>
      <c r="B299" s="178">
        <v>1920</v>
      </c>
      <c r="C299" s="180" t="s">
        <v>215</v>
      </c>
      <c r="D299" s="173">
        <v>403765</v>
      </c>
      <c r="E299" s="173">
        <v>52000</v>
      </c>
      <c r="F299" s="173"/>
      <c r="G299" s="174">
        <f t="shared" si="23"/>
        <v>455765</v>
      </c>
      <c r="H299" s="175"/>
      <c r="I299" s="176">
        <v>376408</v>
      </c>
      <c r="J299" s="173">
        <v>14058</v>
      </c>
      <c r="K299" s="173"/>
      <c r="L299" s="174">
        <f t="shared" si="24"/>
        <v>390466</v>
      </c>
      <c r="M299" s="177">
        <f t="shared" si="20"/>
        <v>65299</v>
      </c>
    </row>
    <row r="300" spans="1:13" ht="25.5" x14ac:dyDescent="0.2">
      <c r="A300" s="53">
        <v>45</v>
      </c>
      <c r="B300" s="181">
        <v>1920</v>
      </c>
      <c r="C300" s="172" t="s">
        <v>217</v>
      </c>
      <c r="D300" s="173"/>
      <c r="E300" s="173"/>
      <c r="F300" s="173"/>
      <c r="G300" s="174">
        <f t="shared" si="23"/>
        <v>0</v>
      </c>
      <c r="H300" s="175"/>
      <c r="I300" s="176"/>
      <c r="J300" s="173"/>
      <c r="K300" s="173"/>
      <c r="L300" s="174">
        <f t="shared" si="24"/>
        <v>0</v>
      </c>
      <c r="M300" s="177">
        <f t="shared" si="20"/>
        <v>0</v>
      </c>
    </row>
    <row r="301" spans="1:13" ht="25.5" x14ac:dyDescent="0.2">
      <c r="A301" s="53">
        <v>45.1</v>
      </c>
      <c r="B301" s="181">
        <v>1920</v>
      </c>
      <c r="C301" s="172" t="s">
        <v>216</v>
      </c>
      <c r="D301" s="173"/>
      <c r="E301" s="173"/>
      <c r="F301" s="173"/>
      <c r="G301" s="174">
        <f t="shared" si="23"/>
        <v>0</v>
      </c>
      <c r="H301" s="175"/>
      <c r="I301" s="176"/>
      <c r="J301" s="173"/>
      <c r="K301" s="173"/>
      <c r="L301" s="174">
        <f t="shared" si="24"/>
        <v>0</v>
      </c>
      <c r="M301" s="177">
        <f t="shared" si="20"/>
        <v>0</v>
      </c>
    </row>
    <row r="302" spans="1:13" x14ac:dyDescent="0.2">
      <c r="A302" s="53">
        <v>10</v>
      </c>
      <c r="B302" s="1473">
        <v>1930</v>
      </c>
      <c r="C302" s="180" t="s">
        <v>286</v>
      </c>
      <c r="D302" s="173"/>
      <c r="E302" s="173"/>
      <c r="F302" s="173"/>
      <c r="G302" s="174">
        <f>D302+E302+F302</f>
        <v>0</v>
      </c>
      <c r="H302" s="175"/>
      <c r="I302" s="176"/>
      <c r="J302" s="173"/>
      <c r="K302" s="173"/>
      <c r="L302" s="174">
        <f>I302+J302+K302</f>
        <v>0</v>
      </c>
      <c r="M302" s="177">
        <f t="shared" si="20"/>
        <v>0</v>
      </c>
    </row>
    <row r="303" spans="1:13" x14ac:dyDescent="0.2">
      <c r="A303" s="53">
        <v>10</v>
      </c>
      <c r="B303" s="1473">
        <v>1931</v>
      </c>
      <c r="C303" s="180" t="s">
        <v>1401</v>
      </c>
      <c r="D303" s="173">
        <v>116061</v>
      </c>
      <c r="E303" s="173">
        <v>22000</v>
      </c>
      <c r="F303" s="173"/>
      <c r="G303" s="174">
        <f>D303+E303-F303</f>
        <v>138061</v>
      </c>
      <c r="H303" s="175"/>
      <c r="I303" s="176">
        <v>33611</v>
      </c>
      <c r="J303" s="173">
        <v>12662</v>
      </c>
      <c r="K303" s="173"/>
      <c r="L303" s="174">
        <f t="shared" ref="L303:L318" si="25">I303+J303+K303</f>
        <v>46273</v>
      </c>
      <c r="M303" s="177">
        <f t="shared" si="20"/>
        <v>91788</v>
      </c>
    </row>
    <row r="304" spans="1:13" x14ac:dyDescent="0.2">
      <c r="A304" s="53">
        <v>10</v>
      </c>
      <c r="B304" s="1473">
        <v>1932</v>
      </c>
      <c r="C304" s="180" t="s">
        <v>1402</v>
      </c>
      <c r="D304" s="173">
        <v>171179</v>
      </c>
      <c r="E304" s="173"/>
      <c r="F304" s="173"/>
      <c r="G304" s="174">
        <f>D304+E304+F304</f>
        <v>171179</v>
      </c>
      <c r="H304" s="175"/>
      <c r="I304" s="176">
        <v>135790</v>
      </c>
      <c r="J304" s="173">
        <v>16208</v>
      </c>
      <c r="K304" s="173"/>
      <c r="L304" s="174">
        <f t="shared" si="25"/>
        <v>151998</v>
      </c>
      <c r="M304" s="177">
        <f t="shared" si="20"/>
        <v>19181</v>
      </c>
    </row>
    <row r="305" spans="1:13" x14ac:dyDescent="0.2">
      <c r="A305" s="53">
        <v>10</v>
      </c>
      <c r="B305" s="1473">
        <v>1933</v>
      </c>
      <c r="C305" s="180" t="s">
        <v>1403</v>
      </c>
      <c r="D305" s="173">
        <v>70712</v>
      </c>
      <c r="E305" s="173"/>
      <c r="F305" s="173"/>
      <c r="G305" s="174">
        <f>D305+E305-F305</f>
        <v>70712</v>
      </c>
      <c r="H305" s="175"/>
      <c r="I305" s="176">
        <v>10607</v>
      </c>
      <c r="J305" s="173">
        <v>7071</v>
      </c>
      <c r="K305" s="173"/>
      <c r="L305" s="174">
        <f t="shared" si="25"/>
        <v>17678</v>
      </c>
      <c r="M305" s="177">
        <f t="shared" si="20"/>
        <v>53034</v>
      </c>
    </row>
    <row r="306" spans="1:13" x14ac:dyDescent="0.2">
      <c r="A306" s="53">
        <v>8</v>
      </c>
      <c r="B306" s="1473">
        <v>1935</v>
      </c>
      <c r="C306" s="180" t="s">
        <v>287</v>
      </c>
      <c r="D306" s="173"/>
      <c r="E306" s="173"/>
      <c r="F306" s="173"/>
      <c r="G306" s="174">
        <f t="shared" ref="G306:G318" si="26">D306+E306+F306</f>
        <v>0</v>
      </c>
      <c r="H306" s="175"/>
      <c r="I306" s="176"/>
      <c r="J306" s="173"/>
      <c r="K306" s="173"/>
      <c r="L306" s="174">
        <f t="shared" si="25"/>
        <v>0</v>
      </c>
      <c r="M306" s="177">
        <f t="shared" si="20"/>
        <v>0</v>
      </c>
    </row>
    <row r="307" spans="1:13" x14ac:dyDescent="0.2">
      <c r="A307" s="53">
        <v>8</v>
      </c>
      <c r="B307" s="1473">
        <v>1940</v>
      </c>
      <c r="C307" s="180" t="s">
        <v>288</v>
      </c>
      <c r="D307" s="173">
        <v>385936</v>
      </c>
      <c r="E307" s="173">
        <v>8000</v>
      </c>
      <c r="F307" s="173"/>
      <c r="G307" s="174">
        <f t="shared" si="26"/>
        <v>393936</v>
      </c>
      <c r="H307" s="175"/>
      <c r="I307" s="176">
        <v>353754</v>
      </c>
      <c r="J307" s="173">
        <v>8976</v>
      </c>
      <c r="K307" s="173"/>
      <c r="L307" s="174">
        <f t="shared" si="25"/>
        <v>362730</v>
      </c>
      <c r="M307" s="177">
        <f t="shared" si="20"/>
        <v>31206</v>
      </c>
    </row>
    <row r="308" spans="1:13" x14ac:dyDescent="0.2">
      <c r="A308" s="53">
        <v>8</v>
      </c>
      <c r="B308" s="1473">
        <v>1945</v>
      </c>
      <c r="C308" s="180" t="s">
        <v>289</v>
      </c>
      <c r="D308" s="173"/>
      <c r="E308" s="173"/>
      <c r="F308" s="173"/>
      <c r="G308" s="174">
        <f t="shared" si="26"/>
        <v>0</v>
      </c>
      <c r="H308" s="175"/>
      <c r="I308" s="176"/>
      <c r="J308" s="173"/>
      <c r="K308" s="173"/>
      <c r="L308" s="174">
        <f t="shared" si="25"/>
        <v>0</v>
      </c>
      <c r="M308" s="177">
        <f t="shared" si="20"/>
        <v>0</v>
      </c>
    </row>
    <row r="309" spans="1:13" x14ac:dyDescent="0.2">
      <c r="A309" s="53">
        <v>8</v>
      </c>
      <c r="B309" s="1473">
        <v>1950</v>
      </c>
      <c r="C309" s="180" t="s">
        <v>218</v>
      </c>
      <c r="D309" s="173"/>
      <c r="E309" s="173"/>
      <c r="F309" s="173"/>
      <c r="G309" s="174">
        <f t="shared" si="26"/>
        <v>0</v>
      </c>
      <c r="H309" s="175"/>
      <c r="I309" s="182"/>
      <c r="J309" s="173"/>
      <c r="K309" s="173"/>
      <c r="L309" s="174">
        <f t="shared" si="25"/>
        <v>0</v>
      </c>
      <c r="M309" s="177">
        <f t="shared" si="20"/>
        <v>0</v>
      </c>
    </row>
    <row r="310" spans="1:13" x14ac:dyDescent="0.2">
      <c r="A310" s="53">
        <v>8</v>
      </c>
      <c r="B310" s="1473">
        <v>1955</v>
      </c>
      <c r="C310" s="180" t="s">
        <v>290</v>
      </c>
      <c r="D310" s="173">
        <v>36873</v>
      </c>
      <c r="E310" s="173"/>
      <c r="F310" s="173"/>
      <c r="G310" s="174">
        <f t="shared" si="26"/>
        <v>36873</v>
      </c>
      <c r="H310" s="175"/>
      <c r="I310" s="176">
        <v>29113</v>
      </c>
      <c r="J310" s="173">
        <v>1357</v>
      </c>
      <c r="K310" s="173"/>
      <c r="L310" s="174">
        <f t="shared" si="25"/>
        <v>30470</v>
      </c>
      <c r="M310" s="177">
        <f t="shared" si="20"/>
        <v>6403</v>
      </c>
    </row>
    <row r="311" spans="1:13" x14ac:dyDescent="0.2">
      <c r="A311" s="183">
        <v>8</v>
      </c>
      <c r="B311" s="181">
        <v>1955</v>
      </c>
      <c r="C311" s="184" t="s">
        <v>219</v>
      </c>
      <c r="D311" s="173"/>
      <c r="E311" s="173"/>
      <c r="F311" s="173"/>
      <c r="G311" s="174">
        <f t="shared" si="26"/>
        <v>0</v>
      </c>
      <c r="H311" s="175"/>
      <c r="I311" s="176"/>
      <c r="J311" s="173"/>
      <c r="K311" s="173"/>
      <c r="L311" s="174">
        <f t="shared" si="25"/>
        <v>0</v>
      </c>
      <c r="M311" s="177">
        <f t="shared" si="20"/>
        <v>0</v>
      </c>
    </row>
    <row r="312" spans="1:13" x14ac:dyDescent="0.2">
      <c r="A312" s="183">
        <v>8</v>
      </c>
      <c r="B312" s="185">
        <v>1960</v>
      </c>
      <c r="C312" s="172" t="s">
        <v>220</v>
      </c>
      <c r="D312" s="173"/>
      <c r="E312" s="173"/>
      <c r="F312" s="173"/>
      <c r="G312" s="174">
        <f t="shared" si="26"/>
        <v>0</v>
      </c>
      <c r="H312" s="175"/>
      <c r="I312" s="176"/>
      <c r="J312" s="173"/>
      <c r="K312" s="173"/>
      <c r="L312" s="174">
        <f t="shared" si="25"/>
        <v>0</v>
      </c>
      <c r="M312" s="177">
        <f t="shared" si="20"/>
        <v>0</v>
      </c>
    </row>
    <row r="313" spans="1:13" ht="25.5" x14ac:dyDescent="0.2">
      <c r="A313" s="186">
        <v>47</v>
      </c>
      <c r="B313" s="185">
        <v>1970</v>
      </c>
      <c r="C313" s="180" t="s">
        <v>501</v>
      </c>
      <c r="D313" s="173"/>
      <c r="E313" s="173"/>
      <c r="F313" s="173"/>
      <c r="G313" s="174">
        <f t="shared" si="26"/>
        <v>0</v>
      </c>
      <c r="H313" s="175"/>
      <c r="I313" s="176"/>
      <c r="J313" s="173"/>
      <c r="K313" s="173"/>
      <c r="L313" s="174">
        <f t="shared" si="25"/>
        <v>0</v>
      </c>
      <c r="M313" s="177">
        <f t="shared" si="20"/>
        <v>0</v>
      </c>
    </row>
    <row r="314" spans="1:13" ht="25.5" x14ac:dyDescent="0.2">
      <c r="A314" s="53">
        <v>47</v>
      </c>
      <c r="B314" s="1473">
        <v>1975</v>
      </c>
      <c r="C314" s="180" t="s">
        <v>291</v>
      </c>
      <c r="D314" s="173"/>
      <c r="E314" s="173"/>
      <c r="F314" s="173"/>
      <c r="G314" s="174">
        <f t="shared" si="26"/>
        <v>0</v>
      </c>
      <c r="H314" s="175"/>
      <c r="I314" s="176"/>
      <c r="J314" s="173"/>
      <c r="K314" s="173"/>
      <c r="L314" s="174">
        <f t="shared" si="25"/>
        <v>0</v>
      </c>
      <c r="M314" s="177">
        <f t="shared" si="20"/>
        <v>0</v>
      </c>
    </row>
    <row r="315" spans="1:13" x14ac:dyDescent="0.2">
      <c r="A315" s="53">
        <v>47</v>
      </c>
      <c r="B315" s="1473">
        <v>1980</v>
      </c>
      <c r="C315" s="180" t="s">
        <v>292</v>
      </c>
      <c r="D315" s="173"/>
      <c r="E315" s="173"/>
      <c r="F315" s="173"/>
      <c r="G315" s="174">
        <f t="shared" si="26"/>
        <v>0</v>
      </c>
      <c r="H315" s="175"/>
      <c r="I315" s="176"/>
      <c r="J315" s="173"/>
      <c r="K315" s="173"/>
      <c r="L315" s="174">
        <f t="shared" si="25"/>
        <v>0</v>
      </c>
      <c r="M315" s="177">
        <f t="shared" si="20"/>
        <v>0</v>
      </c>
    </row>
    <row r="316" spans="1:13" x14ac:dyDescent="0.2">
      <c r="A316" s="53">
        <v>47</v>
      </c>
      <c r="B316" s="1473">
        <v>1985</v>
      </c>
      <c r="C316" s="180" t="s">
        <v>1404</v>
      </c>
      <c r="D316" s="173">
        <v>15</v>
      </c>
      <c r="E316" s="173"/>
      <c r="F316" s="173"/>
      <c r="G316" s="174">
        <f t="shared" si="26"/>
        <v>15</v>
      </c>
      <c r="H316" s="175"/>
      <c r="I316" s="176"/>
      <c r="J316" s="173"/>
      <c r="K316" s="173"/>
      <c r="L316" s="174">
        <f t="shared" si="25"/>
        <v>0</v>
      </c>
      <c r="M316" s="177">
        <f t="shared" si="20"/>
        <v>15</v>
      </c>
    </row>
    <row r="317" spans="1:13" x14ac:dyDescent="0.2">
      <c r="A317" s="186">
        <v>47</v>
      </c>
      <c r="B317" s="1473">
        <v>1990</v>
      </c>
      <c r="C317" s="1472" t="s">
        <v>502</v>
      </c>
      <c r="D317" s="173"/>
      <c r="E317" s="173"/>
      <c r="F317" s="173"/>
      <c r="G317" s="174">
        <f t="shared" si="26"/>
        <v>0</v>
      </c>
      <c r="H317" s="175"/>
      <c r="I317" s="176"/>
      <c r="J317" s="173"/>
      <c r="K317" s="173"/>
      <c r="L317" s="174">
        <f t="shared" si="25"/>
        <v>0</v>
      </c>
      <c r="M317" s="177">
        <f t="shared" si="20"/>
        <v>0</v>
      </c>
    </row>
    <row r="318" spans="1:13" x14ac:dyDescent="0.2">
      <c r="A318" s="53">
        <v>47</v>
      </c>
      <c r="B318" s="1473">
        <v>1995</v>
      </c>
      <c r="C318" s="180" t="s">
        <v>294</v>
      </c>
      <c r="D318" s="173">
        <v>-6342546</v>
      </c>
      <c r="E318" s="173">
        <v>-247033</v>
      </c>
      <c r="F318" s="173"/>
      <c r="G318" s="174">
        <f t="shared" si="26"/>
        <v>-6589579</v>
      </c>
      <c r="H318" s="175"/>
      <c r="I318" s="176">
        <v>-1910891</v>
      </c>
      <c r="J318" s="173">
        <v>-260195</v>
      </c>
      <c r="K318" s="173"/>
      <c r="L318" s="174">
        <f t="shared" si="25"/>
        <v>-2171086</v>
      </c>
      <c r="M318" s="177">
        <f t="shared" si="20"/>
        <v>-4418493</v>
      </c>
    </row>
    <row r="319" spans="1:13" ht="14.25" x14ac:dyDescent="0.2">
      <c r="A319" s="53">
        <v>47</v>
      </c>
      <c r="B319" s="1473">
        <v>2440</v>
      </c>
      <c r="C319" s="180" t="s">
        <v>950</v>
      </c>
      <c r="D319" s="173"/>
      <c r="E319" s="173"/>
      <c r="F319" s="173"/>
      <c r="G319" s="174"/>
      <c r="I319" s="176"/>
      <c r="J319" s="173"/>
      <c r="K319" s="173"/>
      <c r="L319" s="174"/>
      <c r="M319" s="177"/>
    </row>
    <row r="320" spans="1:13" x14ac:dyDescent="0.2">
      <c r="A320" s="187"/>
      <c r="B320" s="187"/>
      <c r="C320" s="188"/>
      <c r="D320" s="189"/>
      <c r="E320" s="189"/>
      <c r="F320" s="189"/>
      <c r="G320" s="174">
        <f>D320+E320+F320</f>
        <v>0</v>
      </c>
      <c r="I320" s="189"/>
      <c r="J320" s="189"/>
      <c r="K320" s="189"/>
      <c r="L320" s="174">
        <f>I320+J320+K320</f>
        <v>0</v>
      </c>
      <c r="M320" s="177">
        <f>G320+L320</f>
        <v>0</v>
      </c>
    </row>
    <row r="321" spans="1:13" x14ac:dyDescent="0.2">
      <c r="A321" s="187"/>
      <c r="B321" s="187"/>
      <c r="C321" s="190" t="s">
        <v>204</v>
      </c>
      <c r="D321" s="191">
        <f>SUM(D272:D320)</f>
        <v>23727675</v>
      </c>
      <c r="E321" s="191">
        <f>SUM(E272:E320)</f>
        <v>1232467</v>
      </c>
      <c r="F321" s="191">
        <f>SUM(F272:F320)</f>
        <v>-249155</v>
      </c>
      <c r="G321" s="191">
        <f>SUM(G272:G320)</f>
        <v>24710987</v>
      </c>
      <c r="H321" s="191"/>
      <c r="I321" s="191">
        <f>SUM(I272:I320)</f>
        <v>15069973</v>
      </c>
      <c r="J321" s="191">
        <f>SUM(J272:J320)</f>
        <v>353383</v>
      </c>
      <c r="K321" s="191">
        <f>SUM(K272:K320)</f>
        <v>-151974</v>
      </c>
      <c r="L321" s="191">
        <f>SUM(L272:L320)</f>
        <v>15271382</v>
      </c>
      <c r="M321" s="191">
        <f>SUM(M272:M320)</f>
        <v>9439605</v>
      </c>
    </row>
    <row r="322" spans="1:13" ht="37.5" x14ac:dyDescent="0.2">
      <c r="A322" s="187"/>
      <c r="B322" s="187"/>
      <c r="C322" s="192" t="s">
        <v>597</v>
      </c>
      <c r="D322" s="189"/>
      <c r="E322" s="189"/>
      <c r="F322" s="189"/>
      <c r="G322" s="174">
        <f>D322+E322+F322</f>
        <v>0</v>
      </c>
      <c r="I322" s="189"/>
      <c r="J322" s="189"/>
      <c r="K322" s="189"/>
      <c r="L322" s="174">
        <f>I322+J322+K322</f>
        <v>0</v>
      </c>
      <c r="M322" s="177">
        <f>G322+L322</f>
        <v>0</v>
      </c>
    </row>
    <row r="323" spans="1:13" ht="25.5" x14ac:dyDescent="0.2">
      <c r="A323" s="187"/>
      <c r="B323" s="187"/>
      <c r="C323" s="193" t="s">
        <v>596</v>
      </c>
      <c r="D323" s="189"/>
      <c r="E323" s="189"/>
      <c r="F323" s="189"/>
      <c r="G323" s="174">
        <f>D323+E323+F323</f>
        <v>0</v>
      </c>
      <c r="I323" s="189"/>
      <c r="J323" s="189"/>
      <c r="K323" s="189"/>
      <c r="L323" s="174">
        <f>I323+J323+K323</f>
        <v>0</v>
      </c>
      <c r="M323" s="177">
        <f>G323+L323</f>
        <v>0</v>
      </c>
    </row>
    <row r="324" spans="1:13" x14ac:dyDescent="0.2">
      <c r="A324" s="187"/>
      <c r="B324" s="187"/>
      <c r="C324" s="190" t="s">
        <v>503</v>
      </c>
      <c r="D324" s="191">
        <f>SUM(D321:D323)</f>
        <v>23727675</v>
      </c>
      <c r="E324" s="191">
        <f>SUM(E321:E323)</f>
        <v>1232467</v>
      </c>
      <c r="F324" s="191">
        <f>SUM(F321:F323)</f>
        <v>-249155</v>
      </c>
      <c r="G324" s="191">
        <f>SUM(G321:G323)</f>
        <v>24710987</v>
      </c>
      <c r="H324" s="191"/>
      <c r="I324" s="191">
        <f>SUM(I321:I323)</f>
        <v>15069973</v>
      </c>
      <c r="J324" s="191">
        <f>SUM(J321:J323)</f>
        <v>353383</v>
      </c>
      <c r="K324" s="191">
        <f>SUM(K321:K323)</f>
        <v>-151974</v>
      </c>
      <c r="L324" s="191">
        <f>SUM(L321:L323)</f>
        <v>15271382</v>
      </c>
      <c r="M324" s="191">
        <f>SUM(M321:M323)</f>
        <v>9439605</v>
      </c>
    </row>
    <row r="325" spans="1:13" ht="14.25" x14ac:dyDescent="0.2">
      <c r="A325" s="187"/>
      <c r="B325" s="187"/>
      <c r="C325" s="1603" t="s">
        <v>912</v>
      </c>
      <c r="D325" s="1604"/>
      <c r="E325" s="1604"/>
      <c r="F325" s="1604"/>
      <c r="G325" s="1604"/>
      <c r="H325" s="1604"/>
      <c r="I325" s="1605"/>
      <c r="J325" s="189"/>
      <c r="K325" s="194"/>
      <c r="L325" s="195"/>
      <c r="M325" s="196"/>
    </row>
    <row r="326" spans="1:13" x14ac:dyDescent="0.2">
      <c r="A326" s="187"/>
      <c r="B326" s="187"/>
      <c r="C326" s="1603" t="s">
        <v>295</v>
      </c>
      <c r="D326" s="1604"/>
      <c r="E326" s="1604"/>
      <c r="F326" s="1604"/>
      <c r="G326" s="1604"/>
      <c r="H326" s="1604"/>
      <c r="I326" s="1605"/>
      <c r="J326" s="191">
        <f>J324+J325</f>
        <v>353383</v>
      </c>
      <c r="K326" s="194"/>
      <c r="L326" s="195"/>
      <c r="M326" s="196"/>
    </row>
    <row r="327" spans="1:13" x14ac:dyDescent="0.2">
      <c r="A327" s="1474"/>
      <c r="B327" s="1474"/>
    </row>
    <row r="328" spans="1:13" x14ac:dyDescent="0.2">
      <c r="A328" s="1474"/>
      <c r="B328" s="1474"/>
      <c r="I328" s="197" t="s">
        <v>422</v>
      </c>
      <c r="J328" s="1475"/>
    </row>
    <row r="329" spans="1:13" x14ac:dyDescent="0.2">
      <c r="A329" s="187">
        <v>10</v>
      </c>
      <c r="B329" s="187"/>
      <c r="C329" s="188" t="s">
        <v>296</v>
      </c>
      <c r="I329" s="1475" t="s">
        <v>296</v>
      </c>
      <c r="J329" s="1475"/>
      <c r="K329" s="198">
        <f>J303+J304+J305</f>
        <v>35941</v>
      </c>
    </row>
    <row r="330" spans="1:13" x14ac:dyDescent="0.2">
      <c r="A330" s="187">
        <v>8</v>
      </c>
      <c r="B330" s="187"/>
      <c r="C330" s="188" t="s">
        <v>287</v>
      </c>
      <c r="I330" s="1475" t="s">
        <v>851</v>
      </c>
      <c r="J330" s="1475"/>
      <c r="K330" s="199">
        <f>J310</f>
        <v>1357</v>
      </c>
    </row>
    <row r="331" spans="1:13" x14ac:dyDescent="0.2">
      <c r="A331" s="1474"/>
      <c r="B331" s="1474"/>
      <c r="I331" s="200" t="s">
        <v>297</v>
      </c>
      <c r="K331" s="201">
        <f>J326-K329-K330</f>
        <v>316085</v>
      </c>
    </row>
    <row r="332" spans="1:13" x14ac:dyDescent="0.2">
      <c r="A332" s="1474"/>
      <c r="B332" s="1474"/>
      <c r="I332" s="200"/>
      <c r="K332" s="1453"/>
    </row>
    <row r="333" spans="1:13" x14ac:dyDescent="0.2">
      <c r="A333" s="1479"/>
      <c r="B333" s="1479"/>
      <c r="E333" s="122" t="s">
        <v>882</v>
      </c>
      <c r="F333" s="48" t="s">
        <v>105</v>
      </c>
      <c r="H333" s="52"/>
    </row>
    <row r="334" spans="1:13" ht="15" x14ac:dyDescent="0.25">
      <c r="A334" s="1479"/>
      <c r="B334" s="1479"/>
      <c r="C334" s="56"/>
      <c r="E334" s="122" t="s">
        <v>102</v>
      </c>
      <c r="F334" s="160">
        <v>2017</v>
      </c>
      <c r="G334" s="161"/>
    </row>
    <row r="335" spans="1:13" x14ac:dyDescent="0.2">
      <c r="A335" s="1479"/>
      <c r="B335" s="1479"/>
    </row>
    <row r="336" spans="1:13" x14ac:dyDescent="0.2">
      <c r="A336" s="1479"/>
      <c r="B336" s="1479"/>
      <c r="D336" s="1606" t="s">
        <v>264</v>
      </c>
      <c r="E336" s="1607"/>
      <c r="F336" s="1607"/>
      <c r="G336" s="1608"/>
      <c r="I336" s="162"/>
      <c r="J336" s="163" t="s">
        <v>265</v>
      </c>
      <c r="K336" s="163"/>
      <c r="L336" s="164"/>
      <c r="M336" s="159"/>
    </row>
    <row r="337" spans="1:14" ht="27" x14ac:dyDescent="0.2">
      <c r="A337" s="165" t="s">
        <v>1000</v>
      </c>
      <c r="B337" s="165" t="s">
        <v>1002</v>
      </c>
      <c r="C337" s="166" t="s">
        <v>1003</v>
      </c>
      <c r="D337" s="165" t="s">
        <v>236</v>
      </c>
      <c r="E337" s="167" t="s">
        <v>1001</v>
      </c>
      <c r="F337" s="167" t="s">
        <v>1189</v>
      </c>
      <c r="G337" s="165" t="s">
        <v>263</v>
      </c>
      <c r="H337" s="168"/>
      <c r="I337" s="169" t="s">
        <v>236</v>
      </c>
      <c r="J337" s="170" t="s">
        <v>237</v>
      </c>
      <c r="K337" s="170" t="s">
        <v>1189</v>
      </c>
      <c r="L337" s="171" t="s">
        <v>263</v>
      </c>
      <c r="M337" s="165" t="s">
        <v>300</v>
      </c>
    </row>
    <row r="338" spans="1:14" ht="25.5" x14ac:dyDescent="0.2">
      <c r="A338" s="53">
        <v>12</v>
      </c>
      <c r="B338" s="1476">
        <v>1611</v>
      </c>
      <c r="C338" s="172" t="s">
        <v>381</v>
      </c>
      <c r="D338" s="173">
        <v>260751</v>
      </c>
      <c r="E338" s="173">
        <v>28000</v>
      </c>
      <c r="F338" s="173"/>
      <c r="G338" s="174">
        <f>D338+E338+F338</f>
        <v>288751</v>
      </c>
      <c r="H338" s="175"/>
      <c r="I338" s="176">
        <v>260938</v>
      </c>
      <c r="J338" s="173">
        <v>6875</v>
      </c>
      <c r="K338" s="173"/>
      <c r="L338" s="174">
        <f>I338+J338+K338</f>
        <v>267813</v>
      </c>
      <c r="M338" s="177">
        <f>G338-L338</f>
        <v>20938</v>
      </c>
      <c r="N338" s="1487"/>
    </row>
    <row r="339" spans="1:14" ht="25.5" x14ac:dyDescent="0.2">
      <c r="A339" s="53" t="s">
        <v>274</v>
      </c>
      <c r="B339" s="1476">
        <v>1612</v>
      </c>
      <c r="C339" s="172" t="s">
        <v>442</v>
      </c>
      <c r="D339" s="173">
        <v>2945</v>
      </c>
      <c r="E339" s="173"/>
      <c r="F339" s="173"/>
      <c r="G339" s="174">
        <f>D339+E339+F339</f>
        <v>2945</v>
      </c>
      <c r="H339" s="175"/>
      <c r="I339" s="176">
        <v>2725</v>
      </c>
      <c r="J339" s="173"/>
      <c r="K339" s="173"/>
      <c r="L339" s="174">
        <f>I339+J339+K339</f>
        <v>2725</v>
      </c>
      <c r="M339" s="177">
        <f t="shared" ref="M339:M384" si="27">G339-L339</f>
        <v>220</v>
      </c>
      <c r="N339" s="1487"/>
    </row>
    <row r="340" spans="1:14" x14ac:dyDescent="0.2">
      <c r="A340" s="53" t="s">
        <v>266</v>
      </c>
      <c r="B340" s="178">
        <v>1805</v>
      </c>
      <c r="C340" s="179" t="s">
        <v>267</v>
      </c>
      <c r="D340" s="173">
        <v>2112</v>
      </c>
      <c r="E340" s="173"/>
      <c r="F340" s="173"/>
      <c r="G340" s="174">
        <f>D340+E340+F340</f>
        <v>2112</v>
      </c>
      <c r="H340" s="175"/>
      <c r="I340" s="176"/>
      <c r="J340" s="173"/>
      <c r="K340" s="173"/>
      <c r="L340" s="174">
        <f>I340+J340+K340</f>
        <v>0</v>
      </c>
      <c r="M340" s="177">
        <f t="shared" si="27"/>
        <v>2112</v>
      </c>
      <c r="N340" s="1487"/>
    </row>
    <row r="341" spans="1:14" x14ac:dyDescent="0.2">
      <c r="A341" s="53">
        <v>47</v>
      </c>
      <c r="B341" s="178">
        <v>1808</v>
      </c>
      <c r="C341" s="180" t="s">
        <v>268</v>
      </c>
      <c r="D341" s="173"/>
      <c r="E341" s="173"/>
      <c r="F341" s="173"/>
      <c r="G341" s="174">
        <f t="shared" ref="G341:G353" si="28">D341+E341+F341</f>
        <v>0</v>
      </c>
      <c r="H341" s="175"/>
      <c r="I341" s="176"/>
      <c r="J341" s="173"/>
      <c r="K341" s="173"/>
      <c r="L341" s="174">
        <f t="shared" ref="L341:L353" si="29">I341+J341+K341</f>
        <v>0</v>
      </c>
      <c r="M341" s="177">
        <f t="shared" si="27"/>
        <v>0</v>
      </c>
      <c r="N341" s="1487"/>
    </row>
    <row r="342" spans="1:14" x14ac:dyDescent="0.2">
      <c r="A342" s="53">
        <v>13</v>
      </c>
      <c r="B342" s="178">
        <v>1810</v>
      </c>
      <c r="C342" s="180" t="s">
        <v>299</v>
      </c>
      <c r="D342" s="173"/>
      <c r="E342" s="173"/>
      <c r="F342" s="173"/>
      <c r="G342" s="174">
        <f t="shared" si="28"/>
        <v>0</v>
      </c>
      <c r="H342" s="175"/>
      <c r="I342" s="176"/>
      <c r="J342" s="173"/>
      <c r="K342" s="173"/>
      <c r="L342" s="174">
        <f t="shared" si="29"/>
        <v>0</v>
      </c>
      <c r="M342" s="177">
        <f t="shared" si="27"/>
        <v>0</v>
      </c>
      <c r="N342" s="1487"/>
    </row>
    <row r="343" spans="1:14" x14ac:dyDescent="0.2">
      <c r="A343" s="53">
        <v>47</v>
      </c>
      <c r="B343" s="178">
        <v>1815</v>
      </c>
      <c r="C343" s="180" t="s">
        <v>269</v>
      </c>
      <c r="D343" s="173"/>
      <c r="E343" s="173"/>
      <c r="F343" s="173"/>
      <c r="G343" s="174">
        <f t="shared" si="28"/>
        <v>0</v>
      </c>
      <c r="H343" s="175"/>
      <c r="I343" s="176"/>
      <c r="J343" s="173"/>
      <c r="K343" s="173"/>
      <c r="L343" s="174">
        <f t="shared" si="29"/>
        <v>0</v>
      </c>
      <c r="M343" s="177">
        <f t="shared" si="27"/>
        <v>0</v>
      </c>
      <c r="N343" s="1487"/>
    </row>
    <row r="344" spans="1:14" x14ac:dyDescent="0.2">
      <c r="A344" s="53">
        <v>47</v>
      </c>
      <c r="B344" s="178">
        <v>1820</v>
      </c>
      <c r="C344" s="172" t="s">
        <v>207</v>
      </c>
      <c r="D344" s="173">
        <v>142098</v>
      </c>
      <c r="E344" s="173"/>
      <c r="F344" s="173"/>
      <c r="G344" s="174">
        <f t="shared" si="28"/>
        <v>142098</v>
      </c>
      <c r="H344" s="175"/>
      <c r="I344" s="176">
        <v>141262</v>
      </c>
      <c r="J344" s="173">
        <v>62</v>
      </c>
      <c r="K344" s="173"/>
      <c r="L344" s="174">
        <f t="shared" si="29"/>
        <v>141324</v>
      </c>
      <c r="M344" s="177">
        <f t="shared" si="27"/>
        <v>774</v>
      </c>
      <c r="N344" s="1487"/>
    </row>
    <row r="345" spans="1:14" x14ac:dyDescent="0.2">
      <c r="A345" s="53">
        <v>47</v>
      </c>
      <c r="B345" s="178">
        <v>1825</v>
      </c>
      <c r="C345" s="180" t="s">
        <v>270</v>
      </c>
      <c r="D345" s="173"/>
      <c r="E345" s="173"/>
      <c r="F345" s="173"/>
      <c r="G345" s="174">
        <f t="shared" si="28"/>
        <v>0</v>
      </c>
      <c r="H345" s="175"/>
      <c r="I345" s="176"/>
      <c r="J345" s="173"/>
      <c r="K345" s="173"/>
      <c r="L345" s="174">
        <f t="shared" si="29"/>
        <v>0</v>
      </c>
      <c r="M345" s="177">
        <f t="shared" si="27"/>
        <v>0</v>
      </c>
      <c r="N345" s="1487"/>
    </row>
    <row r="346" spans="1:14" x14ac:dyDescent="0.2">
      <c r="A346" s="53">
        <v>47</v>
      </c>
      <c r="B346" s="178">
        <v>1830</v>
      </c>
      <c r="C346" s="180" t="s">
        <v>271</v>
      </c>
      <c r="D346" s="173">
        <v>1170164</v>
      </c>
      <c r="E346" s="173">
        <v>56000</v>
      </c>
      <c r="F346" s="173"/>
      <c r="G346" s="174">
        <f t="shared" si="28"/>
        <v>1226164</v>
      </c>
      <c r="H346" s="175"/>
      <c r="I346" s="176">
        <v>315942</v>
      </c>
      <c r="J346" s="173">
        <v>24081</v>
      </c>
      <c r="K346" s="173"/>
      <c r="L346" s="174">
        <f t="shared" si="29"/>
        <v>340023</v>
      </c>
      <c r="M346" s="177">
        <f t="shared" si="27"/>
        <v>886141</v>
      </c>
    </row>
    <row r="347" spans="1:14" x14ac:dyDescent="0.2">
      <c r="A347" s="53">
        <v>47</v>
      </c>
      <c r="B347" s="178">
        <v>1835</v>
      </c>
      <c r="C347" s="180" t="s">
        <v>208</v>
      </c>
      <c r="D347" s="173">
        <v>6546230</v>
      </c>
      <c r="E347" s="173">
        <v>59003</v>
      </c>
      <c r="F347" s="173"/>
      <c r="G347" s="174">
        <f t="shared" si="28"/>
        <v>6605233</v>
      </c>
      <c r="H347" s="175"/>
      <c r="I347" s="176">
        <v>4702832</v>
      </c>
      <c r="J347" s="173">
        <v>38983</v>
      </c>
      <c r="K347" s="173"/>
      <c r="L347" s="174">
        <f t="shared" si="29"/>
        <v>4741815</v>
      </c>
      <c r="M347" s="177">
        <f t="shared" si="27"/>
        <v>1863418</v>
      </c>
      <c r="N347" s="1487"/>
    </row>
    <row r="348" spans="1:14" x14ac:dyDescent="0.2">
      <c r="A348" s="53">
        <v>47</v>
      </c>
      <c r="B348" s="178">
        <v>1840</v>
      </c>
      <c r="C348" s="180" t="s">
        <v>209</v>
      </c>
      <c r="D348" s="173">
        <v>2396428</v>
      </c>
      <c r="E348" s="173">
        <v>155000</v>
      </c>
      <c r="F348" s="173"/>
      <c r="G348" s="174">
        <f t="shared" si="28"/>
        <v>2551428</v>
      </c>
      <c r="H348" s="175"/>
      <c r="I348" s="176">
        <v>442233</v>
      </c>
      <c r="J348" s="173">
        <v>46535</v>
      </c>
      <c r="K348" s="173"/>
      <c r="L348" s="174">
        <f t="shared" si="29"/>
        <v>488768</v>
      </c>
      <c r="M348" s="177">
        <f t="shared" si="27"/>
        <v>2062660</v>
      </c>
      <c r="N348" s="1487"/>
    </row>
    <row r="349" spans="1:14" x14ac:dyDescent="0.2">
      <c r="A349" s="53">
        <v>47</v>
      </c>
      <c r="B349" s="178">
        <v>1845</v>
      </c>
      <c r="C349" s="180" t="s">
        <v>210</v>
      </c>
      <c r="D349" s="173">
        <v>8748875</v>
      </c>
      <c r="E349" s="173">
        <v>250000</v>
      </c>
      <c r="F349" s="173"/>
      <c r="G349" s="174">
        <f t="shared" si="28"/>
        <v>8998875</v>
      </c>
      <c r="H349" s="175"/>
      <c r="I349" s="176">
        <v>5229195</v>
      </c>
      <c r="J349" s="173">
        <v>122375</v>
      </c>
      <c r="K349" s="173"/>
      <c r="L349" s="174">
        <f t="shared" si="29"/>
        <v>5351570</v>
      </c>
      <c r="M349" s="177">
        <f t="shared" si="27"/>
        <v>3647305</v>
      </c>
      <c r="N349" s="1487"/>
    </row>
    <row r="350" spans="1:14" x14ac:dyDescent="0.2">
      <c r="A350" s="53">
        <v>47</v>
      </c>
      <c r="B350" s="178">
        <v>1850</v>
      </c>
      <c r="C350" s="180" t="s">
        <v>272</v>
      </c>
      <c r="D350" s="173">
        <v>6806028</v>
      </c>
      <c r="E350" s="173">
        <v>188000</v>
      </c>
      <c r="F350" s="173"/>
      <c r="G350" s="174">
        <f t="shared" si="28"/>
        <v>6994028</v>
      </c>
      <c r="H350" s="175"/>
      <c r="I350" s="176">
        <v>3855405</v>
      </c>
      <c r="J350" s="173">
        <v>99875</v>
      </c>
      <c r="K350" s="173"/>
      <c r="L350" s="174">
        <f t="shared" si="29"/>
        <v>3955280</v>
      </c>
      <c r="M350" s="177">
        <f t="shared" si="27"/>
        <v>3038748</v>
      </c>
      <c r="N350" s="1487"/>
    </row>
    <row r="351" spans="1:14" x14ac:dyDescent="0.2">
      <c r="A351" s="53">
        <v>47</v>
      </c>
      <c r="B351" s="178">
        <v>1851</v>
      </c>
      <c r="C351" s="180" t="s">
        <v>1405</v>
      </c>
      <c r="D351" s="173">
        <v>10515</v>
      </c>
      <c r="E351" s="173"/>
      <c r="F351" s="173"/>
      <c r="G351" s="174">
        <f t="shared" si="28"/>
        <v>10515</v>
      </c>
      <c r="H351" s="175"/>
      <c r="I351" s="176">
        <v>911</v>
      </c>
      <c r="J351" s="173">
        <v>526</v>
      </c>
      <c r="K351" s="173"/>
      <c r="L351" s="174">
        <f t="shared" si="29"/>
        <v>1437</v>
      </c>
      <c r="M351" s="177">
        <f t="shared" si="27"/>
        <v>9078</v>
      </c>
      <c r="N351" s="1487"/>
    </row>
    <row r="352" spans="1:14" x14ac:dyDescent="0.2">
      <c r="A352" s="53">
        <v>47</v>
      </c>
      <c r="B352" s="178">
        <v>1852</v>
      </c>
      <c r="C352" s="180" t="s">
        <v>1406</v>
      </c>
      <c r="D352" s="173">
        <v>79945</v>
      </c>
      <c r="E352" s="173">
        <v>18000</v>
      </c>
      <c r="F352" s="173"/>
      <c r="G352" s="174">
        <f t="shared" si="28"/>
        <v>97945</v>
      </c>
      <c r="H352" s="175"/>
      <c r="I352" s="176">
        <v>3328</v>
      </c>
      <c r="J352" s="173">
        <v>1650</v>
      </c>
      <c r="K352" s="173"/>
      <c r="L352" s="174">
        <f t="shared" si="29"/>
        <v>4978</v>
      </c>
      <c r="M352" s="177">
        <f t="shared" si="27"/>
        <v>92967</v>
      </c>
      <c r="N352" s="1487"/>
    </row>
    <row r="353" spans="1:14" x14ac:dyDescent="0.2">
      <c r="A353" s="53">
        <v>47</v>
      </c>
      <c r="B353" s="178">
        <v>1855</v>
      </c>
      <c r="C353" s="180" t="s">
        <v>211</v>
      </c>
      <c r="D353" s="173">
        <v>1159062</v>
      </c>
      <c r="E353" s="173">
        <v>59000</v>
      </c>
      <c r="F353" s="173"/>
      <c r="G353" s="174">
        <f t="shared" si="28"/>
        <v>1218062</v>
      </c>
      <c r="H353" s="175"/>
      <c r="I353" s="176">
        <v>323192</v>
      </c>
      <c r="J353" s="173">
        <v>49041</v>
      </c>
      <c r="K353" s="173"/>
      <c r="L353" s="174">
        <f t="shared" si="29"/>
        <v>372233</v>
      </c>
      <c r="M353" s="177">
        <f t="shared" si="27"/>
        <v>845829</v>
      </c>
      <c r="N353" s="1487"/>
    </row>
    <row r="354" spans="1:14" x14ac:dyDescent="0.2">
      <c r="A354" s="53">
        <v>47</v>
      </c>
      <c r="B354" s="178">
        <v>1860</v>
      </c>
      <c r="C354" s="180" t="s">
        <v>273</v>
      </c>
      <c r="D354" s="173"/>
      <c r="E354" s="173"/>
      <c r="F354" s="173"/>
      <c r="G354" s="174">
        <f>D354+E354+F354</f>
        <v>0</v>
      </c>
      <c r="H354" s="175"/>
      <c r="I354" s="176"/>
      <c r="J354" s="173"/>
      <c r="K354" s="173"/>
      <c r="L354" s="174">
        <f>I354+J354+K354</f>
        <v>0</v>
      </c>
      <c r="M354" s="177">
        <f t="shared" si="27"/>
        <v>0</v>
      </c>
      <c r="N354" s="1487"/>
    </row>
    <row r="355" spans="1:14" ht="25.5" x14ac:dyDescent="0.2">
      <c r="A355" s="53">
        <v>47</v>
      </c>
      <c r="B355" s="178">
        <v>1861</v>
      </c>
      <c r="C355" s="180" t="s">
        <v>1396</v>
      </c>
      <c r="D355" s="173">
        <v>1333006</v>
      </c>
      <c r="E355" s="173">
        <v>2000</v>
      </c>
      <c r="F355" s="173"/>
      <c r="G355" s="174">
        <f t="shared" ref="G355:G367" si="30">D355+E355+F355</f>
        <v>1335006</v>
      </c>
      <c r="H355" s="175"/>
      <c r="I355" s="176">
        <v>524474</v>
      </c>
      <c r="J355" s="173">
        <v>133788</v>
      </c>
      <c r="K355" s="173"/>
      <c r="L355" s="174">
        <f t="shared" ref="L355:L367" si="31">I355+J355+K355</f>
        <v>658262</v>
      </c>
      <c r="M355" s="177">
        <f t="shared" si="27"/>
        <v>676744</v>
      </c>
      <c r="N355" s="1487"/>
    </row>
    <row r="356" spans="1:14" x14ac:dyDescent="0.2">
      <c r="A356" s="53">
        <v>47</v>
      </c>
      <c r="B356" s="178">
        <v>1862</v>
      </c>
      <c r="C356" s="180" t="s">
        <v>1397</v>
      </c>
      <c r="D356" s="173">
        <v>352576</v>
      </c>
      <c r="E356" s="173">
        <v>28000</v>
      </c>
      <c r="F356" s="173"/>
      <c r="G356" s="174">
        <f t="shared" si="30"/>
        <v>380576</v>
      </c>
      <c r="H356" s="175"/>
      <c r="I356" s="176">
        <v>138652</v>
      </c>
      <c r="J356" s="173">
        <v>37658</v>
      </c>
      <c r="K356" s="173"/>
      <c r="L356" s="174">
        <f t="shared" si="31"/>
        <v>176310</v>
      </c>
      <c r="M356" s="177">
        <f t="shared" si="27"/>
        <v>204266</v>
      </c>
      <c r="N356" s="1487"/>
    </row>
    <row r="357" spans="1:14" x14ac:dyDescent="0.2">
      <c r="A357" s="53">
        <v>47</v>
      </c>
      <c r="B357" s="178">
        <v>1863</v>
      </c>
      <c r="C357" s="180" t="s">
        <v>1398</v>
      </c>
      <c r="D357" s="173">
        <v>6013</v>
      </c>
      <c r="E357" s="173">
        <v>6000</v>
      </c>
      <c r="F357" s="173"/>
      <c r="G357" s="174">
        <f t="shared" si="30"/>
        <v>12013</v>
      </c>
      <c r="H357" s="175"/>
      <c r="I357" s="176">
        <v>268</v>
      </c>
      <c r="J357" s="173">
        <v>601</v>
      </c>
      <c r="K357" s="173"/>
      <c r="L357" s="174">
        <f t="shared" si="31"/>
        <v>869</v>
      </c>
      <c r="M357" s="177">
        <f t="shared" si="27"/>
        <v>11144</v>
      </c>
      <c r="N357" s="1487"/>
    </row>
    <row r="358" spans="1:14" x14ac:dyDescent="0.2">
      <c r="A358" s="53">
        <v>47</v>
      </c>
      <c r="B358" s="178">
        <v>1864</v>
      </c>
      <c r="C358" s="180" t="s">
        <v>1399</v>
      </c>
      <c r="D358" s="173">
        <v>111232</v>
      </c>
      <c r="E358" s="173">
        <v>1000</v>
      </c>
      <c r="F358" s="173"/>
      <c r="G358" s="174">
        <f t="shared" si="30"/>
        <v>112232</v>
      </c>
      <c r="H358" s="175"/>
      <c r="I358" s="176">
        <v>13016</v>
      </c>
      <c r="J358" s="173">
        <v>3356</v>
      </c>
      <c r="K358" s="173"/>
      <c r="L358" s="174">
        <f t="shared" si="31"/>
        <v>16372</v>
      </c>
      <c r="M358" s="177">
        <f t="shared" si="27"/>
        <v>95860</v>
      </c>
      <c r="N358" s="1487"/>
    </row>
    <row r="359" spans="1:14" x14ac:dyDescent="0.2">
      <c r="A359" s="53">
        <v>47</v>
      </c>
      <c r="B359" s="178">
        <v>1865</v>
      </c>
      <c r="C359" s="179" t="s">
        <v>1400</v>
      </c>
      <c r="D359" s="173"/>
      <c r="E359" s="173"/>
      <c r="F359" s="173"/>
      <c r="G359" s="174">
        <f t="shared" si="30"/>
        <v>0</v>
      </c>
      <c r="H359" s="175"/>
      <c r="I359" s="176"/>
      <c r="J359" s="173"/>
      <c r="K359" s="173"/>
      <c r="L359" s="174">
        <f t="shared" si="31"/>
        <v>0</v>
      </c>
      <c r="M359" s="177">
        <f t="shared" si="27"/>
        <v>0</v>
      </c>
      <c r="N359" s="1487"/>
    </row>
    <row r="360" spans="1:14" x14ac:dyDescent="0.2">
      <c r="A360" s="53" t="s">
        <v>266</v>
      </c>
      <c r="B360" s="178">
        <v>1905</v>
      </c>
      <c r="C360" s="179" t="s">
        <v>267</v>
      </c>
      <c r="D360" s="173">
        <v>171765</v>
      </c>
      <c r="E360" s="173"/>
      <c r="F360" s="173"/>
      <c r="G360" s="174">
        <f t="shared" si="30"/>
        <v>171765</v>
      </c>
      <c r="H360" s="175"/>
      <c r="I360" s="176">
        <v>0</v>
      </c>
      <c r="J360" s="173"/>
      <c r="K360" s="173"/>
      <c r="L360" s="174">
        <f t="shared" si="31"/>
        <v>0</v>
      </c>
      <c r="M360" s="177">
        <f t="shared" si="27"/>
        <v>171765</v>
      </c>
      <c r="N360" s="1487"/>
    </row>
    <row r="361" spans="1:14" x14ac:dyDescent="0.2">
      <c r="A361" s="53">
        <v>47</v>
      </c>
      <c r="B361" s="178">
        <v>1908</v>
      </c>
      <c r="C361" s="180" t="s">
        <v>275</v>
      </c>
      <c r="D361" s="173">
        <v>432288</v>
      </c>
      <c r="E361" s="173">
        <v>2000</v>
      </c>
      <c r="F361" s="173"/>
      <c r="G361" s="174">
        <f t="shared" si="30"/>
        <v>434288</v>
      </c>
      <c r="H361" s="175"/>
      <c r="I361" s="176">
        <v>250254</v>
      </c>
      <c r="J361" s="173">
        <v>9858</v>
      </c>
      <c r="K361" s="173"/>
      <c r="L361" s="174">
        <f t="shared" si="31"/>
        <v>260112</v>
      </c>
      <c r="M361" s="177">
        <f t="shared" si="27"/>
        <v>174176</v>
      </c>
      <c r="N361" s="1487"/>
    </row>
    <row r="362" spans="1:14" x14ac:dyDescent="0.2">
      <c r="A362" s="53">
        <v>13</v>
      </c>
      <c r="B362" s="178">
        <v>1910</v>
      </c>
      <c r="C362" s="180" t="s">
        <v>299</v>
      </c>
      <c r="D362" s="173"/>
      <c r="E362" s="173"/>
      <c r="F362" s="173"/>
      <c r="G362" s="174">
        <f t="shared" si="30"/>
        <v>0</v>
      </c>
      <c r="H362" s="175"/>
      <c r="I362" s="176"/>
      <c r="J362" s="173"/>
      <c r="K362" s="173"/>
      <c r="L362" s="174">
        <f t="shared" si="31"/>
        <v>0</v>
      </c>
      <c r="M362" s="177">
        <f t="shared" si="27"/>
        <v>0</v>
      </c>
      <c r="N362" s="1487"/>
    </row>
    <row r="363" spans="1:14" x14ac:dyDescent="0.2">
      <c r="A363" s="53">
        <v>8</v>
      </c>
      <c r="B363" s="178">
        <v>1915</v>
      </c>
      <c r="C363" s="180" t="s">
        <v>213</v>
      </c>
      <c r="D363" s="173">
        <v>301992</v>
      </c>
      <c r="E363" s="173">
        <v>16000</v>
      </c>
      <c r="F363" s="173"/>
      <c r="G363" s="174">
        <f t="shared" si="30"/>
        <v>317992</v>
      </c>
      <c r="H363" s="175"/>
      <c r="I363" s="176">
        <v>238226</v>
      </c>
      <c r="J363" s="173">
        <v>9776</v>
      </c>
      <c r="K363" s="173"/>
      <c r="L363" s="174">
        <f t="shared" si="31"/>
        <v>248002</v>
      </c>
      <c r="M363" s="177">
        <f t="shared" si="27"/>
        <v>69990</v>
      </c>
      <c r="N363" s="1487"/>
    </row>
    <row r="364" spans="1:14" x14ac:dyDescent="0.2">
      <c r="A364" s="53">
        <v>8</v>
      </c>
      <c r="B364" s="178">
        <v>1915</v>
      </c>
      <c r="C364" s="180" t="s">
        <v>214</v>
      </c>
      <c r="D364" s="173"/>
      <c r="E364" s="173"/>
      <c r="F364" s="173"/>
      <c r="G364" s="174">
        <f t="shared" si="30"/>
        <v>0</v>
      </c>
      <c r="H364" s="175"/>
      <c r="I364" s="176"/>
      <c r="J364" s="173"/>
      <c r="K364" s="173"/>
      <c r="L364" s="174">
        <f t="shared" si="31"/>
        <v>0</v>
      </c>
      <c r="M364" s="177">
        <f t="shared" si="27"/>
        <v>0</v>
      </c>
      <c r="N364" s="1487"/>
    </row>
    <row r="365" spans="1:14" x14ac:dyDescent="0.2">
      <c r="A365" s="53">
        <v>10</v>
      </c>
      <c r="B365" s="178">
        <v>1920</v>
      </c>
      <c r="C365" s="180" t="s">
        <v>215</v>
      </c>
      <c r="D365" s="173">
        <v>455765</v>
      </c>
      <c r="E365" s="173">
        <v>500</v>
      </c>
      <c r="F365" s="173"/>
      <c r="G365" s="174">
        <f t="shared" si="30"/>
        <v>456265</v>
      </c>
      <c r="H365" s="175"/>
      <c r="I365" s="176">
        <v>390466</v>
      </c>
      <c r="J365" s="173">
        <v>18545</v>
      </c>
      <c r="K365" s="173"/>
      <c r="L365" s="174">
        <f t="shared" si="31"/>
        <v>409011</v>
      </c>
      <c r="M365" s="177">
        <f t="shared" si="27"/>
        <v>47254</v>
      </c>
      <c r="N365" s="1487"/>
    </row>
    <row r="366" spans="1:14" ht="25.5" x14ac:dyDescent="0.2">
      <c r="A366" s="53">
        <v>45</v>
      </c>
      <c r="B366" s="181">
        <v>1920</v>
      </c>
      <c r="C366" s="172" t="s">
        <v>217</v>
      </c>
      <c r="D366" s="173"/>
      <c r="E366" s="173"/>
      <c r="F366" s="173"/>
      <c r="G366" s="174">
        <f t="shared" si="30"/>
        <v>0</v>
      </c>
      <c r="H366" s="175"/>
      <c r="I366" s="176"/>
      <c r="J366" s="173"/>
      <c r="K366" s="173"/>
      <c r="L366" s="174">
        <f t="shared" si="31"/>
        <v>0</v>
      </c>
      <c r="M366" s="177">
        <f t="shared" si="27"/>
        <v>0</v>
      </c>
      <c r="N366" s="1487"/>
    </row>
    <row r="367" spans="1:14" ht="25.5" x14ac:dyDescent="0.2">
      <c r="A367" s="53">
        <v>45.1</v>
      </c>
      <c r="B367" s="181">
        <v>1920</v>
      </c>
      <c r="C367" s="172" t="s">
        <v>216</v>
      </c>
      <c r="D367" s="173"/>
      <c r="E367" s="173"/>
      <c r="F367" s="173"/>
      <c r="G367" s="174">
        <f t="shared" si="30"/>
        <v>0</v>
      </c>
      <c r="H367" s="175"/>
      <c r="I367" s="176"/>
      <c r="J367" s="173"/>
      <c r="K367" s="173"/>
      <c r="L367" s="174">
        <f t="shared" si="31"/>
        <v>0</v>
      </c>
      <c r="M367" s="177">
        <f t="shared" si="27"/>
        <v>0</v>
      </c>
      <c r="N367" s="1487"/>
    </row>
    <row r="368" spans="1:14" x14ac:dyDescent="0.2">
      <c r="A368" s="53">
        <v>10</v>
      </c>
      <c r="B368" s="1476">
        <v>1930</v>
      </c>
      <c r="C368" s="180" t="s">
        <v>286</v>
      </c>
      <c r="D368" s="173"/>
      <c r="E368" s="173"/>
      <c r="F368" s="173"/>
      <c r="G368" s="174">
        <f>D368+E368+F368</f>
        <v>0</v>
      </c>
      <c r="H368" s="175"/>
      <c r="I368" s="176"/>
      <c r="J368" s="173"/>
      <c r="K368" s="173"/>
      <c r="L368" s="174">
        <f>I368+J368+K368</f>
        <v>0</v>
      </c>
      <c r="M368" s="177">
        <f t="shared" si="27"/>
        <v>0</v>
      </c>
      <c r="N368" s="1487"/>
    </row>
    <row r="369" spans="1:14" x14ac:dyDescent="0.2">
      <c r="A369" s="53">
        <v>10</v>
      </c>
      <c r="B369" s="1476">
        <v>1931</v>
      </c>
      <c r="C369" s="180" t="s">
        <v>1401</v>
      </c>
      <c r="D369" s="173">
        <v>138061</v>
      </c>
      <c r="E369" s="173">
        <v>445000</v>
      </c>
      <c r="F369" s="173"/>
      <c r="G369" s="174">
        <f>D369+E369-F369</f>
        <v>583061</v>
      </c>
      <c r="H369" s="175"/>
      <c r="I369" s="176">
        <v>46273</v>
      </c>
      <c r="J369" s="173">
        <v>28229</v>
      </c>
      <c r="K369" s="173"/>
      <c r="L369" s="174">
        <f t="shared" ref="L369:L384" si="32">I369+J369+K369</f>
        <v>74502</v>
      </c>
      <c r="M369" s="177">
        <f t="shared" si="27"/>
        <v>508559</v>
      </c>
      <c r="N369" s="1487"/>
    </row>
    <row r="370" spans="1:14" x14ac:dyDescent="0.2">
      <c r="A370" s="53">
        <v>10</v>
      </c>
      <c r="B370" s="1476">
        <v>1932</v>
      </c>
      <c r="C370" s="180" t="s">
        <v>1402</v>
      </c>
      <c r="D370" s="173">
        <v>171179</v>
      </c>
      <c r="E370" s="173"/>
      <c r="F370" s="173"/>
      <c r="G370" s="174">
        <f>D370+E370+F370</f>
        <v>171179</v>
      </c>
      <c r="H370" s="175"/>
      <c r="I370" s="176">
        <v>151998</v>
      </c>
      <c r="J370" s="173">
        <v>5869</v>
      </c>
      <c r="K370" s="173"/>
      <c r="L370" s="174">
        <f t="shared" si="32"/>
        <v>157867</v>
      </c>
      <c r="M370" s="177">
        <f t="shared" si="27"/>
        <v>13312</v>
      </c>
      <c r="N370" s="1487"/>
    </row>
    <row r="371" spans="1:14" x14ac:dyDescent="0.2">
      <c r="A371" s="53">
        <v>10</v>
      </c>
      <c r="B371" s="1476">
        <v>1933</v>
      </c>
      <c r="C371" s="180" t="s">
        <v>1403</v>
      </c>
      <c r="D371" s="173">
        <v>70712</v>
      </c>
      <c r="E371" s="173"/>
      <c r="F371" s="173"/>
      <c r="G371" s="174">
        <f>D371+E371-F371</f>
        <v>70712</v>
      </c>
      <c r="H371" s="175"/>
      <c r="I371" s="176">
        <v>17678</v>
      </c>
      <c r="J371" s="173">
        <v>7071</v>
      </c>
      <c r="K371" s="173"/>
      <c r="L371" s="174">
        <f t="shared" si="32"/>
        <v>24749</v>
      </c>
      <c r="M371" s="177">
        <f t="shared" si="27"/>
        <v>45963</v>
      </c>
      <c r="N371" s="1487"/>
    </row>
    <row r="372" spans="1:14" x14ac:dyDescent="0.2">
      <c r="A372" s="53">
        <v>8</v>
      </c>
      <c r="B372" s="1476">
        <v>1935</v>
      </c>
      <c r="C372" s="180" t="s">
        <v>287</v>
      </c>
      <c r="D372" s="173"/>
      <c r="E372" s="173"/>
      <c r="F372" s="173"/>
      <c r="G372" s="174">
        <f t="shared" ref="G372:G384" si="33">D372+E372+F372</f>
        <v>0</v>
      </c>
      <c r="H372" s="175"/>
      <c r="I372" s="176"/>
      <c r="J372" s="173"/>
      <c r="K372" s="173"/>
      <c r="L372" s="174">
        <f t="shared" si="32"/>
        <v>0</v>
      </c>
      <c r="M372" s="177">
        <f t="shared" si="27"/>
        <v>0</v>
      </c>
      <c r="N372" s="1487"/>
    </row>
    <row r="373" spans="1:14" x14ac:dyDescent="0.2">
      <c r="A373" s="53">
        <v>8</v>
      </c>
      <c r="B373" s="1476">
        <v>1940</v>
      </c>
      <c r="C373" s="180" t="s">
        <v>288</v>
      </c>
      <c r="D373" s="173">
        <v>393936</v>
      </c>
      <c r="E373" s="173"/>
      <c r="F373" s="173"/>
      <c r="G373" s="174">
        <f t="shared" si="33"/>
        <v>393936</v>
      </c>
      <c r="H373" s="175"/>
      <c r="I373" s="176">
        <v>362730</v>
      </c>
      <c r="J373" s="173">
        <v>5362</v>
      </c>
      <c r="K373" s="173"/>
      <c r="L373" s="174">
        <f t="shared" si="32"/>
        <v>368092</v>
      </c>
      <c r="M373" s="177">
        <f t="shared" si="27"/>
        <v>25844</v>
      </c>
      <c r="N373" s="1487"/>
    </row>
    <row r="374" spans="1:14" x14ac:dyDescent="0.2">
      <c r="A374" s="53">
        <v>8</v>
      </c>
      <c r="B374" s="1476">
        <v>1945</v>
      </c>
      <c r="C374" s="180" t="s">
        <v>289</v>
      </c>
      <c r="D374" s="173"/>
      <c r="E374" s="173"/>
      <c r="F374" s="173"/>
      <c r="G374" s="174">
        <f t="shared" si="33"/>
        <v>0</v>
      </c>
      <c r="H374" s="175"/>
      <c r="I374" s="176"/>
      <c r="J374" s="173"/>
      <c r="K374" s="173"/>
      <c r="L374" s="174">
        <f t="shared" si="32"/>
        <v>0</v>
      </c>
      <c r="M374" s="177">
        <f t="shared" si="27"/>
        <v>0</v>
      </c>
    </row>
    <row r="375" spans="1:14" x14ac:dyDescent="0.2">
      <c r="A375" s="53">
        <v>8</v>
      </c>
      <c r="B375" s="1476">
        <v>1950</v>
      </c>
      <c r="C375" s="180" t="s">
        <v>218</v>
      </c>
      <c r="D375" s="173"/>
      <c r="E375" s="173"/>
      <c r="F375" s="173"/>
      <c r="G375" s="174">
        <f t="shared" si="33"/>
        <v>0</v>
      </c>
      <c r="H375" s="175"/>
      <c r="I375" s="182"/>
      <c r="J375" s="173"/>
      <c r="K375" s="173"/>
      <c r="L375" s="174">
        <f t="shared" si="32"/>
        <v>0</v>
      </c>
      <c r="M375" s="177">
        <f t="shared" si="27"/>
        <v>0</v>
      </c>
    </row>
    <row r="376" spans="1:14" x14ac:dyDescent="0.2">
      <c r="A376" s="53">
        <v>8</v>
      </c>
      <c r="B376" s="1476">
        <v>1955</v>
      </c>
      <c r="C376" s="180" t="s">
        <v>290</v>
      </c>
      <c r="D376" s="173">
        <v>36873</v>
      </c>
      <c r="E376" s="173"/>
      <c r="F376" s="173"/>
      <c r="G376" s="174">
        <f t="shared" si="33"/>
        <v>36873</v>
      </c>
      <c r="H376" s="175"/>
      <c r="I376" s="176">
        <v>30470</v>
      </c>
      <c r="J376" s="173">
        <v>1227</v>
      </c>
      <c r="K376" s="173"/>
      <c r="L376" s="174">
        <f t="shared" si="32"/>
        <v>31697</v>
      </c>
      <c r="M376" s="177">
        <f t="shared" si="27"/>
        <v>5176</v>
      </c>
    </row>
    <row r="377" spans="1:14" x14ac:dyDescent="0.2">
      <c r="A377" s="183">
        <v>8</v>
      </c>
      <c r="B377" s="181">
        <v>1955</v>
      </c>
      <c r="C377" s="184" t="s">
        <v>219</v>
      </c>
      <c r="D377" s="173"/>
      <c r="E377" s="173"/>
      <c r="F377" s="173"/>
      <c r="G377" s="174">
        <f t="shared" si="33"/>
        <v>0</v>
      </c>
      <c r="H377" s="175"/>
      <c r="I377" s="176"/>
      <c r="J377" s="173"/>
      <c r="K377" s="173"/>
      <c r="L377" s="174">
        <f t="shared" si="32"/>
        <v>0</v>
      </c>
      <c r="M377" s="177">
        <f t="shared" si="27"/>
        <v>0</v>
      </c>
    </row>
    <row r="378" spans="1:14" x14ac:dyDescent="0.2">
      <c r="A378" s="183">
        <v>8</v>
      </c>
      <c r="B378" s="185">
        <v>1960</v>
      </c>
      <c r="C378" s="172" t="s">
        <v>220</v>
      </c>
      <c r="D378" s="173"/>
      <c r="E378" s="173"/>
      <c r="F378" s="173"/>
      <c r="G378" s="174">
        <f t="shared" si="33"/>
        <v>0</v>
      </c>
      <c r="H378" s="175"/>
      <c r="I378" s="176"/>
      <c r="J378" s="173"/>
      <c r="K378" s="173"/>
      <c r="L378" s="174">
        <f t="shared" si="32"/>
        <v>0</v>
      </c>
      <c r="M378" s="177">
        <f t="shared" si="27"/>
        <v>0</v>
      </c>
    </row>
    <row r="379" spans="1:14" ht="25.5" x14ac:dyDescent="0.2">
      <c r="A379" s="186">
        <v>47</v>
      </c>
      <c r="B379" s="185">
        <v>1970</v>
      </c>
      <c r="C379" s="180" t="s">
        <v>501</v>
      </c>
      <c r="D379" s="173"/>
      <c r="E379" s="173"/>
      <c r="F379" s="173"/>
      <c r="G379" s="174">
        <f t="shared" si="33"/>
        <v>0</v>
      </c>
      <c r="H379" s="175"/>
      <c r="I379" s="176"/>
      <c r="J379" s="173"/>
      <c r="K379" s="173"/>
      <c r="L379" s="174">
        <f t="shared" si="32"/>
        <v>0</v>
      </c>
      <c r="M379" s="177">
        <f t="shared" si="27"/>
        <v>0</v>
      </c>
    </row>
    <row r="380" spans="1:14" ht="25.5" x14ac:dyDescent="0.2">
      <c r="A380" s="53">
        <v>47</v>
      </c>
      <c r="B380" s="1476">
        <v>1975</v>
      </c>
      <c r="C380" s="180" t="s">
        <v>291</v>
      </c>
      <c r="D380" s="173"/>
      <c r="E380" s="173"/>
      <c r="F380" s="173"/>
      <c r="G380" s="174">
        <f t="shared" si="33"/>
        <v>0</v>
      </c>
      <c r="H380" s="175"/>
      <c r="I380" s="176"/>
      <c r="J380" s="173"/>
      <c r="K380" s="173"/>
      <c r="L380" s="174">
        <f t="shared" si="32"/>
        <v>0</v>
      </c>
      <c r="M380" s="177">
        <f t="shared" si="27"/>
        <v>0</v>
      </c>
    </row>
    <row r="381" spans="1:14" x14ac:dyDescent="0.2">
      <c r="A381" s="53">
        <v>47</v>
      </c>
      <c r="B381" s="1476">
        <v>1980</v>
      </c>
      <c r="C381" s="180" t="s">
        <v>292</v>
      </c>
      <c r="D381" s="173"/>
      <c r="E381" s="173"/>
      <c r="F381" s="173"/>
      <c r="G381" s="174">
        <f t="shared" si="33"/>
        <v>0</v>
      </c>
      <c r="H381" s="175"/>
      <c r="I381" s="176"/>
      <c r="J381" s="173"/>
      <c r="K381" s="173"/>
      <c r="L381" s="174">
        <f t="shared" si="32"/>
        <v>0</v>
      </c>
      <c r="M381" s="177">
        <f t="shared" si="27"/>
        <v>0</v>
      </c>
    </row>
    <row r="382" spans="1:14" x14ac:dyDescent="0.2">
      <c r="A382" s="53">
        <v>47</v>
      </c>
      <c r="B382" s="1476">
        <v>1985</v>
      </c>
      <c r="C382" s="180" t="s">
        <v>1404</v>
      </c>
      <c r="D382" s="173">
        <v>15</v>
      </c>
      <c r="E382" s="173"/>
      <c r="F382" s="173"/>
      <c r="G382" s="174">
        <f t="shared" si="33"/>
        <v>15</v>
      </c>
      <c r="H382" s="175"/>
      <c r="I382" s="176">
        <v>15</v>
      </c>
      <c r="J382" s="173"/>
      <c r="K382" s="173"/>
      <c r="L382" s="174">
        <f t="shared" si="32"/>
        <v>15</v>
      </c>
      <c r="M382" s="177">
        <f t="shared" si="27"/>
        <v>0</v>
      </c>
    </row>
    <row r="383" spans="1:14" x14ac:dyDescent="0.2">
      <c r="A383" s="186">
        <v>47</v>
      </c>
      <c r="B383" s="1476">
        <v>1990</v>
      </c>
      <c r="C383" s="1477" t="s">
        <v>502</v>
      </c>
      <c r="D383" s="173"/>
      <c r="E383" s="173"/>
      <c r="F383" s="173"/>
      <c r="G383" s="174">
        <f t="shared" si="33"/>
        <v>0</v>
      </c>
      <c r="H383" s="175"/>
      <c r="I383" s="176"/>
      <c r="J383" s="173"/>
      <c r="K383" s="173"/>
      <c r="L383" s="174">
        <f t="shared" si="32"/>
        <v>0</v>
      </c>
      <c r="M383" s="177">
        <f t="shared" si="27"/>
        <v>0</v>
      </c>
    </row>
    <row r="384" spans="1:14" x14ac:dyDescent="0.2">
      <c r="A384" s="53">
        <v>47</v>
      </c>
      <c r="B384" s="1476">
        <v>1995</v>
      </c>
      <c r="C384" s="180" t="s">
        <v>294</v>
      </c>
      <c r="D384" s="173">
        <v>-6589579</v>
      </c>
      <c r="E384" s="173">
        <v>-247033</v>
      </c>
      <c r="F384" s="173"/>
      <c r="G384" s="174">
        <f t="shared" si="33"/>
        <v>-6836612</v>
      </c>
      <c r="H384" s="175"/>
      <c r="I384" s="176">
        <v>-2171086</v>
      </c>
      <c r="J384" s="173">
        <v>-270076</v>
      </c>
      <c r="K384" s="173"/>
      <c r="L384" s="174">
        <f t="shared" si="32"/>
        <v>-2441162</v>
      </c>
      <c r="M384" s="177">
        <f t="shared" si="27"/>
        <v>-4395450</v>
      </c>
    </row>
    <row r="385" spans="1:14" ht="14.25" x14ac:dyDescent="0.2">
      <c r="A385" s="53">
        <v>47</v>
      </c>
      <c r="B385" s="1476">
        <v>2440</v>
      </c>
      <c r="C385" s="180" t="s">
        <v>950</v>
      </c>
      <c r="D385" s="173"/>
      <c r="E385" s="173"/>
      <c r="F385" s="173"/>
      <c r="G385" s="174"/>
      <c r="I385" s="176"/>
      <c r="J385" s="173"/>
      <c r="K385" s="173"/>
      <c r="L385" s="174"/>
      <c r="M385" s="177"/>
    </row>
    <row r="386" spans="1:14" x14ac:dyDescent="0.2">
      <c r="A386" s="187"/>
      <c r="B386" s="187"/>
      <c r="C386" s="188"/>
      <c r="D386" s="189"/>
      <c r="E386" s="189"/>
      <c r="F386" s="189"/>
      <c r="G386" s="174">
        <f>D386+E386+F386</f>
        <v>0</v>
      </c>
      <c r="I386" s="189"/>
      <c r="J386" s="189"/>
      <c r="K386" s="189"/>
      <c r="L386" s="174">
        <f>I386+J386+K386</f>
        <v>0</v>
      </c>
      <c r="M386" s="177">
        <f>G386+L386</f>
        <v>0</v>
      </c>
    </row>
    <row r="387" spans="1:14" x14ac:dyDescent="0.2">
      <c r="A387" s="187"/>
      <c r="B387" s="187"/>
      <c r="C387" s="190" t="s">
        <v>204</v>
      </c>
      <c r="D387" s="191">
        <f>SUM(D338:D386)</f>
        <v>24710987</v>
      </c>
      <c r="E387" s="191">
        <f>SUM(E338:E386)</f>
        <v>1066470</v>
      </c>
      <c r="F387" s="191">
        <f>SUM(F338:F386)</f>
        <v>0</v>
      </c>
      <c r="G387" s="191">
        <f>SUM(G338:G386)</f>
        <v>25777457</v>
      </c>
      <c r="H387" s="191"/>
      <c r="I387" s="191">
        <f>SUM(I338:I386)</f>
        <v>15271397</v>
      </c>
      <c r="J387" s="191">
        <f>SUM(J338:J386)</f>
        <v>381267</v>
      </c>
      <c r="K387" s="191">
        <f>SUM(K338:K386)</f>
        <v>0</v>
      </c>
      <c r="L387" s="191">
        <f>SUM(L338:L386)</f>
        <v>15652664</v>
      </c>
      <c r="M387" s="191">
        <f>SUM(M338:M386)</f>
        <v>10124793</v>
      </c>
    </row>
    <row r="388" spans="1:14" ht="37.5" x14ac:dyDescent="0.2">
      <c r="A388" s="187"/>
      <c r="B388" s="187"/>
      <c r="C388" s="192" t="s">
        <v>597</v>
      </c>
      <c r="D388" s="189"/>
      <c r="E388" s="189"/>
      <c r="F388" s="189"/>
      <c r="G388" s="174">
        <f>D388+E388+F388</f>
        <v>0</v>
      </c>
      <c r="I388" s="189"/>
      <c r="J388" s="189"/>
      <c r="K388" s="189"/>
      <c r="L388" s="174">
        <f>I388+J388+K388</f>
        <v>0</v>
      </c>
      <c r="M388" s="177">
        <f>G388+L388</f>
        <v>0</v>
      </c>
    </row>
    <row r="389" spans="1:14" ht="25.5" x14ac:dyDescent="0.2">
      <c r="A389" s="187"/>
      <c r="B389" s="187"/>
      <c r="C389" s="193" t="s">
        <v>596</v>
      </c>
      <c r="D389" s="189"/>
      <c r="E389" s="189"/>
      <c r="F389" s="189"/>
      <c r="G389" s="174">
        <f>D389+E389+F389</f>
        <v>0</v>
      </c>
      <c r="I389" s="189"/>
      <c r="J389" s="189"/>
      <c r="K389" s="189"/>
      <c r="L389" s="174">
        <f>I389+J389+K389</f>
        <v>0</v>
      </c>
      <c r="M389" s="177">
        <f>G389+L389</f>
        <v>0</v>
      </c>
    </row>
    <row r="390" spans="1:14" x14ac:dyDescent="0.2">
      <c r="A390" s="187"/>
      <c r="B390" s="187"/>
      <c r="C390" s="190" t="s">
        <v>503</v>
      </c>
      <c r="D390" s="191">
        <f>SUM(D387:D389)</f>
        <v>24710987</v>
      </c>
      <c r="E390" s="191">
        <f>SUM(E387:E389)</f>
        <v>1066470</v>
      </c>
      <c r="F390" s="191">
        <f>SUM(F387:F389)</f>
        <v>0</v>
      </c>
      <c r="G390" s="191">
        <f>SUM(G387:G389)</f>
        <v>25777457</v>
      </c>
      <c r="H390" s="191"/>
      <c r="I390" s="191">
        <f>SUM(I387:I389)</f>
        <v>15271397</v>
      </c>
      <c r="J390" s="191">
        <f>SUM(J387:J389)</f>
        <v>381267</v>
      </c>
      <c r="K390" s="191">
        <f>SUM(K387:K389)</f>
        <v>0</v>
      </c>
      <c r="L390" s="191">
        <f>SUM(L387:L389)</f>
        <v>15652664</v>
      </c>
      <c r="M390" s="191">
        <f>SUM(M387:M389)</f>
        <v>10124793</v>
      </c>
    </row>
    <row r="391" spans="1:14" ht="14.25" x14ac:dyDescent="0.2">
      <c r="A391" s="187"/>
      <c r="B391" s="187"/>
      <c r="C391" s="1603" t="s">
        <v>912</v>
      </c>
      <c r="D391" s="1604"/>
      <c r="E391" s="1604"/>
      <c r="F391" s="1604"/>
      <c r="G391" s="1604"/>
      <c r="H391" s="1604"/>
      <c r="I391" s="1605"/>
      <c r="J391" s="189"/>
      <c r="K391" s="194"/>
      <c r="L391" s="195"/>
      <c r="M391" s="196"/>
    </row>
    <row r="392" spans="1:14" x14ac:dyDescent="0.2">
      <c r="A392" s="187"/>
      <c r="B392" s="187"/>
      <c r="C392" s="1603" t="s">
        <v>295</v>
      </c>
      <c r="D392" s="1604"/>
      <c r="E392" s="1604"/>
      <c r="F392" s="1604"/>
      <c r="G392" s="1604"/>
      <c r="H392" s="1604"/>
      <c r="I392" s="1605"/>
      <c r="J392" s="191">
        <f>J390+J391</f>
        <v>381267</v>
      </c>
      <c r="K392" s="194"/>
      <c r="L392" s="195"/>
      <c r="M392" s="196"/>
    </row>
    <row r="393" spans="1:14" x14ac:dyDescent="0.2">
      <c r="A393" s="1479"/>
      <c r="B393" s="1479"/>
    </row>
    <row r="394" spans="1:14" x14ac:dyDescent="0.2">
      <c r="A394" s="1479"/>
      <c r="B394" s="1479"/>
      <c r="I394" s="197" t="s">
        <v>422</v>
      </c>
      <c r="J394" s="1480"/>
    </row>
    <row r="395" spans="1:14" x14ac:dyDescent="0.2">
      <c r="A395" s="187">
        <v>10</v>
      </c>
      <c r="B395" s="187"/>
      <c r="C395" s="188" t="s">
        <v>296</v>
      </c>
      <c r="I395" s="1480" t="s">
        <v>296</v>
      </c>
      <c r="J395" s="1480"/>
      <c r="K395" s="198">
        <f>J369+J370+J371</f>
        <v>41169</v>
      </c>
    </row>
    <row r="396" spans="1:14" x14ac:dyDescent="0.2">
      <c r="A396" s="187">
        <v>8</v>
      </c>
      <c r="B396" s="187"/>
      <c r="C396" s="188" t="s">
        <v>287</v>
      </c>
      <c r="I396" s="1480" t="s">
        <v>287</v>
      </c>
      <c r="J396" s="1480"/>
      <c r="K396" s="199">
        <f>J376</f>
        <v>1227</v>
      </c>
    </row>
    <row r="397" spans="1:14" x14ac:dyDescent="0.2">
      <c r="A397" s="1479"/>
      <c r="B397" s="1479"/>
      <c r="I397" s="200" t="s">
        <v>297</v>
      </c>
      <c r="K397" s="201">
        <f>J392-K395-K396</f>
        <v>338871</v>
      </c>
    </row>
    <row r="398" spans="1:14" x14ac:dyDescent="0.2">
      <c r="A398" s="1474"/>
      <c r="B398" s="1474"/>
      <c r="I398" s="200"/>
      <c r="K398" s="1453"/>
    </row>
    <row r="399" spans="1:14" x14ac:dyDescent="0.2">
      <c r="A399" s="203" t="s">
        <v>11</v>
      </c>
      <c r="N399" s="202"/>
    </row>
    <row r="401" spans="1:13" x14ac:dyDescent="0.2">
      <c r="A401" s="1070">
        <v>1</v>
      </c>
      <c r="B401" s="1610" t="s">
        <v>197</v>
      </c>
      <c r="C401" s="1610"/>
      <c r="D401" s="1610"/>
      <c r="E401" s="1610"/>
      <c r="F401" s="1610"/>
      <c r="G401" s="1610"/>
      <c r="H401" s="1610"/>
      <c r="I401" s="1610"/>
      <c r="J401" s="1610"/>
      <c r="K401" s="1610"/>
      <c r="L401" s="1610"/>
      <c r="M401" s="1610"/>
    </row>
    <row r="402" spans="1:13" x14ac:dyDescent="0.2">
      <c r="B402" s="1610"/>
      <c r="C402" s="1610"/>
      <c r="D402" s="1610"/>
      <c r="E402" s="1610"/>
      <c r="F402" s="1610"/>
      <c r="G402" s="1610"/>
      <c r="H402" s="1610"/>
      <c r="I402" s="1610"/>
      <c r="J402" s="1610"/>
      <c r="K402" s="1610"/>
      <c r="L402" s="1610"/>
      <c r="M402" s="1610"/>
    </row>
    <row r="403" spans="1:13" ht="12.75" customHeight="1" x14ac:dyDescent="0.2"/>
    <row r="404" spans="1:13" x14ac:dyDescent="0.2">
      <c r="A404" s="1070">
        <v>2</v>
      </c>
      <c r="B404" s="1590" t="s">
        <v>990</v>
      </c>
      <c r="C404" s="1590"/>
      <c r="D404" s="1590"/>
      <c r="E404" s="1590"/>
      <c r="F404" s="1590"/>
      <c r="G404" s="1590"/>
      <c r="H404" s="1590"/>
      <c r="I404" s="1590"/>
      <c r="J404" s="1590"/>
      <c r="K404" s="1590"/>
      <c r="L404" s="1590"/>
      <c r="M404" s="1590"/>
    </row>
    <row r="405" spans="1:13" x14ac:dyDescent="0.2">
      <c r="B405" s="1590"/>
      <c r="C405" s="1590"/>
      <c r="D405" s="1590"/>
      <c r="E405" s="1590"/>
      <c r="F405" s="1590"/>
      <c r="G405" s="1590"/>
      <c r="H405" s="1590"/>
      <c r="I405" s="1590"/>
      <c r="J405" s="1590"/>
      <c r="K405" s="1590"/>
      <c r="L405" s="1590"/>
      <c r="M405" s="1590"/>
    </row>
    <row r="407" spans="1:13" x14ac:dyDescent="0.2">
      <c r="A407" s="1070">
        <v>3</v>
      </c>
      <c r="B407" s="1592" t="s">
        <v>205</v>
      </c>
      <c r="C407" s="1592"/>
      <c r="D407" s="1592"/>
      <c r="E407" s="1592"/>
      <c r="F407" s="1592"/>
      <c r="G407" s="1592"/>
      <c r="H407" s="1592"/>
      <c r="I407" s="1592"/>
      <c r="J407" s="1592"/>
      <c r="K407" s="1592"/>
      <c r="L407" s="1592"/>
      <c r="M407" s="1592"/>
    </row>
    <row r="409" spans="1:13" x14ac:dyDescent="0.2">
      <c r="A409" s="1070">
        <v>4</v>
      </c>
      <c r="B409" s="147" t="s">
        <v>991</v>
      </c>
      <c r="C409" s="56"/>
    </row>
    <row r="411" spans="1:13" x14ac:dyDescent="0.2">
      <c r="A411" s="1070">
        <v>5</v>
      </c>
      <c r="B411" s="204" t="s">
        <v>935</v>
      </c>
    </row>
    <row r="413" spans="1:13" x14ac:dyDescent="0.2">
      <c r="A413" s="1070">
        <v>6</v>
      </c>
      <c r="B413" s="1592" t="s">
        <v>1188</v>
      </c>
      <c r="C413" s="1592"/>
      <c r="D413" s="1592"/>
      <c r="E413" s="1592"/>
      <c r="F413" s="1592"/>
      <c r="G413" s="1592"/>
      <c r="H413" s="1592"/>
      <c r="I413" s="1592"/>
      <c r="J413" s="1592"/>
      <c r="K413" s="1592"/>
      <c r="L413" s="1592"/>
      <c r="M413" s="1592"/>
    </row>
    <row r="414" spans="1:13" x14ac:dyDescent="0.2">
      <c r="A414" s="1251"/>
      <c r="B414" s="1592"/>
      <c r="C414" s="1592"/>
      <c r="D414" s="1592"/>
      <c r="E414" s="1592"/>
      <c r="F414" s="1592"/>
      <c r="G414" s="1592"/>
      <c r="H414" s="1592"/>
      <c r="I414" s="1592"/>
      <c r="J414" s="1592"/>
      <c r="K414" s="1592"/>
      <c r="L414" s="1592"/>
      <c r="M414" s="1592"/>
    </row>
    <row r="415" spans="1:13" x14ac:dyDescent="0.2">
      <c r="B415" s="1592"/>
      <c r="C415" s="1592"/>
      <c r="D415" s="1592"/>
      <c r="E415" s="1592"/>
      <c r="F415" s="1592"/>
      <c r="G415" s="1592"/>
      <c r="H415" s="1592"/>
      <c r="I415" s="1592"/>
      <c r="J415" s="1592"/>
      <c r="K415" s="1592"/>
      <c r="L415" s="1592"/>
      <c r="M415" s="1592"/>
    </row>
    <row r="417" spans="2:13" x14ac:dyDescent="0.2">
      <c r="B417" s="1610"/>
      <c r="C417" s="1610"/>
      <c r="D417" s="1610"/>
      <c r="E417" s="1610"/>
      <c r="F417" s="1610"/>
      <c r="G417" s="1610"/>
      <c r="H417" s="1610"/>
      <c r="I417" s="1610"/>
      <c r="J417" s="1610"/>
      <c r="K417" s="1610"/>
      <c r="L417" s="1610"/>
      <c r="M417" s="1610"/>
    </row>
    <row r="418" spans="2:13" x14ac:dyDescent="0.2">
      <c r="B418" s="1610"/>
      <c r="C418" s="1610"/>
      <c r="D418" s="1610"/>
      <c r="E418" s="1610"/>
      <c r="F418" s="1610"/>
      <c r="G418" s="1610"/>
      <c r="H418" s="1610"/>
      <c r="I418" s="1610"/>
      <c r="J418" s="1610"/>
      <c r="K418" s="1610"/>
      <c r="L418" s="1610"/>
      <c r="M418" s="1610"/>
    </row>
  </sheetData>
  <mergeCells count="25">
    <mergeCell ref="D336:G336"/>
    <mergeCell ref="C391:I391"/>
    <mergeCell ref="C392:I392"/>
    <mergeCell ref="B417:M418"/>
    <mergeCell ref="B413:M415"/>
    <mergeCell ref="B404:M405"/>
    <mergeCell ref="B407:M407"/>
    <mergeCell ref="B401:M402"/>
    <mergeCell ref="A9:M9"/>
    <mergeCell ref="A10:M10"/>
    <mergeCell ref="D15:G15"/>
    <mergeCell ref="C61:I61"/>
    <mergeCell ref="C62:I62"/>
    <mergeCell ref="D72:G72"/>
    <mergeCell ref="C127:I127"/>
    <mergeCell ref="C128:I128"/>
    <mergeCell ref="D138:G138"/>
    <mergeCell ref="C193:I193"/>
    <mergeCell ref="C194:I194"/>
    <mergeCell ref="C326:I326"/>
    <mergeCell ref="D204:G204"/>
    <mergeCell ref="C259:I259"/>
    <mergeCell ref="C260:I260"/>
    <mergeCell ref="D270:G270"/>
    <mergeCell ref="C325:I325"/>
  </mergeCells>
  <dataValidations count="1">
    <dataValidation type="list" allowBlank="1" showErrorMessage="1" error="Use the following date format when inserting a date:_x000a__x000a_Eg:  &quot;January 1, 2013&quot;" prompt="Use the following format eg: January 1, 2013" sqref="F12 F69 F135 F201 F267 F333">
      <formula1>"CGAAP, MIFRS,USGAAP, ASPE"</formula1>
    </dataValidation>
  </dataValidations>
  <printOptions horizontalCentered="1"/>
  <pageMargins left="0.74803149606299213" right="0.74803149606299213" top="0.74803149606299213" bottom="0.70866141732283472" header="0.51181102362204722" footer="0.51181102362204722"/>
  <pageSetup scale="43" fitToHeight="0" orientation="landscape" r:id="rId1"/>
  <headerFooter alignWithMargins="0"/>
  <rowBreaks count="5" manualBreakCount="5">
    <brk id="68" max="12" man="1"/>
    <brk id="134" max="12" man="1"/>
    <brk id="200" max="12" man="1"/>
    <brk id="266" max="12" man="1"/>
    <brk id="332" max="12" man="1"/>
  </rowBreak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tabColor rgb="FF00B0F0"/>
  </sheetPr>
  <dimension ref="A1:R110"/>
  <sheetViews>
    <sheetView showGridLines="0" topLeftCell="D1" zoomScaleNormal="100" workbookViewId="0">
      <selection activeCell="K3" sqref="K3"/>
    </sheetView>
  </sheetViews>
  <sheetFormatPr defaultRowHeight="12.75" x14ac:dyDescent="0.2"/>
  <cols>
    <col min="1" max="1" width="9.140625" style="52"/>
    <col min="2" max="2" width="6.85546875" style="52" customWidth="1"/>
    <col min="3" max="3" width="27.140625" style="52" customWidth="1"/>
    <col min="4" max="4" width="19.7109375" style="52" customWidth="1"/>
    <col min="5" max="5" width="10.7109375" style="52" customWidth="1"/>
    <col min="6" max="6" width="7.7109375" style="52" customWidth="1"/>
    <col min="7" max="7" width="7.42578125" style="52" customWidth="1"/>
    <col min="8" max="8" width="8.28515625" style="52" customWidth="1"/>
    <col min="9" max="9" width="1" style="52" customWidth="1"/>
    <col min="10" max="10" width="10.5703125" style="52" customWidth="1"/>
    <col min="11" max="11" width="42.42578125" style="52" bestFit="1" customWidth="1"/>
    <col min="12" max="12" width="8" style="52" customWidth="1"/>
    <col min="13" max="13" width="8.5703125" style="52" customWidth="1"/>
    <col min="14" max="14" width="8.42578125" style="52" customWidth="1"/>
    <col min="15" max="15" width="7.5703125" style="52" customWidth="1"/>
    <col min="16" max="16" width="11" style="1070" customWidth="1"/>
    <col min="17" max="17" width="11.5703125" style="1070" customWidth="1"/>
    <col min="18" max="16384" width="9.140625" style="52"/>
  </cols>
  <sheetData>
    <row r="1" spans="1:18" x14ac:dyDescent="0.2">
      <c r="A1" s="1070"/>
      <c r="B1" s="1070"/>
      <c r="C1" s="1070"/>
      <c r="N1" s="152" t="s">
        <v>301</v>
      </c>
      <c r="P1" s="1675">
        <v>0</v>
      </c>
      <c r="Q1" s="1675"/>
      <c r="R1" s="1070"/>
    </row>
    <row r="2" spans="1:18" x14ac:dyDescent="0.2">
      <c r="A2" s="1070"/>
      <c r="B2" s="1070"/>
      <c r="C2" s="1070"/>
      <c r="N2" s="152" t="s">
        <v>302</v>
      </c>
      <c r="P2" s="1676"/>
      <c r="Q2" s="1676"/>
      <c r="R2" s="1070"/>
    </row>
    <row r="3" spans="1:18" x14ac:dyDescent="0.2">
      <c r="A3" s="1070"/>
      <c r="B3" s="1070"/>
      <c r="C3" s="1070"/>
      <c r="N3" s="152" t="s">
        <v>303</v>
      </c>
      <c r="P3" s="1676"/>
      <c r="Q3" s="1676"/>
      <c r="R3" s="1070"/>
    </row>
    <row r="4" spans="1:18" x14ac:dyDescent="0.2">
      <c r="A4" s="1070"/>
      <c r="B4" s="1070"/>
      <c r="C4" s="1070"/>
      <c r="N4" s="152" t="s">
        <v>304</v>
      </c>
      <c r="P4" s="1676"/>
      <c r="Q4" s="1676"/>
      <c r="R4" s="1070"/>
    </row>
    <row r="5" spans="1:18" x14ac:dyDescent="0.2">
      <c r="A5" s="1070"/>
      <c r="B5" s="1070"/>
      <c r="C5" s="1070"/>
      <c r="N5" s="152" t="s">
        <v>305</v>
      </c>
      <c r="P5" s="1677"/>
      <c r="Q5" s="1677"/>
      <c r="R5" s="1070"/>
    </row>
    <row r="6" spans="1:18" ht="9" customHeight="1" x14ac:dyDescent="0.2">
      <c r="A6" s="1070"/>
      <c r="B6" s="1070"/>
      <c r="C6" s="1070"/>
      <c r="N6" s="152"/>
      <c r="P6" s="1092"/>
      <c r="R6" s="1070"/>
    </row>
    <row r="7" spans="1:18" x14ac:dyDescent="0.2">
      <c r="A7" s="1070"/>
      <c r="B7" s="1070"/>
      <c r="C7" s="1070"/>
      <c r="N7" s="152" t="s">
        <v>306</v>
      </c>
      <c r="P7" s="1677"/>
      <c r="Q7" s="1677"/>
      <c r="R7" s="1070"/>
    </row>
    <row r="8" spans="1:18" ht="9" customHeight="1" x14ac:dyDescent="0.2">
      <c r="A8" s="1070"/>
      <c r="B8" s="1070"/>
      <c r="C8" s="1070"/>
      <c r="I8" s="159"/>
    </row>
    <row r="9" spans="1:18" ht="20.25" customHeight="1" x14ac:dyDescent="0.2">
      <c r="A9" s="1679" t="s">
        <v>504</v>
      </c>
      <c r="B9" s="1679"/>
      <c r="C9" s="1679"/>
      <c r="D9" s="1679"/>
      <c r="E9" s="1679"/>
      <c r="F9" s="1679"/>
      <c r="G9" s="1679"/>
      <c r="H9" s="1679"/>
      <c r="I9" s="1679"/>
      <c r="J9" s="1679"/>
      <c r="K9" s="1679"/>
      <c r="L9" s="1679"/>
      <c r="M9" s="1679"/>
      <c r="N9" s="1679"/>
      <c r="O9" s="1679"/>
      <c r="P9" s="1679"/>
      <c r="Q9" s="1679"/>
    </row>
    <row r="10" spans="1:18" ht="18" customHeight="1" x14ac:dyDescent="0.2">
      <c r="A10" s="1680" t="s">
        <v>505</v>
      </c>
      <c r="B10" s="1680"/>
      <c r="C10" s="1680"/>
      <c r="D10" s="1680"/>
      <c r="E10" s="1680"/>
      <c r="F10" s="1680"/>
      <c r="G10" s="1680"/>
      <c r="H10" s="1680"/>
      <c r="I10" s="1680"/>
      <c r="J10" s="1680"/>
      <c r="K10" s="1680"/>
      <c r="L10" s="1680"/>
      <c r="M10" s="1680"/>
      <c r="N10" s="1680"/>
      <c r="O10" s="1680"/>
      <c r="P10" s="1680"/>
      <c r="Q10" s="1680"/>
    </row>
    <row r="11" spans="1:18" ht="18" customHeight="1" x14ac:dyDescent="0.2">
      <c r="A11" s="1629" t="s">
        <v>861</v>
      </c>
      <c r="B11" s="1629"/>
      <c r="C11" s="1629"/>
      <c r="D11" s="1629"/>
      <c r="E11" s="1629"/>
      <c r="F11" s="1629"/>
      <c r="G11" s="1629"/>
      <c r="H11" s="1629"/>
      <c r="I11" s="1629"/>
      <c r="J11" s="1629"/>
      <c r="K11" s="1629"/>
      <c r="L11" s="1629"/>
      <c r="M11" s="1629"/>
      <c r="N11" s="1629"/>
      <c r="O11" s="1629"/>
      <c r="P11" s="1629"/>
      <c r="Q11" s="1629"/>
    </row>
    <row r="12" spans="1:18" ht="18" customHeight="1" x14ac:dyDescent="0.2">
      <c r="A12" s="1055"/>
      <c r="B12" s="1055"/>
      <c r="C12" s="1055"/>
      <c r="D12" s="1055"/>
      <c r="E12" s="1055"/>
      <c r="F12" s="1055"/>
      <c r="G12" s="1055"/>
      <c r="H12" s="1055"/>
      <c r="I12" s="1052"/>
      <c r="J12" s="205"/>
      <c r="K12" s="206"/>
      <c r="L12" s="206"/>
      <c r="M12" s="206"/>
      <c r="N12" s="206"/>
    </row>
    <row r="13" spans="1:18" ht="18" customHeight="1" x14ac:dyDescent="0.2">
      <c r="A13" s="1055"/>
      <c r="B13" s="1055"/>
      <c r="C13" s="1055"/>
      <c r="D13" s="1055"/>
      <c r="E13" s="1055"/>
      <c r="F13" s="1055"/>
      <c r="G13" s="1055"/>
      <c r="H13" s="1055"/>
      <c r="I13" s="1052"/>
      <c r="J13" s="205"/>
      <c r="K13" s="206"/>
      <c r="L13" s="206"/>
      <c r="M13" s="206"/>
      <c r="N13" s="206"/>
    </row>
    <row r="14" spans="1:18" ht="15.75" customHeight="1" x14ac:dyDescent="0.2"/>
    <row r="15" spans="1:18" ht="33.75" customHeight="1" x14ac:dyDescent="0.2">
      <c r="A15" s="57"/>
      <c r="B15" s="57"/>
      <c r="C15" s="1626" t="s">
        <v>799</v>
      </c>
      <c r="D15" s="1626"/>
      <c r="E15" s="1626"/>
      <c r="F15" s="1626" t="s">
        <v>800</v>
      </c>
      <c r="G15" s="1626"/>
      <c r="H15" s="1678"/>
      <c r="I15" s="207"/>
      <c r="J15" s="1627" t="s">
        <v>801</v>
      </c>
      <c r="K15" s="1627" t="s">
        <v>802</v>
      </c>
      <c r="L15" s="1625" t="s">
        <v>491</v>
      </c>
      <c r="M15" s="1625"/>
      <c r="N15" s="1623" t="s">
        <v>12</v>
      </c>
      <c r="O15" s="1623"/>
      <c r="P15" s="1625" t="s">
        <v>883</v>
      </c>
      <c r="Q15" s="1625"/>
    </row>
    <row r="16" spans="1:18" ht="30.75" thickBot="1" x14ac:dyDescent="0.25">
      <c r="A16" s="1056" t="s">
        <v>804</v>
      </c>
      <c r="B16" s="1056" t="s">
        <v>777</v>
      </c>
      <c r="C16" s="1681" t="s">
        <v>778</v>
      </c>
      <c r="D16" s="1681"/>
      <c r="E16" s="1681"/>
      <c r="F16" s="1415" t="s">
        <v>780</v>
      </c>
      <c r="G16" s="1415" t="s">
        <v>490</v>
      </c>
      <c r="H16" s="1416" t="s">
        <v>781</v>
      </c>
      <c r="I16" s="208"/>
      <c r="J16" s="1628"/>
      <c r="K16" s="1628"/>
      <c r="L16" s="209" t="s">
        <v>6</v>
      </c>
      <c r="M16" s="209" t="s">
        <v>13</v>
      </c>
      <c r="N16" s="210" t="s">
        <v>6</v>
      </c>
      <c r="O16" s="211" t="s">
        <v>13</v>
      </c>
      <c r="P16" s="1053" t="s">
        <v>884</v>
      </c>
      <c r="Q16" s="1053" t="s">
        <v>885</v>
      </c>
    </row>
    <row r="17" spans="1:17" x14ac:dyDescent="0.2">
      <c r="A17" s="1664" t="s">
        <v>766</v>
      </c>
      <c r="B17" s="1666">
        <v>1</v>
      </c>
      <c r="C17" s="1668" t="s">
        <v>776</v>
      </c>
      <c r="D17" s="1669" t="s">
        <v>770</v>
      </c>
      <c r="E17" s="1669"/>
      <c r="F17" s="1057">
        <v>35</v>
      </c>
      <c r="G17" s="1057">
        <v>45</v>
      </c>
      <c r="H17" s="212">
        <v>75</v>
      </c>
      <c r="I17" s="213"/>
      <c r="J17" s="214">
        <v>1830</v>
      </c>
      <c r="K17" s="215" t="s">
        <v>1419</v>
      </c>
      <c r="L17" s="53">
        <v>45</v>
      </c>
      <c r="M17" s="216">
        <f>IF(ISERROR(1/L17), "", 1/L17)</f>
        <v>2.2222222222222223E-2</v>
      </c>
      <c r="N17" s="53">
        <v>45</v>
      </c>
      <c r="O17" s="217">
        <f>IF(ISERROR(1/N17), "", 1/N17)</f>
        <v>2.2222222222222223E-2</v>
      </c>
      <c r="P17" s="187" t="str">
        <f>IF(ISBLANK(N17),"",IF(N17&lt;F17,"Yes","No"))</f>
        <v>No</v>
      </c>
      <c r="Q17" s="187" t="str">
        <f>IF(ISBLANK(N17),"",IF(N17&gt;H17,"Yes","No"))</f>
        <v>No</v>
      </c>
    </row>
    <row r="18" spans="1:17" x14ac:dyDescent="0.2">
      <c r="A18" s="1665"/>
      <c r="B18" s="1667"/>
      <c r="C18" s="1654"/>
      <c r="D18" s="1654" t="s">
        <v>767</v>
      </c>
      <c r="E18" s="1060" t="s">
        <v>771</v>
      </c>
      <c r="F18" s="1058">
        <v>20</v>
      </c>
      <c r="G18" s="1058">
        <v>40</v>
      </c>
      <c r="H18" s="218">
        <v>55</v>
      </c>
      <c r="I18" s="213"/>
      <c r="J18" s="214"/>
      <c r="K18" s="215"/>
      <c r="L18" s="53"/>
      <c r="M18" s="216" t="str">
        <f t="shared" ref="M18:M70" si="0">IF(ISERROR(1/L18), "", 1/L18)</f>
        <v/>
      </c>
      <c r="N18" s="53"/>
      <c r="O18" s="217" t="str">
        <f t="shared" ref="O18:O70" si="1">IF(ISERROR(1/N18), "", 1/N18)</f>
        <v/>
      </c>
      <c r="P18" s="187" t="str">
        <f t="shared" ref="P18:P70" si="2">IF(ISBLANK(N18),"",IF(N18&lt;F18,"Yes","No"))</f>
        <v/>
      </c>
      <c r="Q18" s="187" t="str">
        <f t="shared" ref="Q18:Q70" si="3">IF(ISBLANK(N18),"",IF(N18&gt;H18,"Yes","No"))</f>
        <v/>
      </c>
    </row>
    <row r="19" spans="1:17" x14ac:dyDescent="0.2">
      <c r="A19" s="1665"/>
      <c r="B19" s="1667"/>
      <c r="C19" s="1654"/>
      <c r="D19" s="1654"/>
      <c r="E19" s="1060" t="s">
        <v>772</v>
      </c>
      <c r="F19" s="1058">
        <v>30</v>
      </c>
      <c r="G19" s="1058">
        <v>70</v>
      </c>
      <c r="H19" s="218">
        <v>95</v>
      </c>
      <c r="I19" s="213"/>
      <c r="J19" s="214"/>
      <c r="K19" s="215"/>
      <c r="L19" s="53"/>
      <c r="M19" s="216" t="str">
        <f t="shared" si="0"/>
        <v/>
      </c>
      <c r="N19" s="53"/>
      <c r="O19" s="217" t="str">
        <f t="shared" si="1"/>
        <v/>
      </c>
      <c r="P19" s="187" t="str">
        <f t="shared" si="2"/>
        <v/>
      </c>
      <c r="Q19" s="187" t="str">
        <f t="shared" si="3"/>
        <v/>
      </c>
    </row>
    <row r="20" spans="1:17" x14ac:dyDescent="0.2">
      <c r="A20" s="1665"/>
      <c r="B20" s="1667">
        <v>2</v>
      </c>
      <c r="C20" s="1654" t="s">
        <v>779</v>
      </c>
      <c r="D20" s="1671" t="s">
        <v>770</v>
      </c>
      <c r="E20" s="1671"/>
      <c r="F20" s="1058">
        <v>50</v>
      </c>
      <c r="G20" s="1058">
        <v>60</v>
      </c>
      <c r="H20" s="218">
        <v>80</v>
      </c>
      <c r="I20" s="213"/>
      <c r="J20" s="214"/>
      <c r="K20" s="215"/>
      <c r="L20" s="53"/>
      <c r="M20" s="216" t="str">
        <f t="shared" si="0"/>
        <v/>
      </c>
      <c r="N20" s="53"/>
      <c r="O20" s="217" t="str">
        <f t="shared" si="1"/>
        <v/>
      </c>
      <c r="P20" s="187" t="str">
        <f t="shared" si="2"/>
        <v/>
      </c>
      <c r="Q20" s="187" t="str">
        <f t="shared" si="3"/>
        <v/>
      </c>
    </row>
    <row r="21" spans="1:17" x14ac:dyDescent="0.2">
      <c r="A21" s="1665"/>
      <c r="B21" s="1667"/>
      <c r="C21" s="1654"/>
      <c r="D21" s="1654" t="s">
        <v>767</v>
      </c>
      <c r="E21" s="1060" t="s">
        <v>771</v>
      </c>
      <c r="F21" s="1058">
        <v>20</v>
      </c>
      <c r="G21" s="1058">
        <v>40</v>
      </c>
      <c r="H21" s="218">
        <v>55</v>
      </c>
      <c r="I21" s="213"/>
      <c r="J21" s="214"/>
      <c r="K21" s="215"/>
      <c r="L21" s="53"/>
      <c r="M21" s="216" t="str">
        <f t="shared" si="0"/>
        <v/>
      </c>
      <c r="N21" s="53"/>
      <c r="O21" s="217" t="str">
        <f t="shared" si="1"/>
        <v/>
      </c>
      <c r="P21" s="187" t="str">
        <f t="shared" si="2"/>
        <v/>
      </c>
      <c r="Q21" s="187" t="str">
        <f t="shared" si="3"/>
        <v/>
      </c>
    </row>
    <row r="22" spans="1:17" x14ac:dyDescent="0.2">
      <c r="A22" s="1665"/>
      <c r="B22" s="1667"/>
      <c r="C22" s="1654"/>
      <c r="D22" s="1654"/>
      <c r="E22" s="1060" t="s">
        <v>772</v>
      </c>
      <c r="F22" s="1058">
        <v>30</v>
      </c>
      <c r="G22" s="1058">
        <v>70</v>
      </c>
      <c r="H22" s="218">
        <v>95</v>
      </c>
      <c r="I22" s="213"/>
      <c r="J22" s="214"/>
      <c r="K22" s="215"/>
      <c r="L22" s="53"/>
      <c r="M22" s="216" t="str">
        <f t="shared" si="0"/>
        <v/>
      </c>
      <c r="N22" s="53"/>
      <c r="O22" s="217" t="str">
        <f t="shared" si="1"/>
        <v/>
      </c>
      <c r="P22" s="187" t="str">
        <f t="shared" si="2"/>
        <v/>
      </c>
      <c r="Q22" s="187" t="str">
        <f t="shared" si="3"/>
        <v/>
      </c>
    </row>
    <row r="23" spans="1:17" x14ac:dyDescent="0.2">
      <c r="A23" s="1665"/>
      <c r="B23" s="1667">
        <v>3</v>
      </c>
      <c r="C23" s="1654" t="s">
        <v>769</v>
      </c>
      <c r="D23" s="1671" t="s">
        <v>770</v>
      </c>
      <c r="E23" s="1671"/>
      <c r="F23" s="1058">
        <v>60</v>
      </c>
      <c r="G23" s="1058">
        <v>60</v>
      </c>
      <c r="H23" s="218">
        <v>80</v>
      </c>
      <c r="I23" s="213"/>
      <c r="J23" s="214"/>
      <c r="K23" s="215"/>
      <c r="L23" s="53"/>
      <c r="M23" s="216" t="str">
        <f t="shared" si="0"/>
        <v/>
      </c>
      <c r="N23" s="53"/>
      <c r="O23" s="217" t="str">
        <f t="shared" si="1"/>
        <v/>
      </c>
      <c r="P23" s="187" t="str">
        <f t="shared" si="2"/>
        <v/>
      </c>
      <c r="Q23" s="187" t="str">
        <f t="shared" si="3"/>
        <v/>
      </c>
    </row>
    <row r="24" spans="1:17" x14ac:dyDescent="0.2">
      <c r="A24" s="1665"/>
      <c r="B24" s="1667"/>
      <c r="C24" s="1654"/>
      <c r="D24" s="1654" t="s">
        <v>767</v>
      </c>
      <c r="E24" s="1060" t="s">
        <v>771</v>
      </c>
      <c r="F24" s="1058">
        <v>20</v>
      </c>
      <c r="G24" s="1058">
        <v>40</v>
      </c>
      <c r="H24" s="218">
        <v>55</v>
      </c>
      <c r="I24" s="213"/>
      <c r="J24" s="214"/>
      <c r="K24" s="215"/>
      <c r="L24" s="53"/>
      <c r="M24" s="216" t="str">
        <f t="shared" si="0"/>
        <v/>
      </c>
      <c r="N24" s="53"/>
      <c r="O24" s="217" t="str">
        <f t="shared" si="1"/>
        <v/>
      </c>
      <c r="P24" s="187" t="str">
        <f t="shared" si="2"/>
        <v/>
      </c>
      <c r="Q24" s="187" t="str">
        <f t="shared" si="3"/>
        <v/>
      </c>
    </row>
    <row r="25" spans="1:17" x14ac:dyDescent="0.2">
      <c r="A25" s="1665"/>
      <c r="B25" s="1667"/>
      <c r="C25" s="1654"/>
      <c r="D25" s="1654"/>
      <c r="E25" s="1060" t="s">
        <v>772</v>
      </c>
      <c r="F25" s="1058">
        <v>30</v>
      </c>
      <c r="G25" s="1058">
        <v>70</v>
      </c>
      <c r="H25" s="218">
        <v>95</v>
      </c>
      <c r="I25" s="213"/>
      <c r="J25" s="214"/>
      <c r="K25" s="215"/>
      <c r="L25" s="53"/>
      <c r="M25" s="216" t="str">
        <f t="shared" si="0"/>
        <v/>
      </c>
      <c r="N25" s="53"/>
      <c r="O25" s="217" t="str">
        <f t="shared" si="1"/>
        <v/>
      </c>
      <c r="P25" s="187" t="str">
        <f t="shared" si="2"/>
        <v/>
      </c>
      <c r="Q25" s="187" t="str">
        <f t="shared" si="3"/>
        <v/>
      </c>
    </row>
    <row r="26" spans="1:17" x14ac:dyDescent="0.2">
      <c r="A26" s="1665"/>
      <c r="B26" s="1058">
        <v>4</v>
      </c>
      <c r="C26" s="1638" t="s">
        <v>782</v>
      </c>
      <c r="D26" s="1670"/>
      <c r="E26" s="1639"/>
      <c r="F26" s="1058">
        <v>30</v>
      </c>
      <c r="G26" s="1058">
        <v>45</v>
      </c>
      <c r="H26" s="218">
        <v>55</v>
      </c>
      <c r="I26" s="213"/>
      <c r="J26" s="214"/>
      <c r="K26" s="215"/>
      <c r="L26" s="53"/>
      <c r="M26" s="216" t="str">
        <f t="shared" si="0"/>
        <v/>
      </c>
      <c r="N26" s="53"/>
      <c r="O26" s="217" t="str">
        <f t="shared" si="1"/>
        <v/>
      </c>
      <c r="P26" s="187" t="str">
        <f t="shared" si="2"/>
        <v/>
      </c>
      <c r="Q26" s="187" t="str">
        <f t="shared" si="3"/>
        <v/>
      </c>
    </row>
    <row r="27" spans="1:17" x14ac:dyDescent="0.2">
      <c r="A27" s="1665"/>
      <c r="B27" s="1058">
        <v>5</v>
      </c>
      <c r="C27" s="1638" t="s">
        <v>783</v>
      </c>
      <c r="D27" s="1670"/>
      <c r="E27" s="1639"/>
      <c r="F27" s="1058">
        <v>15</v>
      </c>
      <c r="G27" s="1058">
        <v>25</v>
      </c>
      <c r="H27" s="218">
        <v>25</v>
      </c>
      <c r="I27" s="213"/>
      <c r="J27" s="214"/>
      <c r="K27" s="215"/>
      <c r="L27" s="53"/>
      <c r="M27" s="216" t="str">
        <f t="shared" si="0"/>
        <v/>
      </c>
      <c r="N27" s="53"/>
      <c r="O27" s="217" t="str">
        <f t="shared" si="1"/>
        <v/>
      </c>
      <c r="P27" s="187" t="str">
        <f t="shared" si="2"/>
        <v/>
      </c>
      <c r="Q27" s="187" t="str">
        <f t="shared" si="3"/>
        <v/>
      </c>
    </row>
    <row r="28" spans="1:17" x14ac:dyDescent="0.2">
      <c r="A28" s="1665"/>
      <c r="B28" s="1058">
        <v>6</v>
      </c>
      <c r="C28" s="1638" t="s">
        <v>784</v>
      </c>
      <c r="D28" s="1670"/>
      <c r="E28" s="1639"/>
      <c r="F28" s="1058">
        <v>15</v>
      </c>
      <c r="G28" s="1058">
        <v>20</v>
      </c>
      <c r="H28" s="218">
        <v>20</v>
      </c>
      <c r="I28" s="213"/>
      <c r="J28" s="214"/>
      <c r="K28" s="215"/>
      <c r="L28" s="53"/>
      <c r="M28" s="216" t="str">
        <f t="shared" si="0"/>
        <v/>
      </c>
      <c r="N28" s="53"/>
      <c r="O28" s="217" t="str">
        <f t="shared" si="1"/>
        <v/>
      </c>
      <c r="P28" s="187" t="str">
        <f t="shared" si="2"/>
        <v/>
      </c>
      <c r="Q28" s="187" t="str">
        <f t="shared" si="3"/>
        <v/>
      </c>
    </row>
    <row r="29" spans="1:17" x14ac:dyDescent="0.2">
      <c r="A29" s="1665"/>
      <c r="B29" s="1058">
        <v>7</v>
      </c>
      <c r="C29" s="1638" t="s">
        <v>785</v>
      </c>
      <c r="D29" s="1670"/>
      <c r="E29" s="1639"/>
      <c r="F29" s="1058">
        <v>35</v>
      </c>
      <c r="G29" s="1058">
        <v>45</v>
      </c>
      <c r="H29" s="218">
        <v>60</v>
      </c>
      <c r="I29" s="213"/>
      <c r="J29" s="214"/>
      <c r="K29" s="215"/>
      <c r="L29" s="53"/>
      <c r="M29" s="216" t="str">
        <f t="shared" si="0"/>
        <v/>
      </c>
      <c r="N29" s="53"/>
      <c r="O29" s="217" t="str">
        <f t="shared" si="1"/>
        <v/>
      </c>
      <c r="P29" s="187" t="str">
        <f t="shared" si="2"/>
        <v/>
      </c>
      <c r="Q29" s="187" t="str">
        <f t="shared" si="3"/>
        <v/>
      </c>
    </row>
    <row r="30" spans="1:17" x14ac:dyDescent="0.2">
      <c r="A30" s="1665"/>
      <c r="B30" s="1058">
        <v>8</v>
      </c>
      <c r="C30" s="1638" t="s">
        <v>786</v>
      </c>
      <c r="D30" s="1670"/>
      <c r="E30" s="1639"/>
      <c r="F30" s="1058">
        <v>50</v>
      </c>
      <c r="G30" s="1058">
        <v>60</v>
      </c>
      <c r="H30" s="218">
        <v>75</v>
      </c>
      <c r="I30" s="213"/>
      <c r="J30" s="214">
        <v>1835</v>
      </c>
      <c r="K30" s="215" t="s">
        <v>1420</v>
      </c>
      <c r="L30" s="53">
        <v>60</v>
      </c>
      <c r="M30" s="216">
        <f t="shared" si="0"/>
        <v>1.6666666666666666E-2</v>
      </c>
      <c r="N30" s="53">
        <v>60</v>
      </c>
      <c r="O30" s="217">
        <f t="shared" si="1"/>
        <v>1.6666666666666666E-2</v>
      </c>
      <c r="P30" s="187" t="str">
        <f t="shared" si="2"/>
        <v>No</v>
      </c>
      <c r="Q30" s="187" t="str">
        <f t="shared" si="3"/>
        <v>No</v>
      </c>
    </row>
    <row r="31" spans="1:17" x14ac:dyDescent="0.2">
      <c r="A31" s="1665"/>
      <c r="B31" s="1058">
        <v>9</v>
      </c>
      <c r="C31" s="1638" t="s">
        <v>787</v>
      </c>
      <c r="D31" s="1670"/>
      <c r="E31" s="1639"/>
      <c r="F31" s="1058">
        <v>30</v>
      </c>
      <c r="G31" s="1058">
        <v>40</v>
      </c>
      <c r="H31" s="218">
        <v>60</v>
      </c>
      <c r="I31" s="213"/>
      <c r="J31" s="214">
        <v>1850</v>
      </c>
      <c r="K31" s="215" t="s">
        <v>1417</v>
      </c>
      <c r="L31" s="53">
        <v>40</v>
      </c>
      <c r="M31" s="216">
        <f t="shared" si="0"/>
        <v>2.5000000000000001E-2</v>
      </c>
      <c r="N31" s="53">
        <v>40</v>
      </c>
      <c r="O31" s="217">
        <f t="shared" si="1"/>
        <v>2.5000000000000001E-2</v>
      </c>
      <c r="P31" s="187" t="str">
        <f t="shared" si="2"/>
        <v>No</v>
      </c>
      <c r="Q31" s="187" t="str">
        <f t="shared" si="3"/>
        <v>No</v>
      </c>
    </row>
    <row r="32" spans="1:17" x14ac:dyDescent="0.2">
      <c r="A32" s="1665"/>
      <c r="B32" s="1058">
        <v>10</v>
      </c>
      <c r="C32" s="1638" t="s">
        <v>788</v>
      </c>
      <c r="D32" s="1670"/>
      <c r="E32" s="1639"/>
      <c r="F32" s="1058">
        <v>25</v>
      </c>
      <c r="G32" s="1058">
        <v>30</v>
      </c>
      <c r="H32" s="218">
        <v>40</v>
      </c>
      <c r="I32" s="213"/>
      <c r="J32" s="214"/>
      <c r="K32" s="215"/>
      <c r="L32" s="53"/>
      <c r="M32" s="216" t="str">
        <f t="shared" si="0"/>
        <v/>
      </c>
      <c r="N32" s="53"/>
      <c r="O32" s="217" t="str">
        <f t="shared" si="1"/>
        <v/>
      </c>
      <c r="P32" s="187" t="str">
        <f t="shared" si="2"/>
        <v/>
      </c>
      <c r="Q32" s="187" t="str">
        <f t="shared" si="3"/>
        <v/>
      </c>
    </row>
    <row r="33" spans="1:17" ht="13.5" thickBot="1" x14ac:dyDescent="0.25">
      <c r="A33" s="1665"/>
      <c r="B33" s="1062">
        <v>11</v>
      </c>
      <c r="C33" s="1672" t="s">
        <v>789</v>
      </c>
      <c r="D33" s="1673"/>
      <c r="E33" s="1674"/>
      <c r="F33" s="1062">
        <v>25</v>
      </c>
      <c r="G33" s="1062">
        <v>40</v>
      </c>
      <c r="H33" s="219">
        <v>55</v>
      </c>
      <c r="I33" s="213"/>
      <c r="J33" s="214"/>
      <c r="K33" s="215"/>
      <c r="L33" s="53"/>
      <c r="M33" s="216" t="str">
        <f t="shared" si="0"/>
        <v/>
      </c>
      <c r="N33" s="53"/>
      <c r="O33" s="217" t="str">
        <f t="shared" si="1"/>
        <v/>
      </c>
      <c r="P33" s="187" t="str">
        <f t="shared" si="2"/>
        <v/>
      </c>
      <c r="Q33" s="187" t="str">
        <f t="shared" si="3"/>
        <v/>
      </c>
    </row>
    <row r="34" spans="1:17" x14ac:dyDescent="0.2">
      <c r="A34" s="1643" t="s">
        <v>768</v>
      </c>
      <c r="B34" s="1660">
        <v>12</v>
      </c>
      <c r="C34" s="1661" t="s">
        <v>790</v>
      </c>
      <c r="D34" s="1646" t="s">
        <v>770</v>
      </c>
      <c r="E34" s="1662"/>
      <c r="F34" s="1057">
        <v>30</v>
      </c>
      <c r="G34" s="1057">
        <v>45</v>
      </c>
      <c r="H34" s="212">
        <v>60</v>
      </c>
      <c r="I34" s="213"/>
      <c r="J34" s="214"/>
      <c r="K34" s="215"/>
      <c r="L34" s="53"/>
      <c r="M34" s="216" t="str">
        <f t="shared" si="0"/>
        <v/>
      </c>
      <c r="N34" s="53"/>
      <c r="O34" s="217" t="str">
        <f t="shared" si="1"/>
        <v/>
      </c>
      <c r="P34" s="187" t="str">
        <f t="shared" si="2"/>
        <v/>
      </c>
      <c r="Q34" s="187" t="str">
        <f t="shared" si="3"/>
        <v/>
      </c>
    </row>
    <row r="35" spans="1:17" x14ac:dyDescent="0.2">
      <c r="A35" s="1658"/>
      <c r="B35" s="1620"/>
      <c r="C35" s="1655"/>
      <c r="D35" s="1611" t="s">
        <v>791</v>
      </c>
      <c r="E35" s="1613"/>
      <c r="F35" s="1058">
        <v>10</v>
      </c>
      <c r="G35" s="1058">
        <v>20</v>
      </c>
      <c r="H35" s="218">
        <v>30</v>
      </c>
      <c r="I35" s="213"/>
      <c r="J35" s="214"/>
      <c r="K35" s="215"/>
      <c r="L35" s="53"/>
      <c r="M35" s="216" t="str">
        <f t="shared" si="0"/>
        <v/>
      </c>
      <c r="N35" s="53"/>
      <c r="O35" s="217" t="str">
        <f t="shared" si="1"/>
        <v/>
      </c>
      <c r="P35" s="187" t="str">
        <f t="shared" si="2"/>
        <v/>
      </c>
      <c r="Q35" s="187" t="str">
        <f t="shared" si="3"/>
        <v/>
      </c>
    </row>
    <row r="36" spans="1:17" x14ac:dyDescent="0.2">
      <c r="A36" s="1658"/>
      <c r="B36" s="1617"/>
      <c r="C36" s="1655"/>
      <c r="D36" s="1611" t="s">
        <v>792</v>
      </c>
      <c r="E36" s="1613"/>
      <c r="F36" s="1058">
        <v>20</v>
      </c>
      <c r="G36" s="1058">
        <v>30</v>
      </c>
      <c r="H36" s="218">
        <v>60</v>
      </c>
      <c r="I36" s="213"/>
      <c r="J36" s="214"/>
      <c r="K36" s="215"/>
      <c r="L36" s="53"/>
      <c r="M36" s="216" t="str">
        <f t="shared" si="0"/>
        <v/>
      </c>
      <c r="N36" s="53"/>
      <c r="O36" s="217" t="str">
        <f t="shared" si="1"/>
        <v/>
      </c>
      <c r="P36" s="187" t="str">
        <f t="shared" si="2"/>
        <v/>
      </c>
      <c r="Q36" s="187" t="str">
        <f t="shared" si="3"/>
        <v/>
      </c>
    </row>
    <row r="37" spans="1:17" x14ac:dyDescent="0.2">
      <c r="A37" s="1658"/>
      <c r="B37" s="187">
        <v>13</v>
      </c>
      <c r="C37" s="1663" t="s">
        <v>773</v>
      </c>
      <c r="D37" s="1649"/>
      <c r="E37" s="1650"/>
      <c r="F37" s="1058">
        <v>30</v>
      </c>
      <c r="G37" s="1058">
        <v>45</v>
      </c>
      <c r="H37" s="218">
        <v>55</v>
      </c>
      <c r="I37" s="213"/>
      <c r="J37" s="214">
        <v>1820</v>
      </c>
      <c r="K37" s="215" t="s">
        <v>1418</v>
      </c>
      <c r="L37" s="53">
        <v>30</v>
      </c>
      <c r="M37" s="216">
        <f t="shared" si="0"/>
        <v>3.3333333333333333E-2</v>
      </c>
      <c r="N37" s="53">
        <v>30</v>
      </c>
      <c r="O37" s="217">
        <f t="shared" si="1"/>
        <v>3.3333333333333333E-2</v>
      </c>
      <c r="P37" s="187" t="str">
        <f t="shared" si="2"/>
        <v>No</v>
      </c>
      <c r="Q37" s="187" t="str">
        <f t="shared" si="3"/>
        <v>No</v>
      </c>
    </row>
    <row r="38" spans="1:17" x14ac:dyDescent="0.2">
      <c r="A38" s="1658"/>
      <c r="B38" s="187">
        <v>14</v>
      </c>
      <c r="C38" s="1663" t="s">
        <v>793</v>
      </c>
      <c r="D38" s="1649"/>
      <c r="E38" s="1650"/>
      <c r="F38" s="1058">
        <v>30</v>
      </c>
      <c r="G38" s="1058">
        <v>40</v>
      </c>
      <c r="H38" s="218">
        <v>40</v>
      </c>
      <c r="I38" s="213"/>
      <c r="J38" s="214"/>
      <c r="K38" s="215"/>
      <c r="L38" s="53"/>
      <c r="M38" s="216" t="str">
        <f t="shared" si="0"/>
        <v/>
      </c>
      <c r="N38" s="53"/>
      <c r="O38" s="217" t="str">
        <f t="shared" si="1"/>
        <v/>
      </c>
      <c r="P38" s="187" t="str">
        <f t="shared" si="2"/>
        <v/>
      </c>
      <c r="Q38" s="187" t="str">
        <f t="shared" si="3"/>
        <v/>
      </c>
    </row>
    <row r="39" spans="1:17" x14ac:dyDescent="0.2">
      <c r="A39" s="1658"/>
      <c r="B39" s="1616">
        <v>15</v>
      </c>
      <c r="C39" s="1655" t="s">
        <v>774</v>
      </c>
      <c r="D39" s="1611" t="s">
        <v>770</v>
      </c>
      <c r="E39" s="1613"/>
      <c r="F39" s="1058">
        <v>10</v>
      </c>
      <c r="G39" s="1058">
        <v>20</v>
      </c>
      <c r="H39" s="218">
        <v>30</v>
      </c>
      <c r="I39" s="213"/>
      <c r="J39" s="214"/>
      <c r="K39" s="215"/>
      <c r="L39" s="53"/>
      <c r="M39" s="216" t="str">
        <f t="shared" si="0"/>
        <v/>
      </c>
      <c r="N39" s="53"/>
      <c r="O39" s="217" t="str">
        <f t="shared" si="1"/>
        <v/>
      </c>
      <c r="P39" s="187" t="str">
        <f t="shared" si="2"/>
        <v/>
      </c>
      <c r="Q39" s="187" t="str">
        <f t="shared" si="3"/>
        <v/>
      </c>
    </row>
    <row r="40" spans="1:17" x14ac:dyDescent="0.2">
      <c r="A40" s="1658"/>
      <c r="B40" s="1620"/>
      <c r="C40" s="1655"/>
      <c r="D40" s="1611" t="s">
        <v>794</v>
      </c>
      <c r="E40" s="1613"/>
      <c r="F40" s="1058">
        <v>10</v>
      </c>
      <c r="G40" s="1058">
        <v>15</v>
      </c>
      <c r="H40" s="218">
        <v>15</v>
      </c>
      <c r="I40" s="213"/>
      <c r="J40" s="214"/>
      <c r="K40" s="215"/>
      <c r="L40" s="53"/>
      <c r="M40" s="216" t="str">
        <f t="shared" si="0"/>
        <v/>
      </c>
      <c r="N40" s="53"/>
      <c r="O40" s="217" t="str">
        <f t="shared" si="1"/>
        <v/>
      </c>
      <c r="P40" s="187" t="str">
        <f t="shared" si="2"/>
        <v/>
      </c>
      <c r="Q40" s="187" t="str">
        <f t="shared" si="3"/>
        <v/>
      </c>
    </row>
    <row r="41" spans="1:17" x14ac:dyDescent="0.2">
      <c r="A41" s="1658"/>
      <c r="B41" s="1617"/>
      <c r="C41" s="1655"/>
      <c r="D41" s="1611" t="s">
        <v>775</v>
      </c>
      <c r="E41" s="1613"/>
      <c r="F41" s="1058">
        <v>20</v>
      </c>
      <c r="G41" s="1058">
        <v>20</v>
      </c>
      <c r="H41" s="218">
        <v>30</v>
      </c>
      <c r="I41" s="213"/>
      <c r="J41" s="214"/>
      <c r="K41" s="215"/>
      <c r="L41" s="53"/>
      <c r="M41" s="216" t="str">
        <f t="shared" si="0"/>
        <v/>
      </c>
      <c r="N41" s="53"/>
      <c r="O41" s="217" t="str">
        <f t="shared" si="1"/>
        <v/>
      </c>
      <c r="P41" s="187" t="str">
        <f t="shared" si="2"/>
        <v/>
      </c>
      <c r="Q41" s="187" t="str">
        <f t="shared" si="3"/>
        <v/>
      </c>
    </row>
    <row r="42" spans="1:17" x14ac:dyDescent="0.2">
      <c r="A42" s="1658"/>
      <c r="B42" s="1616">
        <v>16</v>
      </c>
      <c r="C42" s="188" t="s">
        <v>795</v>
      </c>
      <c r="D42" s="1611" t="s">
        <v>770</v>
      </c>
      <c r="E42" s="1613"/>
      <c r="F42" s="1058">
        <v>30</v>
      </c>
      <c r="G42" s="1058">
        <v>40</v>
      </c>
      <c r="H42" s="218">
        <v>60</v>
      </c>
      <c r="I42" s="213"/>
      <c r="J42" s="214"/>
      <c r="K42" s="215"/>
      <c r="L42" s="53"/>
      <c r="M42" s="216" t="str">
        <f t="shared" si="0"/>
        <v/>
      </c>
      <c r="N42" s="53"/>
      <c r="O42" s="217" t="str">
        <f t="shared" si="1"/>
        <v/>
      </c>
      <c r="P42" s="187" t="str">
        <f t="shared" si="2"/>
        <v/>
      </c>
      <c r="Q42" s="187" t="str">
        <f t="shared" si="3"/>
        <v/>
      </c>
    </row>
    <row r="43" spans="1:17" x14ac:dyDescent="0.2">
      <c r="A43" s="1658"/>
      <c r="B43" s="1617"/>
      <c r="C43" s="188"/>
      <c r="D43" s="1611" t="s">
        <v>796</v>
      </c>
      <c r="E43" s="1613"/>
      <c r="F43" s="1058">
        <v>25</v>
      </c>
      <c r="G43" s="1058">
        <v>40</v>
      </c>
      <c r="H43" s="218">
        <v>60</v>
      </c>
      <c r="I43" s="213"/>
      <c r="J43" s="214"/>
      <c r="K43" s="215"/>
      <c r="L43" s="53"/>
      <c r="M43" s="216" t="str">
        <f t="shared" si="0"/>
        <v/>
      </c>
      <c r="N43" s="53"/>
      <c r="O43" s="217" t="str">
        <f t="shared" si="1"/>
        <v/>
      </c>
      <c r="P43" s="187" t="str">
        <f t="shared" si="2"/>
        <v/>
      </c>
      <c r="Q43" s="187" t="str">
        <f t="shared" si="3"/>
        <v/>
      </c>
    </row>
    <row r="44" spans="1:17" x14ac:dyDescent="0.2">
      <c r="A44" s="1658"/>
      <c r="B44" s="1058">
        <v>17</v>
      </c>
      <c r="C44" s="1611" t="s">
        <v>797</v>
      </c>
      <c r="D44" s="1612"/>
      <c r="E44" s="1613"/>
      <c r="F44" s="1058">
        <v>35</v>
      </c>
      <c r="G44" s="1058">
        <v>45</v>
      </c>
      <c r="H44" s="218">
        <v>65</v>
      </c>
      <c r="I44" s="213"/>
      <c r="J44" s="214"/>
      <c r="K44" s="215"/>
      <c r="L44" s="53"/>
      <c r="M44" s="216" t="str">
        <f t="shared" si="0"/>
        <v/>
      </c>
      <c r="N44" s="53"/>
      <c r="O44" s="217" t="str">
        <f t="shared" si="1"/>
        <v/>
      </c>
      <c r="P44" s="187" t="str">
        <f t="shared" si="2"/>
        <v/>
      </c>
      <c r="Q44" s="187" t="str">
        <f t="shared" si="3"/>
        <v/>
      </c>
    </row>
    <row r="45" spans="1:17" ht="20.25" customHeight="1" x14ac:dyDescent="0.2">
      <c r="A45" s="1658"/>
      <c r="B45" s="1058">
        <v>18</v>
      </c>
      <c r="C45" s="1663" t="s">
        <v>798</v>
      </c>
      <c r="D45" s="1649"/>
      <c r="E45" s="1650"/>
      <c r="F45" s="1058">
        <v>30</v>
      </c>
      <c r="G45" s="1058">
        <v>50</v>
      </c>
      <c r="H45" s="218">
        <v>60</v>
      </c>
      <c r="I45" s="220"/>
      <c r="J45" s="214"/>
      <c r="K45" s="215"/>
      <c r="L45" s="53"/>
      <c r="M45" s="216" t="str">
        <f t="shared" si="0"/>
        <v/>
      </c>
      <c r="N45" s="53"/>
      <c r="O45" s="217" t="str">
        <f t="shared" si="1"/>
        <v/>
      </c>
      <c r="P45" s="187" t="str">
        <f t="shared" si="2"/>
        <v/>
      </c>
      <c r="Q45" s="187" t="str">
        <f t="shared" si="3"/>
        <v/>
      </c>
    </row>
    <row r="46" spans="1:17" x14ac:dyDescent="0.2">
      <c r="A46" s="1658"/>
      <c r="B46" s="1058">
        <v>19</v>
      </c>
      <c r="C46" s="1611" t="s">
        <v>805</v>
      </c>
      <c r="D46" s="1649"/>
      <c r="E46" s="1650"/>
      <c r="F46" s="1058">
        <v>25</v>
      </c>
      <c r="G46" s="1058">
        <v>35</v>
      </c>
      <c r="H46" s="218">
        <v>50</v>
      </c>
      <c r="I46" s="221"/>
      <c r="J46" s="214"/>
      <c r="K46" s="215"/>
      <c r="L46" s="53"/>
      <c r="M46" s="216" t="str">
        <f t="shared" si="0"/>
        <v/>
      </c>
      <c r="N46" s="53"/>
      <c r="O46" s="217" t="str">
        <f t="shared" si="1"/>
        <v/>
      </c>
      <c r="P46" s="187" t="str">
        <f t="shared" si="2"/>
        <v/>
      </c>
      <c r="Q46" s="187" t="str">
        <f t="shared" si="3"/>
        <v/>
      </c>
    </row>
    <row r="47" spans="1:17" x14ac:dyDescent="0.2">
      <c r="A47" s="1658"/>
      <c r="B47" s="1058">
        <v>20</v>
      </c>
      <c r="C47" s="1611" t="s">
        <v>806</v>
      </c>
      <c r="D47" s="1649"/>
      <c r="E47" s="1650"/>
      <c r="F47" s="1058">
        <v>10</v>
      </c>
      <c r="G47" s="1058">
        <v>30</v>
      </c>
      <c r="H47" s="218">
        <v>45</v>
      </c>
      <c r="I47" s="221"/>
      <c r="J47" s="214"/>
      <c r="K47" s="215"/>
      <c r="L47" s="53"/>
      <c r="M47" s="216" t="str">
        <f t="shared" si="0"/>
        <v/>
      </c>
      <c r="N47" s="53"/>
      <c r="O47" s="217" t="str">
        <f t="shared" si="1"/>
        <v/>
      </c>
      <c r="P47" s="187" t="str">
        <f t="shared" si="2"/>
        <v/>
      </c>
      <c r="Q47" s="187" t="str">
        <f t="shared" si="3"/>
        <v/>
      </c>
    </row>
    <row r="48" spans="1:17" x14ac:dyDescent="0.2">
      <c r="A48" s="1658"/>
      <c r="B48" s="1058">
        <v>21</v>
      </c>
      <c r="C48" s="1611" t="s">
        <v>807</v>
      </c>
      <c r="D48" s="1649"/>
      <c r="E48" s="1650"/>
      <c r="F48" s="1058">
        <v>15</v>
      </c>
      <c r="G48" s="1058">
        <v>20</v>
      </c>
      <c r="H48" s="218">
        <v>20</v>
      </c>
      <c r="I48" s="221"/>
      <c r="J48" s="214"/>
      <c r="K48" s="215"/>
      <c r="L48" s="53"/>
      <c r="M48" s="216" t="str">
        <f t="shared" si="0"/>
        <v/>
      </c>
      <c r="N48" s="53"/>
      <c r="O48" s="217" t="str">
        <f t="shared" si="1"/>
        <v/>
      </c>
      <c r="P48" s="187" t="str">
        <f t="shared" si="2"/>
        <v/>
      </c>
      <c r="Q48" s="187" t="str">
        <f t="shared" si="3"/>
        <v/>
      </c>
    </row>
    <row r="49" spans="1:17" x14ac:dyDescent="0.2">
      <c r="A49" s="1658"/>
      <c r="B49" s="1058">
        <v>22</v>
      </c>
      <c r="C49" s="1611" t="s">
        <v>808</v>
      </c>
      <c r="D49" s="1649"/>
      <c r="E49" s="1650"/>
      <c r="F49" s="1058">
        <v>30</v>
      </c>
      <c r="G49" s="1058">
        <v>55</v>
      </c>
      <c r="H49" s="218">
        <v>60</v>
      </c>
      <c r="I49" s="221"/>
      <c r="J49" s="214"/>
      <c r="K49" s="215"/>
      <c r="L49" s="53"/>
      <c r="M49" s="216" t="str">
        <f t="shared" si="0"/>
        <v/>
      </c>
      <c r="N49" s="53"/>
      <c r="O49" s="217" t="str">
        <f t="shared" si="1"/>
        <v/>
      </c>
      <c r="P49" s="187" t="str">
        <f t="shared" si="2"/>
        <v/>
      </c>
      <c r="Q49" s="187" t="str">
        <f t="shared" si="3"/>
        <v/>
      </c>
    </row>
    <row r="50" spans="1:17" ht="13.5" thickBot="1" x14ac:dyDescent="0.25">
      <c r="A50" s="1659"/>
      <c r="B50" s="222">
        <v>23</v>
      </c>
      <c r="C50" s="1640" t="s">
        <v>809</v>
      </c>
      <c r="D50" s="1641"/>
      <c r="E50" s="1642"/>
      <c r="F50" s="222">
        <v>35</v>
      </c>
      <c r="G50" s="222">
        <v>50</v>
      </c>
      <c r="H50" s="223">
        <v>90</v>
      </c>
      <c r="I50" s="221"/>
      <c r="J50" s="214"/>
      <c r="K50" s="215"/>
      <c r="L50" s="53"/>
      <c r="M50" s="216" t="str">
        <f t="shared" si="0"/>
        <v/>
      </c>
      <c r="N50" s="53"/>
      <c r="O50" s="217" t="str">
        <f t="shared" si="1"/>
        <v/>
      </c>
      <c r="P50" s="187" t="str">
        <f t="shared" si="2"/>
        <v/>
      </c>
      <c r="Q50" s="187" t="str">
        <f t="shared" si="3"/>
        <v/>
      </c>
    </row>
    <row r="51" spans="1:17" x14ac:dyDescent="0.2">
      <c r="A51" s="1643" t="s">
        <v>830</v>
      </c>
      <c r="B51" s="1057">
        <v>24</v>
      </c>
      <c r="C51" s="1646" t="s">
        <v>810</v>
      </c>
      <c r="D51" s="1647"/>
      <c r="E51" s="1648"/>
      <c r="F51" s="1057">
        <v>60</v>
      </c>
      <c r="G51" s="1057">
        <v>65</v>
      </c>
      <c r="H51" s="212">
        <v>75</v>
      </c>
      <c r="I51" s="221"/>
      <c r="J51" s="214"/>
      <c r="K51" s="215"/>
      <c r="L51" s="53"/>
      <c r="M51" s="216" t="str">
        <f t="shared" si="0"/>
        <v/>
      </c>
      <c r="N51" s="53"/>
      <c r="O51" s="217" t="str">
        <f t="shared" si="1"/>
        <v/>
      </c>
      <c r="P51" s="187" t="str">
        <f t="shared" si="2"/>
        <v/>
      </c>
      <c r="Q51" s="187" t="str">
        <f t="shared" si="3"/>
        <v/>
      </c>
    </row>
    <row r="52" spans="1:17" x14ac:dyDescent="0.2">
      <c r="A52" s="1644"/>
      <c r="B52" s="1058">
        <v>25</v>
      </c>
      <c r="C52" s="1611" t="s">
        <v>811</v>
      </c>
      <c r="D52" s="1649"/>
      <c r="E52" s="1650"/>
      <c r="F52" s="1058">
        <v>20</v>
      </c>
      <c r="G52" s="1058">
        <v>25</v>
      </c>
      <c r="H52" s="218">
        <v>25</v>
      </c>
      <c r="I52" s="221"/>
      <c r="J52" s="214"/>
      <c r="K52" s="215"/>
      <c r="L52" s="53"/>
      <c r="M52" s="216" t="str">
        <f t="shared" si="0"/>
        <v/>
      </c>
      <c r="N52" s="53"/>
      <c r="O52" s="217" t="str">
        <f t="shared" si="1"/>
        <v/>
      </c>
      <c r="P52" s="187" t="str">
        <f t="shared" si="2"/>
        <v/>
      </c>
      <c r="Q52" s="187" t="str">
        <f t="shared" si="3"/>
        <v/>
      </c>
    </row>
    <row r="53" spans="1:17" ht="27" customHeight="1" x14ac:dyDescent="0.2">
      <c r="A53" s="1644"/>
      <c r="B53" s="1058">
        <v>26</v>
      </c>
      <c r="C53" s="1651" t="s">
        <v>829</v>
      </c>
      <c r="D53" s="1652"/>
      <c r="E53" s="1653"/>
      <c r="F53" s="1058">
        <v>20</v>
      </c>
      <c r="G53" s="1058">
        <v>25</v>
      </c>
      <c r="H53" s="218">
        <v>30</v>
      </c>
      <c r="I53" s="221"/>
      <c r="J53" s="214"/>
      <c r="K53" s="215"/>
      <c r="L53" s="53"/>
      <c r="M53" s="216" t="str">
        <f t="shared" si="0"/>
        <v/>
      </c>
      <c r="N53" s="53"/>
      <c r="O53" s="217" t="str">
        <f t="shared" si="1"/>
        <v/>
      </c>
      <c r="P53" s="187" t="str">
        <f t="shared" si="2"/>
        <v/>
      </c>
      <c r="Q53" s="187" t="str">
        <f t="shared" si="3"/>
        <v/>
      </c>
    </row>
    <row r="54" spans="1:17" x14ac:dyDescent="0.2">
      <c r="A54" s="1644"/>
      <c r="B54" s="1058">
        <v>27</v>
      </c>
      <c r="C54" s="1611" t="s">
        <v>812</v>
      </c>
      <c r="D54" s="1649"/>
      <c r="E54" s="1650"/>
      <c r="F54" s="1058">
        <v>20</v>
      </c>
      <c r="G54" s="1058">
        <v>25</v>
      </c>
      <c r="H54" s="218">
        <v>30</v>
      </c>
      <c r="I54" s="221"/>
      <c r="J54" s="214"/>
      <c r="K54" s="215"/>
      <c r="L54" s="53"/>
      <c r="M54" s="216" t="str">
        <f t="shared" si="0"/>
        <v/>
      </c>
      <c r="N54" s="53"/>
      <c r="O54" s="217" t="str">
        <f t="shared" si="1"/>
        <v/>
      </c>
      <c r="P54" s="187" t="str">
        <f t="shared" si="2"/>
        <v/>
      </c>
      <c r="Q54" s="187" t="str">
        <f t="shared" si="3"/>
        <v/>
      </c>
    </row>
    <row r="55" spans="1:17" x14ac:dyDescent="0.2">
      <c r="A55" s="1644"/>
      <c r="B55" s="1058">
        <v>30</v>
      </c>
      <c r="C55" s="1654" t="s">
        <v>813</v>
      </c>
      <c r="D55" s="1655"/>
      <c r="E55" s="1655"/>
      <c r="F55" s="178">
        <v>70</v>
      </c>
      <c r="G55" s="1058">
        <v>75</v>
      </c>
      <c r="H55" s="218">
        <v>80</v>
      </c>
      <c r="I55" s="221"/>
      <c r="J55" s="214"/>
      <c r="K55" s="215"/>
      <c r="L55" s="53"/>
      <c r="M55" s="216" t="str">
        <f t="shared" si="0"/>
        <v/>
      </c>
      <c r="N55" s="53"/>
      <c r="O55" s="217" t="str">
        <f t="shared" si="1"/>
        <v/>
      </c>
      <c r="P55" s="187" t="str">
        <f t="shared" si="2"/>
        <v/>
      </c>
      <c r="Q55" s="187" t="str">
        <f t="shared" si="3"/>
        <v/>
      </c>
    </row>
    <row r="56" spans="1:17" x14ac:dyDescent="0.2">
      <c r="A56" s="1644"/>
      <c r="B56" s="1058">
        <v>31</v>
      </c>
      <c r="C56" s="1654" t="s">
        <v>814</v>
      </c>
      <c r="D56" s="1655"/>
      <c r="E56" s="1655"/>
      <c r="F56" s="178">
        <v>25</v>
      </c>
      <c r="G56" s="1058">
        <v>35</v>
      </c>
      <c r="H56" s="218">
        <v>40</v>
      </c>
      <c r="I56" s="221"/>
      <c r="J56" s="214"/>
      <c r="K56" s="215"/>
      <c r="L56" s="53"/>
      <c r="M56" s="216" t="str">
        <f t="shared" si="0"/>
        <v/>
      </c>
      <c r="N56" s="53"/>
      <c r="O56" s="217" t="str">
        <f t="shared" si="1"/>
        <v/>
      </c>
      <c r="P56" s="187" t="str">
        <f t="shared" si="2"/>
        <v/>
      </c>
      <c r="Q56" s="187" t="str">
        <f t="shared" si="3"/>
        <v/>
      </c>
    </row>
    <row r="57" spans="1:17" x14ac:dyDescent="0.2">
      <c r="A57" s="1644"/>
      <c r="B57" s="1058">
        <v>32</v>
      </c>
      <c r="C57" s="1654" t="s">
        <v>815</v>
      </c>
      <c r="D57" s="1655"/>
      <c r="E57" s="1655"/>
      <c r="F57" s="178">
        <v>35</v>
      </c>
      <c r="G57" s="1058">
        <v>40</v>
      </c>
      <c r="H57" s="218">
        <v>60</v>
      </c>
      <c r="I57" s="221"/>
      <c r="J57" s="214">
        <v>1845</v>
      </c>
      <c r="K57" s="215" t="s">
        <v>1427</v>
      </c>
      <c r="L57" s="53">
        <v>40</v>
      </c>
      <c r="M57" s="216">
        <f t="shared" si="0"/>
        <v>2.5000000000000001E-2</v>
      </c>
      <c r="N57" s="53">
        <v>40</v>
      </c>
      <c r="O57" s="217">
        <f t="shared" si="1"/>
        <v>2.5000000000000001E-2</v>
      </c>
      <c r="P57" s="187" t="str">
        <f t="shared" si="2"/>
        <v>No</v>
      </c>
      <c r="Q57" s="187" t="str">
        <f t="shared" si="3"/>
        <v>No</v>
      </c>
    </row>
    <row r="58" spans="1:17" x14ac:dyDescent="0.2">
      <c r="A58" s="1644"/>
      <c r="B58" s="1616">
        <v>33</v>
      </c>
      <c r="C58" s="1654" t="s">
        <v>816</v>
      </c>
      <c r="D58" s="1638" t="s">
        <v>770</v>
      </c>
      <c r="E58" s="1639"/>
      <c r="F58" s="178">
        <v>20</v>
      </c>
      <c r="G58" s="1058">
        <v>35</v>
      </c>
      <c r="H58" s="218">
        <v>50</v>
      </c>
      <c r="I58" s="221"/>
      <c r="J58" s="214"/>
      <c r="K58" s="215"/>
      <c r="L58" s="53"/>
      <c r="M58" s="216" t="str">
        <f t="shared" si="0"/>
        <v/>
      </c>
      <c r="N58" s="53"/>
      <c r="O58" s="217" t="str">
        <f t="shared" si="1"/>
        <v/>
      </c>
      <c r="P58" s="187" t="str">
        <f t="shared" si="2"/>
        <v/>
      </c>
      <c r="Q58" s="187" t="str">
        <f t="shared" si="3"/>
        <v/>
      </c>
    </row>
    <row r="59" spans="1:17" x14ac:dyDescent="0.2">
      <c r="A59" s="1644"/>
      <c r="B59" s="1617"/>
      <c r="C59" s="1654"/>
      <c r="D59" s="1638" t="s">
        <v>817</v>
      </c>
      <c r="E59" s="1639"/>
      <c r="F59" s="178">
        <v>20</v>
      </c>
      <c r="G59" s="1058">
        <v>35</v>
      </c>
      <c r="H59" s="218">
        <v>40</v>
      </c>
      <c r="I59" s="221"/>
      <c r="J59" s="214"/>
      <c r="K59" s="215"/>
      <c r="L59" s="53"/>
      <c r="M59" s="216" t="str">
        <f t="shared" si="0"/>
        <v/>
      </c>
      <c r="N59" s="53"/>
      <c r="O59" s="217" t="str">
        <f t="shared" si="1"/>
        <v/>
      </c>
      <c r="P59" s="187" t="str">
        <f t="shared" si="2"/>
        <v/>
      </c>
      <c r="Q59" s="187" t="str">
        <f t="shared" si="3"/>
        <v/>
      </c>
    </row>
    <row r="60" spans="1:17" x14ac:dyDescent="0.2">
      <c r="A60" s="1644"/>
      <c r="B60" s="1058">
        <v>34</v>
      </c>
      <c r="C60" s="1611" t="s">
        <v>818</v>
      </c>
      <c r="D60" s="1612"/>
      <c r="E60" s="1613"/>
      <c r="F60" s="178">
        <v>25</v>
      </c>
      <c r="G60" s="1058">
        <v>40</v>
      </c>
      <c r="H60" s="218">
        <v>45</v>
      </c>
      <c r="I60" s="221"/>
      <c r="J60" s="214"/>
      <c r="K60" s="215"/>
      <c r="L60" s="53"/>
      <c r="M60" s="216" t="str">
        <f t="shared" si="0"/>
        <v/>
      </c>
      <c r="N60" s="53"/>
      <c r="O60" s="217" t="str">
        <f t="shared" si="1"/>
        <v/>
      </c>
      <c r="P60" s="187" t="str">
        <f t="shared" si="2"/>
        <v/>
      </c>
      <c r="Q60" s="187" t="str">
        <f t="shared" si="3"/>
        <v/>
      </c>
    </row>
    <row r="61" spans="1:17" x14ac:dyDescent="0.2">
      <c r="A61" s="1644"/>
      <c r="B61" s="1058">
        <v>35</v>
      </c>
      <c r="C61" s="1611" t="s">
        <v>819</v>
      </c>
      <c r="D61" s="1612"/>
      <c r="E61" s="1613"/>
      <c r="F61" s="178">
        <v>25</v>
      </c>
      <c r="G61" s="1058">
        <v>35</v>
      </c>
      <c r="H61" s="218">
        <v>45</v>
      </c>
      <c r="I61" s="221"/>
      <c r="J61" s="214"/>
      <c r="K61" s="215"/>
      <c r="L61" s="53"/>
      <c r="M61" s="216" t="str">
        <f t="shared" si="0"/>
        <v/>
      </c>
      <c r="N61" s="53"/>
      <c r="O61" s="217" t="str">
        <f t="shared" si="1"/>
        <v/>
      </c>
      <c r="P61" s="187" t="str">
        <f t="shared" si="2"/>
        <v/>
      </c>
      <c r="Q61" s="187" t="str">
        <f t="shared" si="3"/>
        <v/>
      </c>
    </row>
    <row r="62" spans="1:17" x14ac:dyDescent="0.2">
      <c r="A62" s="1644"/>
      <c r="B62" s="1058">
        <v>36</v>
      </c>
      <c r="C62" s="1611" t="s">
        <v>820</v>
      </c>
      <c r="D62" s="1612"/>
      <c r="E62" s="1613"/>
      <c r="F62" s="178">
        <v>35</v>
      </c>
      <c r="G62" s="1058">
        <v>55</v>
      </c>
      <c r="H62" s="218">
        <v>70</v>
      </c>
      <c r="I62" s="221"/>
      <c r="J62" s="214">
        <v>1852</v>
      </c>
      <c r="K62" s="215" t="s">
        <v>1415</v>
      </c>
      <c r="L62" s="53">
        <v>60</v>
      </c>
      <c r="M62" s="216">
        <f t="shared" si="0"/>
        <v>1.6666666666666666E-2</v>
      </c>
      <c r="N62" s="53">
        <v>60</v>
      </c>
      <c r="O62" s="217">
        <f t="shared" si="1"/>
        <v>1.6666666666666666E-2</v>
      </c>
      <c r="P62" s="187" t="str">
        <f t="shared" si="2"/>
        <v>No</v>
      </c>
      <c r="Q62" s="187" t="str">
        <f t="shared" si="3"/>
        <v>No</v>
      </c>
    </row>
    <row r="63" spans="1:17" x14ac:dyDescent="0.2">
      <c r="A63" s="1644"/>
      <c r="B63" s="1616">
        <v>37</v>
      </c>
      <c r="C63" s="1618" t="s">
        <v>821</v>
      </c>
      <c r="D63" s="1638" t="s">
        <v>770</v>
      </c>
      <c r="E63" s="1639"/>
      <c r="F63" s="178">
        <v>40</v>
      </c>
      <c r="G63" s="1058">
        <v>60</v>
      </c>
      <c r="H63" s="218">
        <v>80</v>
      </c>
      <c r="I63" s="221"/>
      <c r="J63" s="214"/>
      <c r="K63" s="215"/>
      <c r="L63" s="53"/>
      <c r="M63" s="216" t="str">
        <f t="shared" si="0"/>
        <v/>
      </c>
      <c r="N63" s="53"/>
      <c r="O63" s="217" t="str">
        <f t="shared" si="1"/>
        <v/>
      </c>
      <c r="P63" s="187" t="str">
        <f t="shared" si="2"/>
        <v/>
      </c>
      <c r="Q63" s="187" t="str">
        <f t="shared" si="3"/>
        <v/>
      </c>
    </row>
    <row r="64" spans="1:17" x14ac:dyDescent="0.2">
      <c r="A64" s="1644"/>
      <c r="B64" s="1617"/>
      <c r="C64" s="1619"/>
      <c r="D64" s="1638" t="s">
        <v>822</v>
      </c>
      <c r="E64" s="1639"/>
      <c r="F64" s="178">
        <v>20</v>
      </c>
      <c r="G64" s="1058">
        <v>30</v>
      </c>
      <c r="H64" s="218">
        <v>45</v>
      </c>
      <c r="I64" s="221"/>
      <c r="J64" s="214"/>
      <c r="K64" s="215"/>
      <c r="L64" s="53"/>
      <c r="M64" s="216" t="str">
        <f t="shared" si="0"/>
        <v/>
      </c>
      <c r="N64" s="53"/>
      <c r="O64" s="217" t="str">
        <f t="shared" si="1"/>
        <v/>
      </c>
      <c r="P64" s="187" t="str">
        <f t="shared" si="2"/>
        <v/>
      </c>
      <c r="Q64" s="187" t="str">
        <f t="shared" si="3"/>
        <v/>
      </c>
    </row>
    <row r="65" spans="1:17" x14ac:dyDescent="0.2">
      <c r="A65" s="1644"/>
      <c r="B65" s="1058">
        <v>38</v>
      </c>
      <c r="C65" s="1654" t="s">
        <v>828</v>
      </c>
      <c r="D65" s="1655"/>
      <c r="E65" s="1655"/>
      <c r="F65" s="178">
        <v>20</v>
      </c>
      <c r="G65" s="1058">
        <v>35</v>
      </c>
      <c r="H65" s="218">
        <v>50</v>
      </c>
      <c r="I65" s="221"/>
      <c r="J65" s="214"/>
      <c r="K65" s="215"/>
      <c r="L65" s="53"/>
      <c r="M65" s="216" t="str">
        <f t="shared" si="0"/>
        <v/>
      </c>
      <c r="N65" s="53"/>
      <c r="O65" s="217" t="str">
        <f t="shared" si="1"/>
        <v/>
      </c>
      <c r="P65" s="187" t="str">
        <f t="shared" si="2"/>
        <v/>
      </c>
      <c r="Q65" s="187" t="str">
        <f t="shared" si="3"/>
        <v/>
      </c>
    </row>
    <row r="66" spans="1:17" x14ac:dyDescent="0.2">
      <c r="A66" s="1644"/>
      <c r="B66" s="1058">
        <v>39</v>
      </c>
      <c r="C66" s="1654" t="s">
        <v>823</v>
      </c>
      <c r="D66" s="1655"/>
      <c r="E66" s="1655"/>
      <c r="F66" s="178">
        <v>20</v>
      </c>
      <c r="G66" s="1058">
        <v>30</v>
      </c>
      <c r="H66" s="218">
        <v>45</v>
      </c>
      <c r="I66" s="221"/>
      <c r="J66" s="214">
        <v>1851</v>
      </c>
      <c r="K66" s="215" t="s">
        <v>1416</v>
      </c>
      <c r="L66" s="53">
        <v>20</v>
      </c>
      <c r="M66" s="216">
        <f t="shared" si="0"/>
        <v>0.05</v>
      </c>
      <c r="N66" s="53">
        <v>20</v>
      </c>
      <c r="O66" s="217">
        <f t="shared" si="1"/>
        <v>0.05</v>
      </c>
      <c r="P66" s="187" t="str">
        <f t="shared" si="2"/>
        <v>No</v>
      </c>
      <c r="Q66" s="187" t="str">
        <f t="shared" si="3"/>
        <v>No</v>
      </c>
    </row>
    <row r="67" spans="1:17" x14ac:dyDescent="0.2">
      <c r="A67" s="1644"/>
      <c r="B67" s="1058">
        <v>40</v>
      </c>
      <c r="C67" s="1654" t="s">
        <v>824</v>
      </c>
      <c r="D67" s="1655"/>
      <c r="E67" s="1655"/>
      <c r="F67" s="178">
        <v>30</v>
      </c>
      <c r="G67" s="1058">
        <v>50</v>
      </c>
      <c r="H67" s="218">
        <v>85</v>
      </c>
      <c r="I67" s="221"/>
      <c r="J67" s="214">
        <v>1840</v>
      </c>
      <c r="K67" s="215" t="s">
        <v>1421</v>
      </c>
      <c r="L67" s="53">
        <v>50</v>
      </c>
      <c r="M67" s="216">
        <f t="shared" si="0"/>
        <v>0.02</v>
      </c>
      <c r="N67" s="53">
        <v>50</v>
      </c>
      <c r="O67" s="217">
        <f t="shared" si="1"/>
        <v>0.02</v>
      </c>
      <c r="P67" s="187" t="str">
        <f t="shared" si="2"/>
        <v>No</v>
      </c>
      <c r="Q67" s="187" t="str">
        <f t="shared" si="3"/>
        <v>No</v>
      </c>
    </row>
    <row r="68" spans="1:17" x14ac:dyDescent="0.2">
      <c r="A68" s="1644"/>
      <c r="B68" s="1058">
        <v>41</v>
      </c>
      <c r="C68" s="1654" t="s">
        <v>825</v>
      </c>
      <c r="D68" s="1655"/>
      <c r="E68" s="1655"/>
      <c r="F68" s="178">
        <v>35</v>
      </c>
      <c r="G68" s="1058">
        <v>55</v>
      </c>
      <c r="H68" s="218">
        <v>80</v>
      </c>
      <c r="I68" s="221"/>
      <c r="J68" s="214"/>
      <c r="K68" s="215"/>
      <c r="L68" s="53"/>
      <c r="M68" s="216" t="str">
        <f t="shared" si="0"/>
        <v/>
      </c>
      <c r="N68" s="53"/>
      <c r="O68" s="217" t="str">
        <f t="shared" si="1"/>
        <v/>
      </c>
      <c r="P68" s="187" t="str">
        <f t="shared" si="2"/>
        <v/>
      </c>
      <c r="Q68" s="187" t="str">
        <f t="shared" si="3"/>
        <v/>
      </c>
    </row>
    <row r="69" spans="1:17" ht="13.5" thickBot="1" x14ac:dyDescent="0.25">
      <c r="A69" s="1645"/>
      <c r="B69" s="222">
        <v>42</v>
      </c>
      <c r="C69" s="1656" t="s">
        <v>826</v>
      </c>
      <c r="D69" s="1657"/>
      <c r="E69" s="1657"/>
      <c r="F69" s="224">
        <v>50</v>
      </c>
      <c r="G69" s="222">
        <v>60</v>
      </c>
      <c r="H69" s="223">
        <v>80</v>
      </c>
      <c r="I69" s="221"/>
      <c r="J69" s="214"/>
      <c r="K69" s="215"/>
      <c r="L69" s="53"/>
      <c r="M69" s="216" t="str">
        <f t="shared" si="0"/>
        <v/>
      </c>
      <c r="N69" s="53"/>
      <c r="O69" s="217" t="str">
        <f t="shared" si="1"/>
        <v/>
      </c>
      <c r="P69" s="187" t="str">
        <f t="shared" si="2"/>
        <v/>
      </c>
      <c r="Q69" s="187" t="str">
        <f t="shared" si="3"/>
        <v/>
      </c>
    </row>
    <row r="70" spans="1:17" ht="13.5" thickBot="1" x14ac:dyDescent="0.25">
      <c r="A70" s="225" t="s">
        <v>831</v>
      </c>
      <c r="B70" s="226">
        <v>43</v>
      </c>
      <c r="C70" s="1636" t="s">
        <v>827</v>
      </c>
      <c r="D70" s="1637"/>
      <c r="E70" s="1637"/>
      <c r="F70" s="227">
        <v>15</v>
      </c>
      <c r="G70" s="226">
        <v>20</v>
      </c>
      <c r="H70" s="228">
        <v>30</v>
      </c>
      <c r="I70" s="221"/>
      <c r="J70" s="214"/>
      <c r="K70" s="215"/>
      <c r="L70" s="53"/>
      <c r="M70" s="216" t="str">
        <f t="shared" si="0"/>
        <v/>
      </c>
      <c r="N70" s="53"/>
      <c r="O70" s="217" t="str">
        <f t="shared" si="1"/>
        <v/>
      </c>
      <c r="P70" s="187" t="str">
        <f t="shared" si="2"/>
        <v/>
      </c>
      <c r="Q70" s="187" t="str">
        <f t="shared" si="3"/>
        <v/>
      </c>
    </row>
    <row r="71" spans="1:17" x14ac:dyDescent="0.2">
      <c r="I71" s="221"/>
    </row>
    <row r="72" spans="1:17" x14ac:dyDescent="0.2">
      <c r="I72" s="221"/>
    </row>
    <row r="73" spans="1:17" ht="18" x14ac:dyDescent="0.2">
      <c r="A73" s="1629" t="s">
        <v>862</v>
      </c>
      <c r="B73" s="1629"/>
      <c r="C73" s="1629"/>
      <c r="D73" s="1629"/>
      <c r="E73" s="1629"/>
      <c r="F73" s="1629"/>
      <c r="G73" s="1629"/>
      <c r="H73" s="1629"/>
      <c r="I73" s="221"/>
    </row>
    <row r="74" spans="1:17" x14ac:dyDescent="0.2">
      <c r="I74" s="221"/>
    </row>
    <row r="75" spans="1:17" ht="30.75" customHeight="1" x14ac:dyDescent="0.2">
      <c r="B75" s="57"/>
      <c r="C75" s="1626" t="s">
        <v>799</v>
      </c>
      <c r="D75" s="1626"/>
      <c r="E75" s="1626"/>
      <c r="F75" s="1630" t="s">
        <v>834</v>
      </c>
      <c r="G75" s="1631"/>
      <c r="H75" s="1632"/>
      <c r="I75" s="221"/>
      <c r="J75" s="1627" t="s">
        <v>801</v>
      </c>
      <c r="K75" s="1627" t="s">
        <v>802</v>
      </c>
      <c r="L75" s="1625" t="s">
        <v>491</v>
      </c>
      <c r="M75" s="1625"/>
      <c r="N75" s="1623" t="s">
        <v>12</v>
      </c>
      <c r="O75" s="1624"/>
      <c r="P75" s="1625" t="s">
        <v>883</v>
      </c>
      <c r="Q75" s="1625"/>
    </row>
    <row r="76" spans="1:17" ht="30" x14ac:dyDescent="0.2">
      <c r="B76" s="1054" t="s">
        <v>777</v>
      </c>
      <c r="C76" s="1626" t="s">
        <v>778</v>
      </c>
      <c r="D76" s="1626"/>
      <c r="E76" s="1626"/>
      <c r="F76" s="1633"/>
      <c r="G76" s="1634"/>
      <c r="H76" s="1635"/>
      <c r="I76" s="221"/>
      <c r="J76" s="1628"/>
      <c r="K76" s="1628"/>
      <c r="L76" s="209" t="s">
        <v>6</v>
      </c>
      <c r="M76" s="209" t="s">
        <v>13</v>
      </c>
      <c r="N76" s="210" t="s">
        <v>6</v>
      </c>
      <c r="O76" s="229" t="s">
        <v>13</v>
      </c>
      <c r="P76" s="1053" t="s">
        <v>886</v>
      </c>
      <c r="Q76" s="1053" t="s">
        <v>887</v>
      </c>
    </row>
    <row r="77" spans="1:17" x14ac:dyDescent="0.2">
      <c r="B77" s="1058">
        <v>1</v>
      </c>
      <c r="C77" s="1611" t="s">
        <v>833</v>
      </c>
      <c r="D77" s="1612"/>
      <c r="E77" s="1613"/>
      <c r="F77" s="230">
        <v>5</v>
      </c>
      <c r="G77" s="1614">
        <v>15</v>
      </c>
      <c r="H77" s="1614"/>
      <c r="I77" s="221"/>
      <c r="J77" s="214">
        <v>1915</v>
      </c>
      <c r="K77" s="215" t="s">
        <v>1408</v>
      </c>
      <c r="L77" s="53">
        <v>10</v>
      </c>
      <c r="M77" s="216">
        <f>IF(ISERROR(1/L77), "", 1/L77)</f>
        <v>0.1</v>
      </c>
      <c r="N77" s="53">
        <v>10</v>
      </c>
      <c r="O77" s="216">
        <f>IF(ISERROR(1/N77), "", 1/N77)</f>
        <v>0.1</v>
      </c>
      <c r="P77" s="187" t="str">
        <f>IF(ISBLANK(N77),"",IF(N77&lt;F77,"Yes","No"))</f>
        <v>No</v>
      </c>
      <c r="Q77" s="187" t="str">
        <f>IF(ISBLANK(N77),"",IF(N77&gt;G77,"Yes","No"))</f>
        <v>No</v>
      </c>
    </row>
    <row r="78" spans="1:17" x14ac:dyDescent="0.2">
      <c r="B78" s="1616">
        <v>2</v>
      </c>
      <c r="C78" s="1618" t="s">
        <v>835</v>
      </c>
      <c r="D78" s="1611" t="s">
        <v>836</v>
      </c>
      <c r="E78" s="1613"/>
      <c r="F78" s="230">
        <v>5</v>
      </c>
      <c r="G78" s="1614">
        <v>15</v>
      </c>
      <c r="H78" s="1614"/>
      <c r="I78" s="221"/>
      <c r="J78" s="214">
        <v>1931</v>
      </c>
      <c r="K78" s="215" t="s">
        <v>1410</v>
      </c>
      <c r="L78" s="53">
        <v>15</v>
      </c>
      <c r="M78" s="216">
        <f t="shared" ref="M78:M101" si="4">IF(ISERROR(1/L78), "", 1/L78)</f>
        <v>6.6666666666666666E-2</v>
      </c>
      <c r="N78" s="53">
        <v>15</v>
      </c>
      <c r="O78" s="216">
        <f t="shared" ref="O78:O101" si="5">IF(ISERROR(1/N78), "", 1/N78)</f>
        <v>6.6666666666666666E-2</v>
      </c>
      <c r="P78" s="187" t="str">
        <f t="shared" ref="P78:P101" si="6">IF(ISBLANK(N78),"",IF(N78&lt;F78,"Yes","No"))</f>
        <v>No</v>
      </c>
      <c r="Q78" s="187" t="str">
        <f t="shared" ref="Q78:Q101" si="7">IF(ISBLANK(N78),"",IF(N78&gt;G78,"Yes","No"))</f>
        <v>No</v>
      </c>
    </row>
    <row r="79" spans="1:17" x14ac:dyDescent="0.2">
      <c r="B79" s="1620"/>
      <c r="C79" s="1621"/>
      <c r="D79" s="1611" t="s">
        <v>837</v>
      </c>
      <c r="E79" s="1613"/>
      <c r="F79" s="230">
        <v>5</v>
      </c>
      <c r="G79" s="1614">
        <v>20</v>
      </c>
      <c r="H79" s="1614"/>
      <c r="I79" s="221"/>
      <c r="J79" s="214">
        <v>1933</v>
      </c>
      <c r="K79" s="215" t="s">
        <v>1412</v>
      </c>
      <c r="L79" s="53">
        <v>10</v>
      </c>
      <c r="M79" s="216">
        <f t="shared" si="4"/>
        <v>0.1</v>
      </c>
      <c r="N79" s="53">
        <v>10</v>
      </c>
      <c r="O79" s="216">
        <f t="shared" si="5"/>
        <v>0.1</v>
      </c>
      <c r="P79" s="187" t="str">
        <f t="shared" si="6"/>
        <v>No</v>
      </c>
      <c r="Q79" s="187" t="str">
        <f t="shared" si="7"/>
        <v>No</v>
      </c>
    </row>
    <row r="80" spans="1:17" x14ac:dyDescent="0.2">
      <c r="B80" s="1617"/>
      <c r="C80" s="1619"/>
      <c r="D80" s="1611" t="s">
        <v>838</v>
      </c>
      <c r="E80" s="1613"/>
      <c r="F80" s="230">
        <v>5</v>
      </c>
      <c r="G80" s="1614">
        <v>10</v>
      </c>
      <c r="H80" s="1614"/>
      <c r="I80" s="221"/>
      <c r="J80" s="214">
        <v>1932</v>
      </c>
      <c r="K80" s="215" t="s">
        <v>1411</v>
      </c>
      <c r="L80" s="53">
        <v>8</v>
      </c>
      <c r="M80" s="216">
        <f t="shared" si="4"/>
        <v>0.125</v>
      </c>
      <c r="N80" s="53">
        <v>8</v>
      </c>
      <c r="O80" s="216">
        <f t="shared" si="5"/>
        <v>0.125</v>
      </c>
      <c r="P80" s="187" t="str">
        <f t="shared" si="6"/>
        <v>No</v>
      </c>
      <c r="Q80" s="187" t="str">
        <f t="shared" si="7"/>
        <v>No</v>
      </c>
    </row>
    <row r="81" spans="2:17" x14ac:dyDescent="0.2">
      <c r="B81" s="1058">
        <v>3</v>
      </c>
      <c r="C81" s="1611" t="s">
        <v>839</v>
      </c>
      <c r="D81" s="1612"/>
      <c r="E81" s="1613"/>
      <c r="F81" s="230">
        <v>50</v>
      </c>
      <c r="G81" s="1614">
        <v>75</v>
      </c>
      <c r="H81" s="1614"/>
      <c r="I81" s="221"/>
      <c r="J81" s="214"/>
      <c r="K81" s="215"/>
      <c r="L81" s="53"/>
      <c r="M81" s="216" t="str">
        <f t="shared" si="4"/>
        <v/>
      </c>
      <c r="N81" s="53"/>
      <c r="O81" s="216" t="str">
        <f t="shared" si="5"/>
        <v/>
      </c>
      <c r="P81" s="187" t="str">
        <f t="shared" si="6"/>
        <v/>
      </c>
      <c r="Q81" s="187" t="str">
        <f t="shared" si="7"/>
        <v/>
      </c>
    </row>
    <row r="82" spans="2:17" x14ac:dyDescent="0.2">
      <c r="B82" s="187">
        <v>4</v>
      </c>
      <c r="C82" s="1611" t="s">
        <v>299</v>
      </c>
      <c r="D82" s="1612"/>
      <c r="E82" s="1613"/>
      <c r="F82" s="1622" t="s">
        <v>860</v>
      </c>
      <c r="G82" s="1622"/>
      <c r="H82" s="1622"/>
      <c r="I82" s="221"/>
      <c r="J82" s="214"/>
      <c r="K82" s="215"/>
      <c r="L82" s="53"/>
      <c r="M82" s="216" t="str">
        <f t="shared" si="4"/>
        <v/>
      </c>
      <c r="N82" s="53"/>
      <c r="O82" s="216" t="str">
        <f t="shared" si="5"/>
        <v/>
      </c>
      <c r="P82" s="53"/>
      <c r="Q82" s="53"/>
    </row>
    <row r="83" spans="2:17" x14ac:dyDescent="0.2">
      <c r="B83" s="1616">
        <v>5</v>
      </c>
      <c r="C83" s="1618" t="s">
        <v>840</v>
      </c>
      <c r="D83" s="1611" t="s">
        <v>840</v>
      </c>
      <c r="E83" s="1613"/>
      <c r="F83" s="230">
        <v>50</v>
      </c>
      <c r="G83" s="1614">
        <v>75</v>
      </c>
      <c r="H83" s="1614"/>
      <c r="I83" s="221"/>
      <c r="J83" s="214">
        <v>1908</v>
      </c>
      <c r="K83" s="215" t="s">
        <v>1407</v>
      </c>
      <c r="L83" s="53">
        <v>50</v>
      </c>
      <c r="M83" s="216">
        <f t="shared" si="4"/>
        <v>0.02</v>
      </c>
      <c r="N83" s="53">
        <v>50</v>
      </c>
      <c r="O83" s="216">
        <f t="shared" si="5"/>
        <v>0.02</v>
      </c>
      <c r="P83" s="187" t="str">
        <f t="shared" si="6"/>
        <v>No</v>
      </c>
      <c r="Q83" s="187" t="str">
        <f t="shared" si="7"/>
        <v>No</v>
      </c>
    </row>
    <row r="84" spans="2:17" x14ac:dyDescent="0.2">
      <c r="B84" s="1620"/>
      <c r="C84" s="1621"/>
      <c r="D84" s="1611" t="s">
        <v>841</v>
      </c>
      <c r="E84" s="1613"/>
      <c r="F84" s="230">
        <v>25</v>
      </c>
      <c r="G84" s="1614">
        <v>30</v>
      </c>
      <c r="H84" s="1614"/>
      <c r="I84" s="221"/>
      <c r="J84" s="214"/>
      <c r="K84" s="215"/>
      <c r="L84" s="53"/>
      <c r="M84" s="216" t="str">
        <f t="shared" si="4"/>
        <v/>
      </c>
      <c r="N84" s="53"/>
      <c r="O84" s="216" t="str">
        <f t="shared" si="5"/>
        <v/>
      </c>
      <c r="P84" s="187" t="str">
        <f t="shared" si="6"/>
        <v/>
      </c>
      <c r="Q84" s="187" t="str">
        <f t="shared" si="7"/>
        <v/>
      </c>
    </row>
    <row r="85" spans="2:17" x14ac:dyDescent="0.2">
      <c r="B85" s="1620"/>
      <c r="C85" s="1621"/>
      <c r="D85" s="1611" t="s">
        <v>842</v>
      </c>
      <c r="E85" s="1613"/>
      <c r="F85" s="230">
        <v>25</v>
      </c>
      <c r="G85" s="1614">
        <v>60</v>
      </c>
      <c r="H85" s="1614"/>
      <c r="I85" s="221"/>
      <c r="J85" s="214"/>
      <c r="K85" s="215"/>
      <c r="L85" s="53"/>
      <c r="M85" s="216" t="str">
        <f t="shared" si="4"/>
        <v/>
      </c>
      <c r="N85" s="53"/>
      <c r="O85" s="216" t="str">
        <f t="shared" si="5"/>
        <v/>
      </c>
      <c r="P85" s="187" t="str">
        <f t="shared" si="6"/>
        <v/>
      </c>
      <c r="Q85" s="187" t="str">
        <f t="shared" si="7"/>
        <v/>
      </c>
    </row>
    <row r="86" spans="2:17" x14ac:dyDescent="0.2">
      <c r="B86" s="1617"/>
      <c r="C86" s="1619"/>
      <c r="D86" s="1611" t="s">
        <v>822</v>
      </c>
      <c r="E86" s="1613"/>
      <c r="F86" s="230">
        <v>20</v>
      </c>
      <c r="G86" s="1614">
        <v>30</v>
      </c>
      <c r="H86" s="1614"/>
      <c r="I86" s="221"/>
      <c r="J86" s="214"/>
      <c r="K86" s="215"/>
      <c r="L86" s="53"/>
      <c r="M86" s="216" t="str">
        <f t="shared" si="4"/>
        <v/>
      </c>
      <c r="N86" s="53"/>
      <c r="O86" s="216" t="str">
        <f t="shared" si="5"/>
        <v/>
      </c>
      <c r="P86" s="187" t="str">
        <f t="shared" si="6"/>
        <v/>
      </c>
      <c r="Q86" s="187" t="str">
        <f t="shared" si="7"/>
        <v/>
      </c>
    </row>
    <row r="87" spans="2:17" x14ac:dyDescent="0.2">
      <c r="B87" s="1616">
        <v>6</v>
      </c>
      <c r="C87" s="1618" t="s">
        <v>845</v>
      </c>
      <c r="D87" s="1611" t="s">
        <v>843</v>
      </c>
      <c r="E87" s="1613"/>
      <c r="F87" s="230">
        <v>3</v>
      </c>
      <c r="G87" s="1614">
        <v>5</v>
      </c>
      <c r="H87" s="1614"/>
      <c r="I87" s="221"/>
      <c r="J87" s="214">
        <v>1920</v>
      </c>
      <c r="K87" s="215" t="s">
        <v>215</v>
      </c>
      <c r="L87" s="53">
        <v>5</v>
      </c>
      <c r="M87" s="216">
        <f t="shared" si="4"/>
        <v>0.2</v>
      </c>
      <c r="N87" s="53">
        <v>5</v>
      </c>
      <c r="O87" s="216">
        <f t="shared" si="5"/>
        <v>0.2</v>
      </c>
      <c r="P87" s="187" t="str">
        <f t="shared" si="6"/>
        <v>No</v>
      </c>
      <c r="Q87" s="187" t="str">
        <f t="shared" si="7"/>
        <v>No</v>
      </c>
    </row>
    <row r="88" spans="2:17" x14ac:dyDescent="0.2">
      <c r="B88" s="1617"/>
      <c r="C88" s="1619"/>
      <c r="D88" s="1611" t="s">
        <v>844</v>
      </c>
      <c r="E88" s="1613"/>
      <c r="F88" s="230">
        <v>2</v>
      </c>
      <c r="G88" s="1614">
        <v>5</v>
      </c>
      <c r="H88" s="1614"/>
      <c r="I88" s="221"/>
      <c r="J88" s="214">
        <v>1925</v>
      </c>
      <c r="K88" s="215" t="s">
        <v>1409</v>
      </c>
      <c r="L88" s="53">
        <v>5</v>
      </c>
      <c r="M88" s="216">
        <f t="shared" si="4"/>
        <v>0.2</v>
      </c>
      <c r="N88" s="53">
        <v>5</v>
      </c>
      <c r="O88" s="216">
        <f t="shared" si="5"/>
        <v>0.2</v>
      </c>
      <c r="P88" s="187" t="str">
        <f t="shared" si="6"/>
        <v>No</v>
      </c>
      <c r="Q88" s="187" t="str">
        <f t="shared" si="7"/>
        <v>No</v>
      </c>
    </row>
    <row r="89" spans="2:17" x14ac:dyDescent="0.2">
      <c r="B89" s="1616">
        <v>7</v>
      </c>
      <c r="C89" s="1618" t="s">
        <v>852</v>
      </c>
      <c r="D89" s="1611" t="s">
        <v>846</v>
      </c>
      <c r="E89" s="1613"/>
      <c r="F89" s="230">
        <v>5</v>
      </c>
      <c r="G89" s="1614">
        <v>10</v>
      </c>
      <c r="H89" s="1614"/>
      <c r="I89" s="221"/>
      <c r="J89" s="214"/>
      <c r="K89" s="215"/>
      <c r="L89" s="53"/>
      <c r="M89" s="216" t="str">
        <f t="shared" si="4"/>
        <v/>
      </c>
      <c r="N89" s="53"/>
      <c r="O89" s="216" t="str">
        <f t="shared" si="5"/>
        <v/>
      </c>
      <c r="P89" s="187" t="str">
        <f t="shared" si="6"/>
        <v/>
      </c>
      <c r="Q89" s="187" t="str">
        <f t="shared" si="7"/>
        <v/>
      </c>
    </row>
    <row r="90" spans="2:17" x14ac:dyDescent="0.2">
      <c r="B90" s="1620"/>
      <c r="C90" s="1621"/>
      <c r="D90" s="1611" t="s">
        <v>847</v>
      </c>
      <c r="E90" s="1613"/>
      <c r="F90" s="230">
        <v>5</v>
      </c>
      <c r="G90" s="1614">
        <v>10</v>
      </c>
      <c r="H90" s="1614"/>
      <c r="I90" s="221"/>
      <c r="J90" s="214"/>
      <c r="K90" s="215"/>
      <c r="L90" s="53"/>
      <c r="M90" s="216" t="str">
        <f t="shared" si="4"/>
        <v/>
      </c>
      <c r="N90" s="53"/>
      <c r="O90" s="216" t="str">
        <f t="shared" si="5"/>
        <v/>
      </c>
      <c r="P90" s="187" t="str">
        <f t="shared" si="6"/>
        <v/>
      </c>
      <c r="Q90" s="187" t="str">
        <f t="shared" si="7"/>
        <v/>
      </c>
    </row>
    <row r="91" spans="2:17" x14ac:dyDescent="0.2">
      <c r="B91" s="1620"/>
      <c r="C91" s="1621"/>
      <c r="D91" s="1611" t="s">
        <v>848</v>
      </c>
      <c r="E91" s="1613"/>
      <c r="F91" s="230">
        <v>5</v>
      </c>
      <c r="G91" s="1614">
        <v>10</v>
      </c>
      <c r="H91" s="1614"/>
      <c r="I91" s="221"/>
      <c r="J91" s="214">
        <v>1940</v>
      </c>
      <c r="K91" s="215" t="s">
        <v>288</v>
      </c>
      <c r="L91" s="53">
        <v>10</v>
      </c>
      <c r="M91" s="216">
        <f t="shared" si="4"/>
        <v>0.1</v>
      </c>
      <c r="N91" s="53">
        <v>10</v>
      </c>
      <c r="O91" s="216">
        <f t="shared" si="5"/>
        <v>0.1</v>
      </c>
      <c r="P91" s="187" t="str">
        <f t="shared" si="6"/>
        <v>No</v>
      </c>
      <c r="Q91" s="187" t="str">
        <f t="shared" si="7"/>
        <v>No</v>
      </c>
    </row>
    <row r="92" spans="2:17" x14ac:dyDescent="0.2">
      <c r="B92" s="1617"/>
      <c r="C92" s="1619"/>
      <c r="D92" s="1611" t="s">
        <v>289</v>
      </c>
      <c r="E92" s="1613"/>
      <c r="F92" s="230">
        <v>5</v>
      </c>
      <c r="G92" s="1614">
        <v>10</v>
      </c>
      <c r="H92" s="1614"/>
      <c r="I92" s="221"/>
      <c r="J92" s="214"/>
      <c r="K92" s="215"/>
      <c r="L92" s="53"/>
      <c r="M92" s="216" t="str">
        <f t="shared" si="4"/>
        <v/>
      </c>
      <c r="N92" s="53"/>
      <c r="O92" s="216" t="str">
        <f t="shared" si="5"/>
        <v/>
      </c>
      <c r="P92" s="187" t="str">
        <f t="shared" si="6"/>
        <v/>
      </c>
      <c r="Q92" s="187" t="str">
        <f t="shared" si="7"/>
        <v/>
      </c>
    </row>
    <row r="93" spans="2:17" x14ac:dyDescent="0.2">
      <c r="B93" s="1616">
        <v>8</v>
      </c>
      <c r="C93" s="1618" t="s">
        <v>851</v>
      </c>
      <c r="D93" s="1611" t="s">
        <v>849</v>
      </c>
      <c r="E93" s="1613"/>
      <c r="F93" s="230">
        <v>60</v>
      </c>
      <c r="G93" s="1614">
        <v>70</v>
      </c>
      <c r="H93" s="1614"/>
      <c r="I93" s="221"/>
      <c r="J93" s="214"/>
      <c r="K93" s="215"/>
      <c r="L93" s="53"/>
      <c r="M93" s="216" t="str">
        <f t="shared" si="4"/>
        <v/>
      </c>
      <c r="N93" s="53"/>
      <c r="O93" s="216" t="str">
        <f t="shared" si="5"/>
        <v/>
      </c>
      <c r="P93" s="187" t="str">
        <f t="shared" si="6"/>
        <v/>
      </c>
      <c r="Q93" s="187" t="str">
        <f t="shared" si="7"/>
        <v/>
      </c>
    </row>
    <row r="94" spans="2:17" x14ac:dyDescent="0.2">
      <c r="B94" s="1617"/>
      <c r="C94" s="1619"/>
      <c r="D94" s="1611" t="s">
        <v>850</v>
      </c>
      <c r="E94" s="1613"/>
      <c r="F94" s="230">
        <v>2</v>
      </c>
      <c r="G94" s="1614">
        <v>10</v>
      </c>
      <c r="H94" s="1614"/>
      <c r="I94" s="221"/>
      <c r="J94" s="214">
        <v>1955</v>
      </c>
      <c r="K94" s="215" t="s">
        <v>1413</v>
      </c>
      <c r="L94" s="53">
        <v>10</v>
      </c>
      <c r="M94" s="216">
        <f t="shared" si="4"/>
        <v>0.1</v>
      </c>
      <c r="N94" s="53">
        <v>10</v>
      </c>
      <c r="O94" s="216">
        <f t="shared" si="5"/>
        <v>0.1</v>
      </c>
      <c r="P94" s="187" t="str">
        <f t="shared" si="6"/>
        <v>No</v>
      </c>
      <c r="Q94" s="187" t="str">
        <f t="shared" si="7"/>
        <v>No</v>
      </c>
    </row>
    <row r="95" spans="2:17" x14ac:dyDescent="0.2">
      <c r="B95" s="187">
        <v>9</v>
      </c>
      <c r="C95" s="1611" t="s">
        <v>853</v>
      </c>
      <c r="D95" s="1612"/>
      <c r="E95" s="1613"/>
      <c r="F95" s="230">
        <v>25</v>
      </c>
      <c r="G95" s="1614">
        <v>35</v>
      </c>
      <c r="H95" s="1614"/>
      <c r="I95" s="221"/>
      <c r="J95" s="214"/>
      <c r="K95" s="215"/>
      <c r="L95" s="53"/>
      <c r="M95" s="216" t="str">
        <f t="shared" si="4"/>
        <v/>
      </c>
      <c r="N95" s="53"/>
      <c r="O95" s="216" t="str">
        <f t="shared" si="5"/>
        <v/>
      </c>
      <c r="P95" s="187" t="str">
        <f t="shared" si="6"/>
        <v/>
      </c>
      <c r="Q95" s="187" t="str">
        <f t="shared" si="7"/>
        <v/>
      </c>
    </row>
    <row r="96" spans="2:17" x14ac:dyDescent="0.2">
      <c r="B96" s="187">
        <v>10</v>
      </c>
      <c r="C96" s="1611" t="s">
        <v>854</v>
      </c>
      <c r="D96" s="1612"/>
      <c r="E96" s="1613"/>
      <c r="F96" s="230">
        <v>25</v>
      </c>
      <c r="G96" s="1614">
        <v>35</v>
      </c>
      <c r="H96" s="1614"/>
      <c r="I96" s="221"/>
      <c r="J96" s="214">
        <v>1862</v>
      </c>
      <c r="K96" s="215" t="s">
        <v>1397</v>
      </c>
      <c r="L96" s="53">
        <v>15</v>
      </c>
      <c r="M96" s="216">
        <f t="shared" si="4"/>
        <v>6.6666666666666666E-2</v>
      </c>
      <c r="N96" s="53">
        <v>15</v>
      </c>
      <c r="O96" s="216">
        <f t="shared" si="5"/>
        <v>6.6666666666666666E-2</v>
      </c>
      <c r="P96" s="187" t="str">
        <f t="shared" si="6"/>
        <v>Yes</v>
      </c>
      <c r="Q96" s="187" t="str">
        <f t="shared" si="7"/>
        <v>No</v>
      </c>
    </row>
    <row r="97" spans="1:17" x14ac:dyDescent="0.2">
      <c r="B97" s="187">
        <v>11</v>
      </c>
      <c r="C97" s="1611" t="s">
        <v>855</v>
      </c>
      <c r="D97" s="1612"/>
      <c r="E97" s="1613"/>
      <c r="F97" s="230">
        <v>15</v>
      </c>
      <c r="G97" s="1614">
        <v>30</v>
      </c>
      <c r="H97" s="1614"/>
      <c r="I97" s="221"/>
      <c r="J97" s="214">
        <v>1863</v>
      </c>
      <c r="K97" s="215" t="s">
        <v>1398</v>
      </c>
      <c r="L97" s="53">
        <v>15</v>
      </c>
      <c r="M97" s="216">
        <f t="shared" si="4"/>
        <v>6.6666666666666666E-2</v>
      </c>
      <c r="N97" s="53">
        <v>15</v>
      </c>
      <c r="O97" s="216">
        <f t="shared" si="5"/>
        <v>6.6666666666666666E-2</v>
      </c>
      <c r="P97" s="187" t="str">
        <f t="shared" si="6"/>
        <v>No</v>
      </c>
      <c r="Q97" s="187" t="str">
        <f t="shared" si="7"/>
        <v>No</v>
      </c>
    </row>
    <row r="98" spans="1:17" x14ac:dyDescent="0.2">
      <c r="B98" s="187">
        <v>12</v>
      </c>
      <c r="C98" s="1611" t="s">
        <v>856</v>
      </c>
      <c r="D98" s="1612"/>
      <c r="E98" s="1613"/>
      <c r="F98" s="230">
        <v>35</v>
      </c>
      <c r="G98" s="1614">
        <v>50</v>
      </c>
      <c r="H98" s="1614"/>
      <c r="I98" s="221"/>
      <c r="J98" s="214">
        <v>1864</v>
      </c>
      <c r="K98" s="215" t="s">
        <v>1399</v>
      </c>
      <c r="L98" s="53">
        <v>40</v>
      </c>
      <c r="M98" s="216">
        <f t="shared" si="4"/>
        <v>2.5000000000000001E-2</v>
      </c>
      <c r="N98" s="53">
        <v>40</v>
      </c>
      <c r="O98" s="216">
        <f t="shared" si="5"/>
        <v>2.5000000000000001E-2</v>
      </c>
      <c r="P98" s="187" t="str">
        <f t="shared" si="6"/>
        <v>No</v>
      </c>
      <c r="Q98" s="187" t="str">
        <f t="shared" si="7"/>
        <v>No</v>
      </c>
    </row>
    <row r="99" spans="1:17" x14ac:dyDescent="0.2">
      <c r="B99" s="187">
        <v>13</v>
      </c>
      <c r="C99" s="1611" t="s">
        <v>857</v>
      </c>
      <c r="D99" s="1612"/>
      <c r="E99" s="1613"/>
      <c r="F99" s="230">
        <v>5</v>
      </c>
      <c r="G99" s="1614">
        <v>15</v>
      </c>
      <c r="H99" s="1614"/>
      <c r="I99" s="221"/>
      <c r="J99" s="214">
        <v>1861</v>
      </c>
      <c r="K99" s="215" t="s">
        <v>1414</v>
      </c>
      <c r="L99" s="53">
        <v>10</v>
      </c>
      <c r="M99" s="216">
        <f t="shared" si="4"/>
        <v>0.1</v>
      </c>
      <c r="N99" s="53">
        <v>10</v>
      </c>
      <c r="O99" s="216">
        <f t="shared" si="5"/>
        <v>0.1</v>
      </c>
      <c r="P99" s="187" t="str">
        <f t="shared" si="6"/>
        <v>No</v>
      </c>
      <c r="Q99" s="187" t="str">
        <f t="shared" si="7"/>
        <v>No</v>
      </c>
    </row>
    <row r="100" spans="1:17" x14ac:dyDescent="0.2">
      <c r="B100" s="187">
        <v>14</v>
      </c>
      <c r="C100" s="1611" t="s">
        <v>858</v>
      </c>
      <c r="D100" s="1612"/>
      <c r="E100" s="1613"/>
      <c r="F100" s="230">
        <v>10</v>
      </c>
      <c r="G100" s="1614">
        <v>15</v>
      </c>
      <c r="H100" s="1614"/>
      <c r="I100" s="221"/>
      <c r="J100" s="214"/>
      <c r="K100" s="215"/>
      <c r="L100" s="53"/>
      <c r="M100" s="216" t="str">
        <f t="shared" si="4"/>
        <v/>
      </c>
      <c r="N100" s="53"/>
      <c r="O100" s="216" t="str">
        <f t="shared" si="5"/>
        <v/>
      </c>
      <c r="P100" s="187" t="str">
        <f t="shared" si="6"/>
        <v/>
      </c>
      <c r="Q100" s="187" t="str">
        <f t="shared" si="7"/>
        <v/>
      </c>
    </row>
    <row r="101" spans="1:17" x14ac:dyDescent="0.2">
      <c r="B101" s="187">
        <v>15</v>
      </c>
      <c r="C101" s="1611" t="s">
        <v>859</v>
      </c>
      <c r="D101" s="1612"/>
      <c r="E101" s="1613"/>
      <c r="F101" s="230">
        <v>15</v>
      </c>
      <c r="G101" s="1614">
        <v>20</v>
      </c>
      <c r="H101" s="1614"/>
      <c r="I101" s="221"/>
      <c r="J101" s="214"/>
      <c r="K101" s="215"/>
      <c r="L101" s="53"/>
      <c r="M101" s="216" t="str">
        <f t="shared" si="4"/>
        <v/>
      </c>
      <c r="N101" s="53"/>
      <c r="O101" s="216" t="str">
        <f t="shared" si="5"/>
        <v/>
      </c>
      <c r="P101" s="187" t="str">
        <f t="shared" si="6"/>
        <v/>
      </c>
      <c r="Q101" s="187" t="str">
        <f t="shared" si="7"/>
        <v/>
      </c>
    </row>
    <row r="104" spans="1:17" x14ac:dyDescent="0.2">
      <c r="A104" s="1615" t="s">
        <v>832</v>
      </c>
      <c r="B104" s="1615"/>
      <c r="C104" s="1615"/>
      <c r="D104" s="1615"/>
      <c r="E104" s="1615"/>
      <c r="F104" s="1615"/>
      <c r="G104" s="1615"/>
      <c r="H104" s="1615"/>
    </row>
    <row r="105" spans="1:17" x14ac:dyDescent="0.2">
      <c r="A105" s="1065"/>
      <c r="B105" s="1065"/>
      <c r="C105" s="1065"/>
      <c r="D105" s="1065"/>
      <c r="E105" s="1065"/>
      <c r="F105" s="1065"/>
      <c r="G105" s="1065"/>
      <c r="H105" s="1065"/>
    </row>
    <row r="106" spans="1:17" x14ac:dyDescent="0.2">
      <c r="A106" s="152" t="s">
        <v>803</v>
      </c>
      <c r="B106" s="56" t="s">
        <v>864</v>
      </c>
    </row>
    <row r="107" spans="1:17" x14ac:dyDescent="0.2">
      <c r="B107" s="231" t="s">
        <v>863</v>
      </c>
    </row>
    <row r="110" spans="1:17" x14ac:dyDescent="0.2">
      <c r="A110" s="231"/>
    </row>
  </sheetData>
  <mergeCells count="156">
    <mergeCell ref="P1:Q1"/>
    <mergeCell ref="P2:Q2"/>
    <mergeCell ref="P3:Q3"/>
    <mergeCell ref="P4:Q4"/>
    <mergeCell ref="P5:Q5"/>
    <mergeCell ref="P7:Q7"/>
    <mergeCell ref="L15:M15"/>
    <mergeCell ref="N15:O15"/>
    <mergeCell ref="C32:E32"/>
    <mergeCell ref="C15:E15"/>
    <mergeCell ref="F15:H15"/>
    <mergeCell ref="J15:J16"/>
    <mergeCell ref="K15:K16"/>
    <mergeCell ref="A9:Q9"/>
    <mergeCell ref="A10:Q10"/>
    <mergeCell ref="A11:Q11"/>
    <mergeCell ref="P15:Q15"/>
    <mergeCell ref="C16:E16"/>
    <mergeCell ref="D36:E36"/>
    <mergeCell ref="C37:E37"/>
    <mergeCell ref="C38:E38"/>
    <mergeCell ref="A17:A33"/>
    <mergeCell ref="B17:B19"/>
    <mergeCell ref="C17:C19"/>
    <mergeCell ref="D17:E17"/>
    <mergeCell ref="D18:D19"/>
    <mergeCell ref="C26:E26"/>
    <mergeCell ref="C27:E27"/>
    <mergeCell ref="C28:E28"/>
    <mergeCell ref="C29:E29"/>
    <mergeCell ref="C30:E30"/>
    <mergeCell ref="C31:E31"/>
    <mergeCell ref="B20:B22"/>
    <mergeCell ref="C20:C22"/>
    <mergeCell ref="D20:E20"/>
    <mergeCell ref="D21:D22"/>
    <mergeCell ref="B23:B25"/>
    <mergeCell ref="C23:C25"/>
    <mergeCell ref="D23:E23"/>
    <mergeCell ref="D24:D25"/>
    <mergeCell ref="C33:E33"/>
    <mergeCell ref="C49:E49"/>
    <mergeCell ref="C57:E57"/>
    <mergeCell ref="B58:B59"/>
    <mergeCell ref="C58:C59"/>
    <mergeCell ref="D58:E58"/>
    <mergeCell ref="D59:E59"/>
    <mergeCell ref="B39:B41"/>
    <mergeCell ref="C39:C41"/>
    <mergeCell ref="D39:E39"/>
    <mergeCell ref="D40:E40"/>
    <mergeCell ref="D41:E41"/>
    <mergeCell ref="B42:B43"/>
    <mergeCell ref="D42:E42"/>
    <mergeCell ref="D43:E43"/>
    <mergeCell ref="C60:E60"/>
    <mergeCell ref="C50:E50"/>
    <mergeCell ref="A51:A69"/>
    <mergeCell ref="C51:E51"/>
    <mergeCell ref="C52:E52"/>
    <mergeCell ref="C53:E53"/>
    <mergeCell ref="C54:E54"/>
    <mergeCell ref="C55:E55"/>
    <mergeCell ref="C56:E56"/>
    <mergeCell ref="C65:E65"/>
    <mergeCell ref="C66:E66"/>
    <mergeCell ref="C67:E67"/>
    <mergeCell ref="C68:E68"/>
    <mergeCell ref="C69:E69"/>
    <mergeCell ref="A34:A50"/>
    <mergeCell ref="B34:B36"/>
    <mergeCell ref="C34:C36"/>
    <mergeCell ref="D34:E34"/>
    <mergeCell ref="D35:E35"/>
    <mergeCell ref="C44:E44"/>
    <mergeCell ref="C45:E45"/>
    <mergeCell ref="C46:E46"/>
    <mergeCell ref="C47:E47"/>
    <mergeCell ref="C48:E48"/>
    <mergeCell ref="A73:H73"/>
    <mergeCell ref="C75:E75"/>
    <mergeCell ref="F75:H76"/>
    <mergeCell ref="J75:J76"/>
    <mergeCell ref="G79:H79"/>
    <mergeCell ref="D80:E80"/>
    <mergeCell ref="G80:H80"/>
    <mergeCell ref="C70:E70"/>
    <mergeCell ref="C61:E61"/>
    <mergeCell ref="C62:E62"/>
    <mergeCell ref="B63:B64"/>
    <mergeCell ref="C63:C64"/>
    <mergeCell ref="D63:E63"/>
    <mergeCell ref="D64:E64"/>
    <mergeCell ref="B78:B80"/>
    <mergeCell ref="C78:C80"/>
    <mergeCell ref="D78:E78"/>
    <mergeCell ref="C81:E81"/>
    <mergeCell ref="G81:H81"/>
    <mergeCell ref="C82:E82"/>
    <mergeCell ref="F82:H82"/>
    <mergeCell ref="N75:O75"/>
    <mergeCell ref="P75:Q75"/>
    <mergeCell ref="C76:E76"/>
    <mergeCell ref="C77:E77"/>
    <mergeCell ref="G77:H77"/>
    <mergeCell ref="K75:K76"/>
    <mergeCell ref="L75:M75"/>
    <mergeCell ref="G78:H78"/>
    <mergeCell ref="D79:E79"/>
    <mergeCell ref="B87:B88"/>
    <mergeCell ref="C87:C88"/>
    <mergeCell ref="D87:E87"/>
    <mergeCell ref="G87:H87"/>
    <mergeCell ref="D88:E88"/>
    <mergeCell ref="G88:H88"/>
    <mergeCell ref="B83:B86"/>
    <mergeCell ref="C83:C86"/>
    <mergeCell ref="D83:E83"/>
    <mergeCell ref="G83:H83"/>
    <mergeCell ref="D84:E84"/>
    <mergeCell ref="G84:H84"/>
    <mergeCell ref="D85:E85"/>
    <mergeCell ref="G85:H85"/>
    <mergeCell ref="D86:E86"/>
    <mergeCell ref="G86:H86"/>
    <mergeCell ref="B89:B92"/>
    <mergeCell ref="C89:C92"/>
    <mergeCell ref="D89:E89"/>
    <mergeCell ref="G89:H89"/>
    <mergeCell ref="D90:E90"/>
    <mergeCell ref="G90:H90"/>
    <mergeCell ref="D91:E91"/>
    <mergeCell ref="G91:H91"/>
    <mergeCell ref="D92:E92"/>
    <mergeCell ref="G92:H92"/>
    <mergeCell ref="C95:E95"/>
    <mergeCell ref="G95:H95"/>
    <mergeCell ref="C96:E96"/>
    <mergeCell ref="G96:H96"/>
    <mergeCell ref="C97:E97"/>
    <mergeCell ref="G97:H97"/>
    <mergeCell ref="B93:B94"/>
    <mergeCell ref="C93:C94"/>
    <mergeCell ref="D93:E93"/>
    <mergeCell ref="G93:H93"/>
    <mergeCell ref="D94:E94"/>
    <mergeCell ref="G94:H94"/>
    <mergeCell ref="C101:E101"/>
    <mergeCell ref="G101:H101"/>
    <mergeCell ref="A104:H104"/>
    <mergeCell ref="C98:E98"/>
    <mergeCell ref="G98:H98"/>
    <mergeCell ref="C99:E99"/>
    <mergeCell ref="G99:H99"/>
    <mergeCell ref="C100:E100"/>
    <mergeCell ref="G100:H100"/>
  </mergeCells>
  <conditionalFormatting sqref="P77:Q101 P17:Q70">
    <cfRule type="cellIs" dxfId="396" priority="1" operator="equal">
      <formula>"Yes"</formula>
    </cfRule>
  </conditionalFormatting>
  <hyperlinks>
    <hyperlink ref="B107" display="See pages 17-19 of Kinetrics Report"/>
  </hyperlinks>
  <pageMargins left="0.7" right="0.7" top="0.75" bottom="0.75" header="0.3" footer="0.3"/>
  <pageSetup scale="41" orientation="portrait" r:id="rId1"/>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39">
    <tabColor rgb="FF00B0F0"/>
    <pageSetUpPr fitToPage="1"/>
  </sheetPr>
  <dimension ref="A1:N67"/>
  <sheetViews>
    <sheetView showGridLines="0" view="pageBreakPreview" zoomScale="60" zoomScaleNormal="100" workbookViewId="0">
      <selection activeCell="L1" sqref="L1"/>
    </sheetView>
  </sheetViews>
  <sheetFormatPr defaultRowHeight="12.75" x14ac:dyDescent="0.2"/>
  <cols>
    <col min="1" max="1" width="9.140625" style="52"/>
    <col min="2" max="2" width="42" style="52" customWidth="1"/>
    <col min="3" max="5" width="12.85546875" style="232" customWidth="1"/>
    <col min="6" max="6" width="10" style="232" customWidth="1"/>
    <col min="7" max="7" width="19.42578125" style="232" customWidth="1"/>
    <col min="8" max="8" width="7.7109375" style="242" customWidth="1"/>
    <col min="9" max="9" width="12.28515625" style="52" customWidth="1"/>
    <col min="10" max="10" width="12.7109375" style="232" customWidth="1"/>
    <col min="11" max="11" width="17.28515625" style="232" customWidth="1"/>
    <col min="12" max="12" width="15" style="232" customWidth="1"/>
    <col min="13" max="257" width="9.140625" style="52"/>
    <col min="258" max="258" width="2.7109375" style="52" customWidth="1"/>
    <col min="259" max="259" width="9.140625" style="52"/>
    <col min="260" max="260" width="40.28515625" style="52" bestFit="1" customWidth="1"/>
    <col min="261" max="261" width="12.85546875" style="52" customWidth="1"/>
    <col min="262" max="262" width="10" style="52" customWidth="1"/>
    <col min="263" max="263" width="19.42578125" style="52" customWidth="1"/>
    <col min="264" max="264" width="7.7109375" style="52" customWidth="1"/>
    <col min="265" max="265" width="12.28515625" style="52" customWidth="1"/>
    <col min="266" max="266" width="12.7109375" style="52" customWidth="1"/>
    <col min="267" max="267" width="13.5703125" style="52" customWidth="1"/>
    <col min="268" max="268" width="11.85546875" style="52" customWidth="1"/>
    <col min="269" max="513" width="9.140625" style="52"/>
    <col min="514" max="514" width="2.7109375" style="52" customWidth="1"/>
    <col min="515" max="515" width="9.140625" style="52"/>
    <col min="516" max="516" width="40.28515625" style="52" bestFit="1" customWidth="1"/>
    <col min="517" max="517" width="12.85546875" style="52" customWidth="1"/>
    <col min="518" max="518" width="10" style="52" customWidth="1"/>
    <col min="519" max="519" width="19.42578125" style="52" customWidth="1"/>
    <col min="520" max="520" width="7.7109375" style="52" customWidth="1"/>
    <col min="521" max="521" width="12.28515625" style="52" customWidth="1"/>
    <col min="522" max="522" width="12.7109375" style="52" customWidth="1"/>
    <col min="523" max="523" width="13.5703125" style="52" customWidth="1"/>
    <col min="524" max="524" width="11.85546875" style="52" customWidth="1"/>
    <col min="525" max="769" width="9.140625" style="52"/>
    <col min="770" max="770" width="2.7109375" style="52" customWidth="1"/>
    <col min="771" max="771" width="9.140625" style="52"/>
    <col min="772" max="772" width="40.28515625" style="52" bestFit="1" customWidth="1"/>
    <col min="773" max="773" width="12.85546875" style="52" customWidth="1"/>
    <col min="774" max="774" width="10" style="52" customWidth="1"/>
    <col min="775" max="775" width="19.42578125" style="52" customWidth="1"/>
    <col min="776" max="776" width="7.7109375" style="52" customWidth="1"/>
    <col min="777" max="777" width="12.28515625" style="52" customWidth="1"/>
    <col min="778" max="778" width="12.7109375" style="52" customWidth="1"/>
    <col min="779" max="779" width="13.5703125" style="52" customWidth="1"/>
    <col min="780" max="780" width="11.85546875" style="52" customWidth="1"/>
    <col min="781" max="1025" width="9.140625" style="52"/>
    <col min="1026" max="1026" width="2.7109375" style="52" customWidth="1"/>
    <col min="1027" max="1027" width="9.140625" style="52"/>
    <col min="1028" max="1028" width="40.28515625" style="52" bestFit="1" customWidth="1"/>
    <col min="1029" max="1029" width="12.85546875" style="52" customWidth="1"/>
    <col min="1030" max="1030" width="10" style="52" customWidth="1"/>
    <col min="1031" max="1031" width="19.42578125" style="52" customWidth="1"/>
    <col min="1032" max="1032" width="7.7109375" style="52" customWidth="1"/>
    <col min="1033" max="1033" width="12.28515625" style="52" customWidth="1"/>
    <col min="1034" max="1034" width="12.7109375" style="52" customWidth="1"/>
    <col min="1035" max="1035" width="13.5703125" style="52" customWidth="1"/>
    <col min="1036" max="1036" width="11.85546875" style="52" customWidth="1"/>
    <col min="1037" max="1281" width="9.140625" style="52"/>
    <col min="1282" max="1282" width="2.7109375" style="52" customWidth="1"/>
    <col min="1283" max="1283" width="9.140625" style="52"/>
    <col min="1284" max="1284" width="40.28515625" style="52" bestFit="1" customWidth="1"/>
    <col min="1285" max="1285" width="12.85546875" style="52" customWidth="1"/>
    <col min="1286" max="1286" width="10" style="52" customWidth="1"/>
    <col min="1287" max="1287" width="19.42578125" style="52" customWidth="1"/>
    <col min="1288" max="1288" width="7.7109375" style="52" customWidth="1"/>
    <col min="1289" max="1289" width="12.28515625" style="52" customWidth="1"/>
    <col min="1290" max="1290" width="12.7109375" style="52" customWidth="1"/>
    <col min="1291" max="1291" width="13.5703125" style="52" customWidth="1"/>
    <col min="1292" max="1292" width="11.85546875" style="52" customWidth="1"/>
    <col min="1293" max="1537" width="9.140625" style="52"/>
    <col min="1538" max="1538" width="2.7109375" style="52" customWidth="1"/>
    <col min="1539" max="1539" width="9.140625" style="52"/>
    <col min="1540" max="1540" width="40.28515625" style="52" bestFit="1" customWidth="1"/>
    <col min="1541" max="1541" width="12.85546875" style="52" customWidth="1"/>
    <col min="1542" max="1542" width="10" style="52" customWidth="1"/>
    <col min="1543" max="1543" width="19.42578125" style="52" customWidth="1"/>
    <col min="1544" max="1544" width="7.7109375" style="52" customWidth="1"/>
    <col min="1545" max="1545" width="12.28515625" style="52" customWidth="1"/>
    <col min="1546" max="1546" width="12.7109375" style="52" customWidth="1"/>
    <col min="1547" max="1547" width="13.5703125" style="52" customWidth="1"/>
    <col min="1548" max="1548" width="11.85546875" style="52" customWidth="1"/>
    <col min="1549" max="1793" width="9.140625" style="52"/>
    <col min="1794" max="1794" width="2.7109375" style="52" customWidth="1"/>
    <col min="1795" max="1795" width="9.140625" style="52"/>
    <col min="1796" max="1796" width="40.28515625" style="52" bestFit="1" customWidth="1"/>
    <col min="1797" max="1797" width="12.85546875" style="52" customWidth="1"/>
    <col min="1798" max="1798" width="10" style="52" customWidth="1"/>
    <col min="1799" max="1799" width="19.42578125" style="52" customWidth="1"/>
    <col min="1800" max="1800" width="7.7109375" style="52" customWidth="1"/>
    <col min="1801" max="1801" width="12.28515625" style="52" customWidth="1"/>
    <col min="1802" max="1802" width="12.7109375" style="52" customWidth="1"/>
    <col min="1803" max="1803" width="13.5703125" style="52" customWidth="1"/>
    <col min="1804" max="1804" width="11.85546875" style="52" customWidth="1"/>
    <col min="1805" max="2049" width="9.140625" style="52"/>
    <col min="2050" max="2050" width="2.7109375" style="52" customWidth="1"/>
    <col min="2051" max="2051" width="9.140625" style="52"/>
    <col min="2052" max="2052" width="40.28515625" style="52" bestFit="1" customWidth="1"/>
    <col min="2053" max="2053" width="12.85546875" style="52" customWidth="1"/>
    <col min="2054" max="2054" width="10" style="52" customWidth="1"/>
    <col min="2055" max="2055" width="19.42578125" style="52" customWidth="1"/>
    <col min="2056" max="2056" width="7.7109375" style="52" customWidth="1"/>
    <col min="2057" max="2057" width="12.28515625" style="52" customWidth="1"/>
    <col min="2058" max="2058" width="12.7109375" style="52" customWidth="1"/>
    <col min="2059" max="2059" width="13.5703125" style="52" customWidth="1"/>
    <col min="2060" max="2060" width="11.85546875" style="52" customWidth="1"/>
    <col min="2061" max="2305" width="9.140625" style="52"/>
    <col min="2306" max="2306" width="2.7109375" style="52" customWidth="1"/>
    <col min="2307" max="2307" width="9.140625" style="52"/>
    <col min="2308" max="2308" width="40.28515625" style="52" bestFit="1" customWidth="1"/>
    <col min="2309" max="2309" width="12.85546875" style="52" customWidth="1"/>
    <col min="2310" max="2310" width="10" style="52" customWidth="1"/>
    <col min="2311" max="2311" width="19.42578125" style="52" customWidth="1"/>
    <col min="2312" max="2312" width="7.7109375" style="52" customWidth="1"/>
    <col min="2313" max="2313" width="12.28515625" style="52" customWidth="1"/>
    <col min="2314" max="2314" width="12.7109375" style="52" customWidth="1"/>
    <col min="2315" max="2315" width="13.5703125" style="52" customWidth="1"/>
    <col min="2316" max="2316" width="11.85546875" style="52" customWidth="1"/>
    <col min="2317" max="2561" width="9.140625" style="52"/>
    <col min="2562" max="2562" width="2.7109375" style="52" customWidth="1"/>
    <col min="2563" max="2563" width="9.140625" style="52"/>
    <col min="2564" max="2564" width="40.28515625" style="52" bestFit="1" customWidth="1"/>
    <col min="2565" max="2565" width="12.85546875" style="52" customWidth="1"/>
    <col min="2566" max="2566" width="10" style="52" customWidth="1"/>
    <col min="2567" max="2567" width="19.42578125" style="52" customWidth="1"/>
    <col min="2568" max="2568" width="7.7109375" style="52" customWidth="1"/>
    <col min="2569" max="2569" width="12.28515625" style="52" customWidth="1"/>
    <col min="2570" max="2570" width="12.7109375" style="52" customWidth="1"/>
    <col min="2571" max="2571" width="13.5703125" style="52" customWidth="1"/>
    <col min="2572" max="2572" width="11.85546875" style="52" customWidth="1"/>
    <col min="2573" max="2817" width="9.140625" style="52"/>
    <col min="2818" max="2818" width="2.7109375" style="52" customWidth="1"/>
    <col min="2819" max="2819" width="9.140625" style="52"/>
    <col min="2820" max="2820" width="40.28515625" style="52" bestFit="1" customWidth="1"/>
    <col min="2821" max="2821" width="12.85546875" style="52" customWidth="1"/>
    <col min="2822" max="2822" width="10" style="52" customWidth="1"/>
    <col min="2823" max="2823" width="19.42578125" style="52" customWidth="1"/>
    <col min="2824" max="2824" width="7.7109375" style="52" customWidth="1"/>
    <col min="2825" max="2825" width="12.28515625" style="52" customWidth="1"/>
    <col min="2826" max="2826" width="12.7109375" style="52" customWidth="1"/>
    <col min="2827" max="2827" width="13.5703125" style="52" customWidth="1"/>
    <col min="2828" max="2828" width="11.85546875" style="52" customWidth="1"/>
    <col min="2829" max="3073" width="9.140625" style="52"/>
    <col min="3074" max="3074" width="2.7109375" style="52" customWidth="1"/>
    <col min="3075" max="3075" width="9.140625" style="52"/>
    <col min="3076" max="3076" width="40.28515625" style="52" bestFit="1" customWidth="1"/>
    <col min="3077" max="3077" width="12.85546875" style="52" customWidth="1"/>
    <col min="3078" max="3078" width="10" style="52" customWidth="1"/>
    <col min="3079" max="3079" width="19.42578125" style="52" customWidth="1"/>
    <col min="3080" max="3080" width="7.7109375" style="52" customWidth="1"/>
    <col min="3081" max="3081" width="12.28515625" style="52" customWidth="1"/>
    <col min="3082" max="3082" width="12.7109375" style="52" customWidth="1"/>
    <col min="3083" max="3083" width="13.5703125" style="52" customWidth="1"/>
    <col min="3084" max="3084" width="11.85546875" style="52" customWidth="1"/>
    <col min="3085" max="3329" width="9.140625" style="52"/>
    <col min="3330" max="3330" width="2.7109375" style="52" customWidth="1"/>
    <col min="3331" max="3331" width="9.140625" style="52"/>
    <col min="3332" max="3332" width="40.28515625" style="52" bestFit="1" customWidth="1"/>
    <col min="3333" max="3333" width="12.85546875" style="52" customWidth="1"/>
    <col min="3334" max="3334" width="10" style="52" customWidth="1"/>
    <col min="3335" max="3335" width="19.42578125" style="52" customWidth="1"/>
    <col min="3336" max="3336" width="7.7109375" style="52" customWidth="1"/>
    <col min="3337" max="3337" width="12.28515625" style="52" customWidth="1"/>
    <col min="3338" max="3338" width="12.7109375" style="52" customWidth="1"/>
    <col min="3339" max="3339" width="13.5703125" style="52" customWidth="1"/>
    <col min="3340" max="3340" width="11.85546875" style="52" customWidth="1"/>
    <col min="3341" max="3585" width="9.140625" style="52"/>
    <col min="3586" max="3586" width="2.7109375" style="52" customWidth="1"/>
    <col min="3587" max="3587" width="9.140625" style="52"/>
    <col min="3588" max="3588" width="40.28515625" style="52" bestFit="1" customWidth="1"/>
    <col min="3589" max="3589" width="12.85546875" style="52" customWidth="1"/>
    <col min="3590" max="3590" width="10" style="52" customWidth="1"/>
    <col min="3591" max="3591" width="19.42578125" style="52" customWidth="1"/>
    <col min="3592" max="3592" width="7.7109375" style="52" customWidth="1"/>
    <col min="3593" max="3593" width="12.28515625" style="52" customWidth="1"/>
    <col min="3594" max="3594" width="12.7109375" style="52" customWidth="1"/>
    <col min="3595" max="3595" width="13.5703125" style="52" customWidth="1"/>
    <col min="3596" max="3596" width="11.85546875" style="52" customWidth="1"/>
    <col min="3597" max="3841" width="9.140625" style="52"/>
    <col min="3842" max="3842" width="2.7109375" style="52" customWidth="1"/>
    <col min="3843" max="3843" width="9.140625" style="52"/>
    <col min="3844" max="3844" width="40.28515625" style="52" bestFit="1" customWidth="1"/>
    <col min="3845" max="3845" width="12.85546875" style="52" customWidth="1"/>
    <col min="3846" max="3846" width="10" style="52" customWidth="1"/>
    <col min="3847" max="3847" width="19.42578125" style="52" customWidth="1"/>
    <col min="3848" max="3848" width="7.7109375" style="52" customWidth="1"/>
    <col min="3849" max="3849" width="12.28515625" style="52" customWidth="1"/>
    <col min="3850" max="3850" width="12.7109375" style="52" customWidth="1"/>
    <col min="3851" max="3851" width="13.5703125" style="52" customWidth="1"/>
    <col min="3852" max="3852" width="11.85546875" style="52" customWidth="1"/>
    <col min="3853" max="4097" width="9.140625" style="52"/>
    <col min="4098" max="4098" width="2.7109375" style="52" customWidth="1"/>
    <col min="4099" max="4099" width="9.140625" style="52"/>
    <col min="4100" max="4100" width="40.28515625" style="52" bestFit="1" customWidth="1"/>
    <col min="4101" max="4101" width="12.85546875" style="52" customWidth="1"/>
    <col min="4102" max="4102" width="10" style="52" customWidth="1"/>
    <col min="4103" max="4103" width="19.42578125" style="52" customWidth="1"/>
    <col min="4104" max="4104" width="7.7109375" style="52" customWidth="1"/>
    <col min="4105" max="4105" width="12.28515625" style="52" customWidth="1"/>
    <col min="4106" max="4106" width="12.7109375" style="52" customWidth="1"/>
    <col min="4107" max="4107" width="13.5703125" style="52" customWidth="1"/>
    <col min="4108" max="4108" width="11.85546875" style="52" customWidth="1"/>
    <col min="4109" max="4353" width="9.140625" style="52"/>
    <col min="4354" max="4354" width="2.7109375" style="52" customWidth="1"/>
    <col min="4355" max="4355" width="9.140625" style="52"/>
    <col min="4356" max="4356" width="40.28515625" style="52" bestFit="1" customWidth="1"/>
    <col min="4357" max="4357" width="12.85546875" style="52" customWidth="1"/>
    <col min="4358" max="4358" width="10" style="52" customWidth="1"/>
    <col min="4359" max="4359" width="19.42578125" style="52" customWidth="1"/>
    <col min="4360" max="4360" width="7.7109375" style="52" customWidth="1"/>
    <col min="4361" max="4361" width="12.28515625" style="52" customWidth="1"/>
    <col min="4362" max="4362" width="12.7109375" style="52" customWidth="1"/>
    <col min="4363" max="4363" width="13.5703125" style="52" customWidth="1"/>
    <col min="4364" max="4364" width="11.85546875" style="52" customWidth="1"/>
    <col min="4365" max="4609" width="9.140625" style="52"/>
    <col min="4610" max="4610" width="2.7109375" style="52" customWidth="1"/>
    <col min="4611" max="4611" width="9.140625" style="52"/>
    <col min="4612" max="4612" width="40.28515625" style="52" bestFit="1" customWidth="1"/>
    <col min="4613" max="4613" width="12.85546875" style="52" customWidth="1"/>
    <col min="4614" max="4614" width="10" style="52" customWidth="1"/>
    <col min="4615" max="4615" width="19.42578125" style="52" customWidth="1"/>
    <col min="4616" max="4616" width="7.7109375" style="52" customWidth="1"/>
    <col min="4617" max="4617" width="12.28515625" style="52" customWidth="1"/>
    <col min="4618" max="4618" width="12.7109375" style="52" customWidth="1"/>
    <col min="4619" max="4619" width="13.5703125" style="52" customWidth="1"/>
    <col min="4620" max="4620" width="11.85546875" style="52" customWidth="1"/>
    <col min="4621" max="4865" width="9.140625" style="52"/>
    <col min="4866" max="4866" width="2.7109375" style="52" customWidth="1"/>
    <col min="4867" max="4867" width="9.140625" style="52"/>
    <col min="4868" max="4868" width="40.28515625" style="52" bestFit="1" customWidth="1"/>
    <col min="4869" max="4869" width="12.85546875" style="52" customWidth="1"/>
    <col min="4870" max="4870" width="10" style="52" customWidth="1"/>
    <col min="4871" max="4871" width="19.42578125" style="52" customWidth="1"/>
    <col min="4872" max="4872" width="7.7109375" style="52" customWidth="1"/>
    <col min="4873" max="4873" width="12.28515625" style="52" customWidth="1"/>
    <col min="4874" max="4874" width="12.7109375" style="52" customWidth="1"/>
    <col min="4875" max="4875" width="13.5703125" style="52" customWidth="1"/>
    <col min="4876" max="4876" width="11.85546875" style="52" customWidth="1"/>
    <col min="4877" max="5121" width="9.140625" style="52"/>
    <col min="5122" max="5122" width="2.7109375" style="52" customWidth="1"/>
    <col min="5123" max="5123" width="9.140625" style="52"/>
    <col min="5124" max="5124" width="40.28515625" style="52" bestFit="1" customWidth="1"/>
    <col min="5125" max="5125" width="12.85546875" style="52" customWidth="1"/>
    <col min="5126" max="5126" width="10" style="52" customWidth="1"/>
    <col min="5127" max="5127" width="19.42578125" style="52" customWidth="1"/>
    <col min="5128" max="5128" width="7.7109375" style="52" customWidth="1"/>
    <col min="5129" max="5129" width="12.28515625" style="52" customWidth="1"/>
    <col min="5130" max="5130" width="12.7109375" style="52" customWidth="1"/>
    <col min="5131" max="5131" width="13.5703125" style="52" customWidth="1"/>
    <col min="5132" max="5132" width="11.85546875" style="52" customWidth="1"/>
    <col min="5133" max="5377" width="9.140625" style="52"/>
    <col min="5378" max="5378" width="2.7109375" style="52" customWidth="1"/>
    <col min="5379" max="5379" width="9.140625" style="52"/>
    <col min="5380" max="5380" width="40.28515625" style="52" bestFit="1" customWidth="1"/>
    <col min="5381" max="5381" width="12.85546875" style="52" customWidth="1"/>
    <col min="5382" max="5382" width="10" style="52" customWidth="1"/>
    <col min="5383" max="5383" width="19.42578125" style="52" customWidth="1"/>
    <col min="5384" max="5384" width="7.7109375" style="52" customWidth="1"/>
    <col min="5385" max="5385" width="12.28515625" style="52" customWidth="1"/>
    <col min="5386" max="5386" width="12.7109375" style="52" customWidth="1"/>
    <col min="5387" max="5387" width="13.5703125" style="52" customWidth="1"/>
    <col min="5388" max="5388" width="11.85546875" style="52" customWidth="1"/>
    <col min="5389" max="5633" width="9.140625" style="52"/>
    <col min="5634" max="5634" width="2.7109375" style="52" customWidth="1"/>
    <col min="5635" max="5635" width="9.140625" style="52"/>
    <col min="5636" max="5636" width="40.28515625" style="52" bestFit="1" customWidth="1"/>
    <col min="5637" max="5637" width="12.85546875" style="52" customWidth="1"/>
    <col min="5638" max="5638" width="10" style="52" customWidth="1"/>
    <col min="5639" max="5639" width="19.42578125" style="52" customWidth="1"/>
    <col min="5640" max="5640" width="7.7109375" style="52" customWidth="1"/>
    <col min="5641" max="5641" width="12.28515625" style="52" customWidth="1"/>
    <col min="5642" max="5642" width="12.7109375" style="52" customWidth="1"/>
    <col min="5643" max="5643" width="13.5703125" style="52" customWidth="1"/>
    <col min="5644" max="5644" width="11.85546875" style="52" customWidth="1"/>
    <col min="5645" max="5889" width="9.140625" style="52"/>
    <col min="5890" max="5890" width="2.7109375" style="52" customWidth="1"/>
    <col min="5891" max="5891" width="9.140625" style="52"/>
    <col min="5892" max="5892" width="40.28515625" style="52" bestFit="1" customWidth="1"/>
    <col min="5893" max="5893" width="12.85546875" style="52" customWidth="1"/>
    <col min="5894" max="5894" width="10" style="52" customWidth="1"/>
    <col min="5895" max="5895" width="19.42578125" style="52" customWidth="1"/>
    <col min="5896" max="5896" width="7.7109375" style="52" customWidth="1"/>
    <col min="5897" max="5897" width="12.28515625" style="52" customWidth="1"/>
    <col min="5898" max="5898" width="12.7109375" style="52" customWidth="1"/>
    <col min="5899" max="5899" width="13.5703125" style="52" customWidth="1"/>
    <col min="5900" max="5900" width="11.85546875" style="52" customWidth="1"/>
    <col min="5901" max="6145" width="9.140625" style="52"/>
    <col min="6146" max="6146" width="2.7109375" style="52" customWidth="1"/>
    <col min="6147" max="6147" width="9.140625" style="52"/>
    <col min="6148" max="6148" width="40.28515625" style="52" bestFit="1" customWidth="1"/>
    <col min="6149" max="6149" width="12.85546875" style="52" customWidth="1"/>
    <col min="6150" max="6150" width="10" style="52" customWidth="1"/>
    <col min="6151" max="6151" width="19.42578125" style="52" customWidth="1"/>
    <col min="6152" max="6152" width="7.7109375" style="52" customWidth="1"/>
    <col min="6153" max="6153" width="12.28515625" style="52" customWidth="1"/>
    <col min="6154" max="6154" width="12.7109375" style="52" customWidth="1"/>
    <col min="6155" max="6155" width="13.5703125" style="52" customWidth="1"/>
    <col min="6156" max="6156" width="11.85546875" style="52" customWidth="1"/>
    <col min="6157" max="6401" width="9.140625" style="52"/>
    <col min="6402" max="6402" width="2.7109375" style="52" customWidth="1"/>
    <col min="6403" max="6403" width="9.140625" style="52"/>
    <col min="6404" max="6404" width="40.28515625" style="52" bestFit="1" customWidth="1"/>
    <col min="6405" max="6405" width="12.85546875" style="52" customWidth="1"/>
    <col min="6406" max="6406" width="10" style="52" customWidth="1"/>
    <col min="6407" max="6407" width="19.42578125" style="52" customWidth="1"/>
    <col min="6408" max="6408" width="7.7109375" style="52" customWidth="1"/>
    <col min="6409" max="6409" width="12.28515625" style="52" customWidth="1"/>
    <col min="6410" max="6410" width="12.7109375" style="52" customWidth="1"/>
    <col min="6411" max="6411" width="13.5703125" style="52" customWidth="1"/>
    <col min="6412" max="6412" width="11.85546875" style="52" customWidth="1"/>
    <col min="6413" max="6657" width="9.140625" style="52"/>
    <col min="6658" max="6658" width="2.7109375" style="52" customWidth="1"/>
    <col min="6659" max="6659" width="9.140625" style="52"/>
    <col min="6660" max="6660" width="40.28515625" style="52" bestFit="1" customWidth="1"/>
    <col min="6661" max="6661" width="12.85546875" style="52" customWidth="1"/>
    <col min="6662" max="6662" width="10" style="52" customWidth="1"/>
    <col min="6663" max="6663" width="19.42578125" style="52" customWidth="1"/>
    <col min="6664" max="6664" width="7.7109375" style="52" customWidth="1"/>
    <col min="6665" max="6665" width="12.28515625" style="52" customWidth="1"/>
    <col min="6666" max="6666" width="12.7109375" style="52" customWidth="1"/>
    <col min="6667" max="6667" width="13.5703125" style="52" customWidth="1"/>
    <col min="6668" max="6668" width="11.85546875" style="52" customWidth="1"/>
    <col min="6669" max="6913" width="9.140625" style="52"/>
    <col min="6914" max="6914" width="2.7109375" style="52" customWidth="1"/>
    <col min="6915" max="6915" width="9.140625" style="52"/>
    <col min="6916" max="6916" width="40.28515625" style="52" bestFit="1" customWidth="1"/>
    <col min="6917" max="6917" width="12.85546875" style="52" customWidth="1"/>
    <col min="6918" max="6918" width="10" style="52" customWidth="1"/>
    <col min="6919" max="6919" width="19.42578125" style="52" customWidth="1"/>
    <col min="6920" max="6920" width="7.7109375" style="52" customWidth="1"/>
    <col min="6921" max="6921" width="12.28515625" style="52" customWidth="1"/>
    <col min="6922" max="6922" width="12.7109375" style="52" customWidth="1"/>
    <col min="6923" max="6923" width="13.5703125" style="52" customWidth="1"/>
    <col min="6924" max="6924" width="11.85546875" style="52" customWidth="1"/>
    <col min="6925" max="7169" width="9.140625" style="52"/>
    <col min="7170" max="7170" width="2.7109375" style="52" customWidth="1"/>
    <col min="7171" max="7171" width="9.140625" style="52"/>
    <col min="7172" max="7172" width="40.28515625" style="52" bestFit="1" customWidth="1"/>
    <col min="7173" max="7173" width="12.85546875" style="52" customWidth="1"/>
    <col min="7174" max="7174" width="10" style="52" customWidth="1"/>
    <col min="7175" max="7175" width="19.42578125" style="52" customWidth="1"/>
    <col min="7176" max="7176" width="7.7109375" style="52" customWidth="1"/>
    <col min="7177" max="7177" width="12.28515625" style="52" customWidth="1"/>
    <col min="7178" max="7178" width="12.7109375" style="52" customWidth="1"/>
    <col min="7179" max="7179" width="13.5703125" style="52" customWidth="1"/>
    <col min="7180" max="7180" width="11.85546875" style="52" customWidth="1"/>
    <col min="7181" max="7425" width="9.140625" style="52"/>
    <col min="7426" max="7426" width="2.7109375" style="52" customWidth="1"/>
    <col min="7427" max="7427" width="9.140625" style="52"/>
    <col min="7428" max="7428" width="40.28515625" style="52" bestFit="1" customWidth="1"/>
    <col min="7429" max="7429" width="12.85546875" style="52" customWidth="1"/>
    <col min="7430" max="7430" width="10" style="52" customWidth="1"/>
    <col min="7431" max="7431" width="19.42578125" style="52" customWidth="1"/>
    <col min="7432" max="7432" width="7.7109375" style="52" customWidth="1"/>
    <col min="7433" max="7433" width="12.28515625" style="52" customWidth="1"/>
    <col min="7434" max="7434" width="12.7109375" style="52" customWidth="1"/>
    <col min="7435" max="7435" width="13.5703125" style="52" customWidth="1"/>
    <col min="7436" max="7436" width="11.85546875" style="52" customWidth="1"/>
    <col min="7437" max="7681" width="9.140625" style="52"/>
    <col min="7682" max="7682" width="2.7109375" style="52" customWidth="1"/>
    <col min="7683" max="7683" width="9.140625" style="52"/>
    <col min="7684" max="7684" width="40.28515625" style="52" bestFit="1" customWidth="1"/>
    <col min="7685" max="7685" width="12.85546875" style="52" customWidth="1"/>
    <col min="7686" max="7686" width="10" style="52" customWidth="1"/>
    <col min="7687" max="7687" width="19.42578125" style="52" customWidth="1"/>
    <col min="7688" max="7688" width="7.7109375" style="52" customWidth="1"/>
    <col min="7689" max="7689" width="12.28515625" style="52" customWidth="1"/>
    <col min="7690" max="7690" width="12.7109375" style="52" customWidth="1"/>
    <col min="7691" max="7691" width="13.5703125" style="52" customWidth="1"/>
    <col min="7692" max="7692" width="11.85546875" style="52" customWidth="1"/>
    <col min="7693" max="7937" width="9.140625" style="52"/>
    <col min="7938" max="7938" width="2.7109375" style="52" customWidth="1"/>
    <col min="7939" max="7939" width="9.140625" style="52"/>
    <col min="7940" max="7940" width="40.28515625" style="52" bestFit="1" customWidth="1"/>
    <col min="7941" max="7941" width="12.85546875" style="52" customWidth="1"/>
    <col min="7942" max="7942" width="10" style="52" customWidth="1"/>
    <col min="7943" max="7943" width="19.42578125" style="52" customWidth="1"/>
    <col min="7944" max="7944" width="7.7109375" style="52" customWidth="1"/>
    <col min="7945" max="7945" width="12.28515625" style="52" customWidth="1"/>
    <col min="7946" max="7946" width="12.7109375" style="52" customWidth="1"/>
    <col min="7947" max="7947" width="13.5703125" style="52" customWidth="1"/>
    <col min="7948" max="7948" width="11.85546875" style="52" customWidth="1"/>
    <col min="7949" max="8193" width="9.140625" style="52"/>
    <col min="8194" max="8194" width="2.7109375" style="52" customWidth="1"/>
    <col min="8195" max="8195" width="9.140625" style="52"/>
    <col min="8196" max="8196" width="40.28515625" style="52" bestFit="1" customWidth="1"/>
    <col min="8197" max="8197" width="12.85546875" style="52" customWidth="1"/>
    <col min="8198" max="8198" width="10" style="52" customWidth="1"/>
    <col min="8199" max="8199" width="19.42578125" style="52" customWidth="1"/>
    <col min="8200" max="8200" width="7.7109375" style="52" customWidth="1"/>
    <col min="8201" max="8201" width="12.28515625" style="52" customWidth="1"/>
    <col min="8202" max="8202" width="12.7109375" style="52" customWidth="1"/>
    <col min="8203" max="8203" width="13.5703125" style="52" customWidth="1"/>
    <col min="8204" max="8204" width="11.85546875" style="52" customWidth="1"/>
    <col min="8205" max="8449" width="9.140625" style="52"/>
    <col min="8450" max="8450" width="2.7109375" style="52" customWidth="1"/>
    <col min="8451" max="8451" width="9.140625" style="52"/>
    <col min="8452" max="8452" width="40.28515625" style="52" bestFit="1" customWidth="1"/>
    <col min="8453" max="8453" width="12.85546875" style="52" customWidth="1"/>
    <col min="8454" max="8454" width="10" style="52" customWidth="1"/>
    <col min="8455" max="8455" width="19.42578125" style="52" customWidth="1"/>
    <col min="8456" max="8456" width="7.7109375" style="52" customWidth="1"/>
    <col min="8457" max="8457" width="12.28515625" style="52" customWidth="1"/>
    <col min="8458" max="8458" width="12.7109375" style="52" customWidth="1"/>
    <col min="8459" max="8459" width="13.5703125" style="52" customWidth="1"/>
    <col min="8460" max="8460" width="11.85546875" style="52" customWidth="1"/>
    <col min="8461" max="8705" width="9.140625" style="52"/>
    <col min="8706" max="8706" width="2.7109375" style="52" customWidth="1"/>
    <col min="8707" max="8707" width="9.140625" style="52"/>
    <col min="8708" max="8708" width="40.28515625" style="52" bestFit="1" customWidth="1"/>
    <col min="8709" max="8709" width="12.85546875" style="52" customWidth="1"/>
    <col min="8710" max="8710" width="10" style="52" customWidth="1"/>
    <col min="8711" max="8711" width="19.42578125" style="52" customWidth="1"/>
    <col min="8712" max="8712" width="7.7109375" style="52" customWidth="1"/>
    <col min="8713" max="8713" width="12.28515625" style="52" customWidth="1"/>
    <col min="8714" max="8714" width="12.7109375" style="52" customWidth="1"/>
    <col min="8715" max="8715" width="13.5703125" style="52" customWidth="1"/>
    <col min="8716" max="8716" width="11.85546875" style="52" customWidth="1"/>
    <col min="8717" max="8961" width="9.140625" style="52"/>
    <col min="8962" max="8962" width="2.7109375" style="52" customWidth="1"/>
    <col min="8963" max="8963" width="9.140625" style="52"/>
    <col min="8964" max="8964" width="40.28515625" style="52" bestFit="1" customWidth="1"/>
    <col min="8965" max="8965" width="12.85546875" style="52" customWidth="1"/>
    <col min="8966" max="8966" width="10" style="52" customWidth="1"/>
    <col min="8967" max="8967" width="19.42578125" style="52" customWidth="1"/>
    <col min="8968" max="8968" width="7.7109375" style="52" customWidth="1"/>
    <col min="8969" max="8969" width="12.28515625" style="52" customWidth="1"/>
    <col min="8970" max="8970" width="12.7109375" style="52" customWidth="1"/>
    <col min="8971" max="8971" width="13.5703125" style="52" customWidth="1"/>
    <col min="8972" max="8972" width="11.85546875" style="52" customWidth="1"/>
    <col min="8973" max="9217" width="9.140625" style="52"/>
    <col min="9218" max="9218" width="2.7109375" style="52" customWidth="1"/>
    <col min="9219" max="9219" width="9.140625" style="52"/>
    <col min="9220" max="9220" width="40.28515625" style="52" bestFit="1" customWidth="1"/>
    <col min="9221" max="9221" width="12.85546875" style="52" customWidth="1"/>
    <col min="9222" max="9222" width="10" style="52" customWidth="1"/>
    <col min="9223" max="9223" width="19.42578125" style="52" customWidth="1"/>
    <col min="9224" max="9224" width="7.7109375" style="52" customWidth="1"/>
    <col min="9225" max="9225" width="12.28515625" style="52" customWidth="1"/>
    <col min="9226" max="9226" width="12.7109375" style="52" customWidth="1"/>
    <col min="9227" max="9227" width="13.5703125" style="52" customWidth="1"/>
    <col min="9228" max="9228" width="11.85546875" style="52" customWidth="1"/>
    <col min="9229" max="9473" width="9.140625" style="52"/>
    <col min="9474" max="9474" width="2.7109375" style="52" customWidth="1"/>
    <col min="9475" max="9475" width="9.140625" style="52"/>
    <col min="9476" max="9476" width="40.28515625" style="52" bestFit="1" customWidth="1"/>
    <col min="9477" max="9477" width="12.85546875" style="52" customWidth="1"/>
    <col min="9478" max="9478" width="10" style="52" customWidth="1"/>
    <col min="9479" max="9479" width="19.42578125" style="52" customWidth="1"/>
    <col min="9480" max="9480" width="7.7109375" style="52" customWidth="1"/>
    <col min="9481" max="9481" width="12.28515625" style="52" customWidth="1"/>
    <col min="9482" max="9482" width="12.7109375" style="52" customWidth="1"/>
    <col min="9483" max="9483" width="13.5703125" style="52" customWidth="1"/>
    <col min="9484" max="9484" width="11.85546875" style="52" customWidth="1"/>
    <col min="9485" max="9729" width="9.140625" style="52"/>
    <col min="9730" max="9730" width="2.7109375" style="52" customWidth="1"/>
    <col min="9731" max="9731" width="9.140625" style="52"/>
    <col min="9732" max="9732" width="40.28515625" style="52" bestFit="1" customWidth="1"/>
    <col min="9733" max="9733" width="12.85546875" style="52" customWidth="1"/>
    <col min="9734" max="9734" width="10" style="52" customWidth="1"/>
    <col min="9735" max="9735" width="19.42578125" style="52" customWidth="1"/>
    <col min="9736" max="9736" width="7.7109375" style="52" customWidth="1"/>
    <col min="9737" max="9737" width="12.28515625" style="52" customWidth="1"/>
    <col min="9738" max="9738" width="12.7109375" style="52" customWidth="1"/>
    <col min="9739" max="9739" width="13.5703125" style="52" customWidth="1"/>
    <col min="9740" max="9740" width="11.85546875" style="52" customWidth="1"/>
    <col min="9741" max="9985" width="9.140625" style="52"/>
    <col min="9986" max="9986" width="2.7109375" style="52" customWidth="1"/>
    <col min="9987" max="9987" width="9.140625" style="52"/>
    <col min="9988" max="9988" width="40.28515625" style="52" bestFit="1" customWidth="1"/>
    <col min="9989" max="9989" width="12.85546875" style="52" customWidth="1"/>
    <col min="9990" max="9990" width="10" style="52" customWidth="1"/>
    <col min="9991" max="9991" width="19.42578125" style="52" customWidth="1"/>
    <col min="9992" max="9992" width="7.7109375" style="52" customWidth="1"/>
    <col min="9993" max="9993" width="12.28515625" style="52" customWidth="1"/>
    <col min="9994" max="9994" width="12.7109375" style="52" customWidth="1"/>
    <col min="9995" max="9995" width="13.5703125" style="52" customWidth="1"/>
    <col min="9996" max="9996" width="11.85546875" style="52" customWidth="1"/>
    <col min="9997" max="10241" width="9.140625" style="52"/>
    <col min="10242" max="10242" width="2.7109375" style="52" customWidth="1"/>
    <col min="10243" max="10243" width="9.140625" style="52"/>
    <col min="10244" max="10244" width="40.28515625" style="52" bestFit="1" customWidth="1"/>
    <col min="10245" max="10245" width="12.85546875" style="52" customWidth="1"/>
    <col min="10246" max="10246" width="10" style="52" customWidth="1"/>
    <col min="10247" max="10247" width="19.42578125" style="52" customWidth="1"/>
    <col min="10248" max="10248" width="7.7109375" style="52" customWidth="1"/>
    <col min="10249" max="10249" width="12.28515625" style="52" customWidth="1"/>
    <col min="10250" max="10250" width="12.7109375" style="52" customWidth="1"/>
    <col min="10251" max="10251" width="13.5703125" style="52" customWidth="1"/>
    <col min="10252" max="10252" width="11.85546875" style="52" customWidth="1"/>
    <col min="10253" max="10497" width="9.140625" style="52"/>
    <col min="10498" max="10498" width="2.7109375" style="52" customWidth="1"/>
    <col min="10499" max="10499" width="9.140625" style="52"/>
    <col min="10500" max="10500" width="40.28515625" style="52" bestFit="1" customWidth="1"/>
    <col min="10501" max="10501" width="12.85546875" style="52" customWidth="1"/>
    <col min="10502" max="10502" width="10" style="52" customWidth="1"/>
    <col min="10503" max="10503" width="19.42578125" style="52" customWidth="1"/>
    <col min="10504" max="10504" width="7.7109375" style="52" customWidth="1"/>
    <col min="10505" max="10505" width="12.28515625" style="52" customWidth="1"/>
    <col min="10506" max="10506" width="12.7109375" style="52" customWidth="1"/>
    <col min="10507" max="10507" width="13.5703125" style="52" customWidth="1"/>
    <col min="10508" max="10508" width="11.85546875" style="52" customWidth="1"/>
    <col min="10509" max="10753" width="9.140625" style="52"/>
    <col min="10754" max="10754" width="2.7109375" style="52" customWidth="1"/>
    <col min="10755" max="10755" width="9.140625" style="52"/>
    <col min="10756" max="10756" width="40.28515625" style="52" bestFit="1" customWidth="1"/>
    <col min="10757" max="10757" width="12.85546875" style="52" customWidth="1"/>
    <col min="10758" max="10758" width="10" style="52" customWidth="1"/>
    <col min="10759" max="10759" width="19.42578125" style="52" customWidth="1"/>
    <col min="10760" max="10760" width="7.7109375" style="52" customWidth="1"/>
    <col min="10761" max="10761" width="12.28515625" style="52" customWidth="1"/>
    <col min="10762" max="10762" width="12.7109375" style="52" customWidth="1"/>
    <col min="10763" max="10763" width="13.5703125" style="52" customWidth="1"/>
    <col min="10764" max="10764" width="11.85546875" style="52" customWidth="1"/>
    <col min="10765" max="11009" width="9.140625" style="52"/>
    <col min="11010" max="11010" width="2.7109375" style="52" customWidth="1"/>
    <col min="11011" max="11011" width="9.140625" style="52"/>
    <col min="11012" max="11012" width="40.28515625" style="52" bestFit="1" customWidth="1"/>
    <col min="11013" max="11013" width="12.85546875" style="52" customWidth="1"/>
    <col min="11014" max="11014" width="10" style="52" customWidth="1"/>
    <col min="11015" max="11015" width="19.42578125" style="52" customWidth="1"/>
    <col min="11016" max="11016" width="7.7109375" style="52" customWidth="1"/>
    <col min="11017" max="11017" width="12.28515625" style="52" customWidth="1"/>
    <col min="11018" max="11018" width="12.7109375" style="52" customWidth="1"/>
    <col min="11019" max="11019" width="13.5703125" style="52" customWidth="1"/>
    <col min="11020" max="11020" width="11.85546875" style="52" customWidth="1"/>
    <col min="11021" max="11265" width="9.140625" style="52"/>
    <col min="11266" max="11266" width="2.7109375" style="52" customWidth="1"/>
    <col min="11267" max="11267" width="9.140625" style="52"/>
    <col min="11268" max="11268" width="40.28515625" style="52" bestFit="1" customWidth="1"/>
    <col min="11269" max="11269" width="12.85546875" style="52" customWidth="1"/>
    <col min="11270" max="11270" width="10" style="52" customWidth="1"/>
    <col min="11271" max="11271" width="19.42578125" style="52" customWidth="1"/>
    <col min="11272" max="11272" width="7.7109375" style="52" customWidth="1"/>
    <col min="11273" max="11273" width="12.28515625" style="52" customWidth="1"/>
    <col min="11274" max="11274" width="12.7109375" style="52" customWidth="1"/>
    <col min="11275" max="11275" width="13.5703125" style="52" customWidth="1"/>
    <col min="11276" max="11276" width="11.85546875" style="52" customWidth="1"/>
    <col min="11277" max="11521" width="9.140625" style="52"/>
    <col min="11522" max="11522" width="2.7109375" style="52" customWidth="1"/>
    <col min="11523" max="11523" width="9.140625" style="52"/>
    <col min="11524" max="11524" width="40.28515625" style="52" bestFit="1" customWidth="1"/>
    <col min="11525" max="11525" width="12.85546875" style="52" customWidth="1"/>
    <col min="11526" max="11526" width="10" style="52" customWidth="1"/>
    <col min="11527" max="11527" width="19.42578125" style="52" customWidth="1"/>
    <col min="11528" max="11528" width="7.7109375" style="52" customWidth="1"/>
    <col min="11529" max="11529" width="12.28515625" style="52" customWidth="1"/>
    <col min="11530" max="11530" width="12.7109375" style="52" customWidth="1"/>
    <col min="11531" max="11531" width="13.5703125" style="52" customWidth="1"/>
    <col min="11532" max="11532" width="11.85546875" style="52" customWidth="1"/>
    <col min="11533" max="11777" width="9.140625" style="52"/>
    <col min="11778" max="11778" width="2.7109375" style="52" customWidth="1"/>
    <col min="11779" max="11779" width="9.140625" style="52"/>
    <col min="11780" max="11780" width="40.28515625" style="52" bestFit="1" customWidth="1"/>
    <col min="11781" max="11781" width="12.85546875" style="52" customWidth="1"/>
    <col min="11782" max="11782" width="10" style="52" customWidth="1"/>
    <col min="11783" max="11783" width="19.42578125" style="52" customWidth="1"/>
    <col min="11784" max="11784" width="7.7109375" style="52" customWidth="1"/>
    <col min="11785" max="11785" width="12.28515625" style="52" customWidth="1"/>
    <col min="11786" max="11786" width="12.7109375" style="52" customWidth="1"/>
    <col min="11787" max="11787" width="13.5703125" style="52" customWidth="1"/>
    <col min="11788" max="11788" width="11.85546875" style="52" customWidth="1"/>
    <col min="11789" max="12033" width="9.140625" style="52"/>
    <col min="12034" max="12034" width="2.7109375" style="52" customWidth="1"/>
    <col min="12035" max="12035" width="9.140625" style="52"/>
    <col min="12036" max="12036" width="40.28515625" style="52" bestFit="1" customWidth="1"/>
    <col min="12037" max="12037" width="12.85546875" style="52" customWidth="1"/>
    <col min="12038" max="12038" width="10" style="52" customWidth="1"/>
    <col min="12039" max="12039" width="19.42578125" style="52" customWidth="1"/>
    <col min="12040" max="12040" width="7.7109375" style="52" customWidth="1"/>
    <col min="12041" max="12041" width="12.28515625" style="52" customWidth="1"/>
    <col min="12042" max="12042" width="12.7109375" style="52" customWidth="1"/>
    <col min="12043" max="12043" width="13.5703125" style="52" customWidth="1"/>
    <col min="12044" max="12044" width="11.85546875" style="52" customWidth="1"/>
    <col min="12045" max="12289" width="9.140625" style="52"/>
    <col min="12290" max="12290" width="2.7109375" style="52" customWidth="1"/>
    <col min="12291" max="12291" width="9.140625" style="52"/>
    <col min="12292" max="12292" width="40.28515625" style="52" bestFit="1" customWidth="1"/>
    <col min="12293" max="12293" width="12.85546875" style="52" customWidth="1"/>
    <col min="12294" max="12294" width="10" style="52" customWidth="1"/>
    <col min="12295" max="12295" width="19.42578125" style="52" customWidth="1"/>
    <col min="12296" max="12296" width="7.7109375" style="52" customWidth="1"/>
    <col min="12297" max="12297" width="12.28515625" style="52" customWidth="1"/>
    <col min="12298" max="12298" width="12.7109375" style="52" customWidth="1"/>
    <col min="12299" max="12299" width="13.5703125" style="52" customWidth="1"/>
    <col min="12300" max="12300" width="11.85546875" style="52" customWidth="1"/>
    <col min="12301" max="12545" width="9.140625" style="52"/>
    <col min="12546" max="12546" width="2.7109375" style="52" customWidth="1"/>
    <col min="12547" max="12547" width="9.140625" style="52"/>
    <col min="12548" max="12548" width="40.28515625" style="52" bestFit="1" customWidth="1"/>
    <col min="12549" max="12549" width="12.85546875" style="52" customWidth="1"/>
    <col min="12550" max="12550" width="10" style="52" customWidth="1"/>
    <col min="12551" max="12551" width="19.42578125" style="52" customWidth="1"/>
    <col min="12552" max="12552" width="7.7109375" style="52" customWidth="1"/>
    <col min="12553" max="12553" width="12.28515625" style="52" customWidth="1"/>
    <col min="12554" max="12554" width="12.7109375" style="52" customWidth="1"/>
    <col min="12555" max="12555" width="13.5703125" style="52" customWidth="1"/>
    <col min="12556" max="12556" width="11.85546875" style="52" customWidth="1"/>
    <col min="12557" max="12801" width="9.140625" style="52"/>
    <col min="12802" max="12802" width="2.7109375" style="52" customWidth="1"/>
    <col min="12803" max="12803" width="9.140625" style="52"/>
    <col min="12804" max="12804" width="40.28515625" style="52" bestFit="1" customWidth="1"/>
    <col min="12805" max="12805" width="12.85546875" style="52" customWidth="1"/>
    <col min="12806" max="12806" width="10" style="52" customWidth="1"/>
    <col min="12807" max="12807" width="19.42578125" style="52" customWidth="1"/>
    <col min="12808" max="12808" width="7.7109375" style="52" customWidth="1"/>
    <col min="12809" max="12809" width="12.28515625" style="52" customWidth="1"/>
    <col min="12810" max="12810" width="12.7109375" style="52" customWidth="1"/>
    <col min="12811" max="12811" width="13.5703125" style="52" customWidth="1"/>
    <col min="12812" max="12812" width="11.85546875" style="52" customWidth="1"/>
    <col min="12813" max="13057" width="9.140625" style="52"/>
    <col min="13058" max="13058" width="2.7109375" style="52" customWidth="1"/>
    <col min="13059" max="13059" width="9.140625" style="52"/>
    <col min="13060" max="13060" width="40.28515625" style="52" bestFit="1" customWidth="1"/>
    <col min="13061" max="13061" width="12.85546875" style="52" customWidth="1"/>
    <col min="13062" max="13062" width="10" style="52" customWidth="1"/>
    <col min="13063" max="13063" width="19.42578125" style="52" customWidth="1"/>
    <col min="13064" max="13064" width="7.7109375" style="52" customWidth="1"/>
    <col min="13065" max="13065" width="12.28515625" style="52" customWidth="1"/>
    <col min="13066" max="13066" width="12.7109375" style="52" customWidth="1"/>
    <col min="13067" max="13067" width="13.5703125" style="52" customWidth="1"/>
    <col min="13068" max="13068" width="11.85546875" style="52" customWidth="1"/>
    <col min="13069" max="13313" width="9.140625" style="52"/>
    <col min="13314" max="13314" width="2.7109375" style="52" customWidth="1"/>
    <col min="13315" max="13315" width="9.140625" style="52"/>
    <col min="13316" max="13316" width="40.28515625" style="52" bestFit="1" customWidth="1"/>
    <col min="13317" max="13317" width="12.85546875" style="52" customWidth="1"/>
    <col min="13318" max="13318" width="10" style="52" customWidth="1"/>
    <col min="13319" max="13319" width="19.42578125" style="52" customWidth="1"/>
    <col min="13320" max="13320" width="7.7109375" style="52" customWidth="1"/>
    <col min="13321" max="13321" width="12.28515625" style="52" customWidth="1"/>
    <col min="13322" max="13322" width="12.7109375" style="52" customWidth="1"/>
    <col min="13323" max="13323" width="13.5703125" style="52" customWidth="1"/>
    <col min="13324" max="13324" width="11.85546875" style="52" customWidth="1"/>
    <col min="13325" max="13569" width="9.140625" style="52"/>
    <col min="13570" max="13570" width="2.7109375" style="52" customWidth="1"/>
    <col min="13571" max="13571" width="9.140625" style="52"/>
    <col min="13572" max="13572" width="40.28515625" style="52" bestFit="1" customWidth="1"/>
    <col min="13573" max="13573" width="12.85546875" style="52" customWidth="1"/>
    <col min="13574" max="13574" width="10" style="52" customWidth="1"/>
    <col min="13575" max="13575" width="19.42578125" style="52" customWidth="1"/>
    <col min="13576" max="13576" width="7.7109375" style="52" customWidth="1"/>
    <col min="13577" max="13577" width="12.28515625" style="52" customWidth="1"/>
    <col min="13578" max="13578" width="12.7109375" style="52" customWidth="1"/>
    <col min="13579" max="13579" width="13.5703125" style="52" customWidth="1"/>
    <col min="13580" max="13580" width="11.85546875" style="52" customWidth="1"/>
    <col min="13581" max="13825" width="9.140625" style="52"/>
    <col min="13826" max="13826" width="2.7109375" style="52" customWidth="1"/>
    <col min="13827" max="13827" width="9.140625" style="52"/>
    <col min="13828" max="13828" width="40.28515625" style="52" bestFit="1" customWidth="1"/>
    <col min="13829" max="13829" width="12.85546875" style="52" customWidth="1"/>
    <col min="13830" max="13830" width="10" style="52" customWidth="1"/>
    <col min="13831" max="13831" width="19.42578125" style="52" customWidth="1"/>
    <col min="13832" max="13832" width="7.7109375" style="52" customWidth="1"/>
    <col min="13833" max="13833" width="12.28515625" style="52" customWidth="1"/>
    <col min="13834" max="13834" width="12.7109375" style="52" customWidth="1"/>
    <col min="13835" max="13835" width="13.5703125" style="52" customWidth="1"/>
    <col min="13836" max="13836" width="11.85546875" style="52" customWidth="1"/>
    <col min="13837" max="14081" width="9.140625" style="52"/>
    <col min="14082" max="14082" width="2.7109375" style="52" customWidth="1"/>
    <col min="14083" max="14083" width="9.140625" style="52"/>
    <col min="14084" max="14084" width="40.28515625" style="52" bestFit="1" customWidth="1"/>
    <col min="14085" max="14085" width="12.85546875" style="52" customWidth="1"/>
    <col min="14086" max="14086" width="10" style="52" customWidth="1"/>
    <col min="14087" max="14087" width="19.42578125" style="52" customWidth="1"/>
    <col min="14088" max="14088" width="7.7109375" style="52" customWidth="1"/>
    <col min="14089" max="14089" width="12.28515625" style="52" customWidth="1"/>
    <col min="14090" max="14090" width="12.7109375" style="52" customWidth="1"/>
    <col min="14091" max="14091" width="13.5703125" style="52" customWidth="1"/>
    <col min="14092" max="14092" width="11.85546875" style="52" customWidth="1"/>
    <col min="14093" max="14337" width="9.140625" style="52"/>
    <col min="14338" max="14338" width="2.7109375" style="52" customWidth="1"/>
    <col min="14339" max="14339" width="9.140625" style="52"/>
    <col min="14340" max="14340" width="40.28515625" style="52" bestFit="1" customWidth="1"/>
    <col min="14341" max="14341" width="12.85546875" style="52" customWidth="1"/>
    <col min="14342" max="14342" width="10" style="52" customWidth="1"/>
    <col min="14343" max="14343" width="19.42578125" style="52" customWidth="1"/>
    <col min="14344" max="14344" width="7.7109375" style="52" customWidth="1"/>
    <col min="14345" max="14345" width="12.28515625" style="52" customWidth="1"/>
    <col min="14346" max="14346" width="12.7109375" style="52" customWidth="1"/>
    <col min="14347" max="14347" width="13.5703125" style="52" customWidth="1"/>
    <col min="14348" max="14348" width="11.85546875" style="52" customWidth="1"/>
    <col min="14349" max="14593" width="9.140625" style="52"/>
    <col min="14594" max="14594" width="2.7109375" style="52" customWidth="1"/>
    <col min="14595" max="14595" width="9.140625" style="52"/>
    <col min="14596" max="14596" width="40.28515625" style="52" bestFit="1" customWidth="1"/>
    <col min="14597" max="14597" width="12.85546875" style="52" customWidth="1"/>
    <col min="14598" max="14598" width="10" style="52" customWidth="1"/>
    <col min="14599" max="14599" width="19.42578125" style="52" customWidth="1"/>
    <col min="14600" max="14600" width="7.7109375" style="52" customWidth="1"/>
    <col min="14601" max="14601" width="12.28515625" style="52" customWidth="1"/>
    <col min="14602" max="14602" width="12.7109375" style="52" customWidth="1"/>
    <col min="14603" max="14603" width="13.5703125" style="52" customWidth="1"/>
    <col min="14604" max="14604" width="11.85546875" style="52" customWidth="1"/>
    <col min="14605" max="14849" width="9.140625" style="52"/>
    <col min="14850" max="14850" width="2.7109375" style="52" customWidth="1"/>
    <col min="14851" max="14851" width="9.140625" style="52"/>
    <col min="14852" max="14852" width="40.28515625" style="52" bestFit="1" customWidth="1"/>
    <col min="14853" max="14853" width="12.85546875" style="52" customWidth="1"/>
    <col min="14854" max="14854" width="10" style="52" customWidth="1"/>
    <col min="14855" max="14855" width="19.42578125" style="52" customWidth="1"/>
    <col min="14856" max="14856" width="7.7109375" style="52" customWidth="1"/>
    <col min="14857" max="14857" width="12.28515625" style="52" customWidth="1"/>
    <col min="14858" max="14858" width="12.7109375" style="52" customWidth="1"/>
    <col min="14859" max="14859" width="13.5703125" style="52" customWidth="1"/>
    <col min="14860" max="14860" width="11.85546875" style="52" customWidth="1"/>
    <col min="14861" max="15105" width="9.140625" style="52"/>
    <col min="15106" max="15106" width="2.7109375" style="52" customWidth="1"/>
    <col min="15107" max="15107" width="9.140625" style="52"/>
    <col min="15108" max="15108" width="40.28515625" style="52" bestFit="1" customWidth="1"/>
    <col min="15109" max="15109" width="12.85546875" style="52" customWidth="1"/>
    <col min="15110" max="15110" width="10" style="52" customWidth="1"/>
    <col min="15111" max="15111" width="19.42578125" style="52" customWidth="1"/>
    <col min="15112" max="15112" width="7.7109375" style="52" customWidth="1"/>
    <col min="15113" max="15113" width="12.28515625" style="52" customWidth="1"/>
    <col min="15114" max="15114" width="12.7109375" style="52" customWidth="1"/>
    <col min="15115" max="15115" width="13.5703125" style="52" customWidth="1"/>
    <col min="15116" max="15116" width="11.85546875" style="52" customWidth="1"/>
    <col min="15117" max="15361" width="9.140625" style="52"/>
    <col min="15362" max="15362" width="2.7109375" style="52" customWidth="1"/>
    <col min="15363" max="15363" width="9.140625" style="52"/>
    <col min="15364" max="15364" width="40.28515625" style="52" bestFit="1" customWidth="1"/>
    <col min="15365" max="15365" width="12.85546875" style="52" customWidth="1"/>
    <col min="15366" max="15366" width="10" style="52" customWidth="1"/>
    <col min="15367" max="15367" width="19.42578125" style="52" customWidth="1"/>
    <col min="15368" max="15368" width="7.7109375" style="52" customWidth="1"/>
    <col min="15369" max="15369" width="12.28515625" style="52" customWidth="1"/>
    <col min="15370" max="15370" width="12.7109375" style="52" customWidth="1"/>
    <col min="15371" max="15371" width="13.5703125" style="52" customWidth="1"/>
    <col min="15372" max="15372" width="11.85546875" style="52" customWidth="1"/>
    <col min="15373" max="15617" width="9.140625" style="52"/>
    <col min="15618" max="15618" width="2.7109375" style="52" customWidth="1"/>
    <col min="15619" max="15619" width="9.140625" style="52"/>
    <col min="15620" max="15620" width="40.28515625" style="52" bestFit="1" customWidth="1"/>
    <col min="15621" max="15621" width="12.85546875" style="52" customWidth="1"/>
    <col min="15622" max="15622" width="10" style="52" customWidth="1"/>
    <col min="15623" max="15623" width="19.42578125" style="52" customWidth="1"/>
    <col min="15624" max="15624" width="7.7109375" style="52" customWidth="1"/>
    <col min="15625" max="15625" width="12.28515625" style="52" customWidth="1"/>
    <col min="15626" max="15626" width="12.7109375" style="52" customWidth="1"/>
    <col min="15627" max="15627" width="13.5703125" style="52" customWidth="1"/>
    <col min="15628" max="15628" width="11.85546875" style="52" customWidth="1"/>
    <col min="15629" max="15873" width="9.140625" style="52"/>
    <col min="15874" max="15874" width="2.7109375" style="52" customWidth="1"/>
    <col min="15875" max="15875" width="9.140625" style="52"/>
    <col min="15876" max="15876" width="40.28515625" style="52" bestFit="1" customWidth="1"/>
    <col min="15877" max="15877" width="12.85546875" style="52" customWidth="1"/>
    <col min="15878" max="15878" width="10" style="52" customWidth="1"/>
    <col min="15879" max="15879" width="19.42578125" style="52" customWidth="1"/>
    <col min="15880" max="15880" width="7.7109375" style="52" customWidth="1"/>
    <col min="15881" max="15881" width="12.28515625" style="52" customWidth="1"/>
    <col min="15882" max="15882" width="12.7109375" style="52" customWidth="1"/>
    <col min="15883" max="15883" width="13.5703125" style="52" customWidth="1"/>
    <col min="15884" max="15884" width="11.85546875" style="52" customWidth="1"/>
    <col min="15885" max="16129" width="9.140625" style="52"/>
    <col min="16130" max="16130" width="2.7109375" style="52" customWidth="1"/>
    <col min="16131" max="16131" width="9.140625" style="52"/>
    <col min="16132" max="16132" width="40.28515625" style="52" bestFit="1" customWidth="1"/>
    <col min="16133" max="16133" width="12.85546875" style="52" customWidth="1"/>
    <col min="16134" max="16134" width="10" style="52" customWidth="1"/>
    <col min="16135" max="16135" width="19.42578125" style="52" customWidth="1"/>
    <col min="16136" max="16136" width="7.7109375" style="52" customWidth="1"/>
    <col min="16137" max="16137" width="12.28515625" style="52" customWidth="1"/>
    <col min="16138" max="16138" width="12.7109375" style="52" customWidth="1"/>
    <col min="16139" max="16139" width="13.5703125" style="52" customWidth="1"/>
    <col min="16140" max="16140" width="11.85546875" style="52" customWidth="1"/>
    <col min="16141" max="16384" width="9.140625" style="52"/>
  </cols>
  <sheetData>
    <row r="1" spans="1:13" x14ac:dyDescent="0.2">
      <c r="G1" s="233"/>
      <c r="H1" s="234"/>
      <c r="I1" s="155"/>
      <c r="J1" s="233"/>
      <c r="K1" s="235" t="s">
        <v>301</v>
      </c>
      <c r="L1" s="1092" t="str">
        <f>EBNUMBER</f>
        <v>EB-2016-0066</v>
      </c>
      <c r="M1" s="155"/>
    </row>
    <row r="2" spans="1:13" x14ac:dyDescent="0.2">
      <c r="G2" s="233"/>
      <c r="H2" s="234"/>
      <c r="I2" s="155"/>
      <c r="J2" s="233"/>
      <c r="K2" s="235" t="s">
        <v>302</v>
      </c>
      <c r="L2" s="236"/>
      <c r="M2" s="155"/>
    </row>
    <row r="3" spans="1:13" x14ac:dyDescent="0.2">
      <c r="G3" s="233"/>
      <c r="H3" s="234"/>
      <c r="I3" s="155"/>
      <c r="J3" s="233"/>
      <c r="K3" s="235" t="s">
        <v>303</v>
      </c>
      <c r="L3" s="236"/>
      <c r="M3" s="155"/>
    </row>
    <row r="4" spans="1:13" x14ac:dyDescent="0.2">
      <c r="G4" s="233"/>
      <c r="H4" s="234"/>
      <c r="I4" s="155"/>
      <c r="J4" s="233"/>
      <c r="K4" s="235" t="s">
        <v>304</v>
      </c>
      <c r="L4" s="236"/>
      <c r="M4" s="155"/>
    </row>
    <row r="5" spans="1:13" x14ac:dyDescent="0.2">
      <c r="G5" s="233"/>
      <c r="H5" s="234"/>
      <c r="I5" s="155"/>
      <c r="J5" s="233"/>
      <c r="K5" s="235" t="s">
        <v>305</v>
      </c>
      <c r="L5" s="237"/>
      <c r="M5" s="155"/>
    </row>
    <row r="6" spans="1:13" x14ac:dyDescent="0.2">
      <c r="G6" s="233"/>
      <c r="H6" s="234"/>
      <c r="I6" s="155"/>
      <c r="J6" s="233"/>
      <c r="K6" s="235"/>
      <c r="L6" s="238"/>
      <c r="M6" s="155"/>
    </row>
    <row r="7" spans="1:13" x14ac:dyDescent="0.2">
      <c r="G7" s="233"/>
      <c r="H7" s="234"/>
      <c r="I7" s="155"/>
      <c r="J7" s="233"/>
      <c r="K7" s="235" t="s">
        <v>306</v>
      </c>
      <c r="L7" s="237"/>
      <c r="M7" s="239"/>
    </row>
    <row r="9" spans="1:13" ht="18" x14ac:dyDescent="0.25">
      <c r="A9" s="1591" t="s">
        <v>1440</v>
      </c>
      <c r="B9" s="1591"/>
      <c r="C9" s="1591"/>
      <c r="D9" s="1591"/>
      <c r="E9" s="1591"/>
      <c r="F9" s="1591"/>
      <c r="G9" s="1591"/>
      <c r="H9" s="1591"/>
      <c r="I9" s="1591"/>
      <c r="J9" s="1591"/>
      <c r="K9" s="1591"/>
      <c r="L9" s="1591"/>
    </row>
    <row r="10" spans="1:13" ht="18" x14ac:dyDescent="0.25">
      <c r="A10" s="1591" t="s">
        <v>2</v>
      </c>
      <c r="B10" s="1591"/>
      <c r="C10" s="1591"/>
      <c r="D10" s="1591"/>
      <c r="E10" s="1591"/>
      <c r="F10" s="1591"/>
      <c r="G10" s="1591"/>
      <c r="H10" s="1591"/>
      <c r="I10" s="1591"/>
      <c r="J10" s="1591"/>
      <c r="K10" s="1591"/>
      <c r="L10" s="1591"/>
    </row>
    <row r="11" spans="1:13" ht="30" customHeight="1" x14ac:dyDescent="0.2">
      <c r="A11" s="240"/>
      <c r="B11" s="1680" t="s">
        <v>1050</v>
      </c>
      <c r="C11" s="1680"/>
      <c r="D11" s="1680"/>
      <c r="E11" s="1680"/>
      <c r="F11" s="1680"/>
      <c r="G11" s="1680"/>
      <c r="H11" s="1680"/>
      <c r="I11" s="1680"/>
      <c r="J11" s="1680"/>
      <c r="K11" s="1680"/>
      <c r="L11" s="240"/>
    </row>
    <row r="12" spans="1:13" ht="30" customHeight="1" x14ac:dyDescent="0.2">
      <c r="A12" s="240"/>
      <c r="B12" s="1108"/>
      <c r="C12" s="1108"/>
      <c r="D12" s="1108"/>
      <c r="E12" s="1108"/>
      <c r="F12" s="1108"/>
      <c r="G12" s="1108"/>
      <c r="H12" s="1108"/>
      <c r="I12" s="1108"/>
      <c r="J12" s="1108"/>
      <c r="K12" s="1108"/>
      <c r="L12" s="240"/>
    </row>
    <row r="13" spans="1:13" ht="60" customHeight="1" x14ac:dyDescent="0.25">
      <c r="A13" s="1691" t="s">
        <v>1042</v>
      </c>
      <c r="B13" s="1692"/>
      <c r="C13" s="878"/>
      <c r="D13" s="1115"/>
      <c r="E13" s="1110"/>
      <c r="F13" s="1110"/>
      <c r="G13" s="1110"/>
      <c r="H13" s="1109"/>
      <c r="I13" s="1109"/>
      <c r="J13" s="1109"/>
      <c r="K13" s="1116" t="s">
        <v>1057</v>
      </c>
      <c r="L13" s="1123" t="s">
        <v>882</v>
      </c>
      <c r="M13" s="1117"/>
    </row>
    <row r="14" spans="1:13" ht="48" customHeight="1" x14ac:dyDescent="0.2">
      <c r="A14" s="1693" t="s">
        <v>1101</v>
      </c>
      <c r="B14" s="1694"/>
      <c r="C14" s="1682" t="s">
        <v>1076</v>
      </c>
      <c r="D14" s="1652"/>
      <c r="E14" s="1652"/>
      <c r="F14" s="1652"/>
      <c r="G14" s="1652"/>
      <c r="H14" s="1652"/>
      <c r="I14" s="1652"/>
      <c r="J14" s="1653"/>
      <c r="K14" s="1118">
        <v>2012</v>
      </c>
      <c r="L14" s="1124" t="s">
        <v>931</v>
      </c>
    </row>
    <row r="15" spans="1:13" ht="41.25" customHeight="1" x14ac:dyDescent="0.2">
      <c r="A15" s="1693" t="s">
        <v>1102</v>
      </c>
      <c r="B15" s="1694"/>
      <c r="C15" s="1682" t="s">
        <v>1077</v>
      </c>
      <c r="D15" s="1652"/>
      <c r="E15" s="1652"/>
      <c r="F15" s="1652"/>
      <c r="G15" s="1652"/>
      <c r="H15" s="1652"/>
      <c r="I15" s="1652"/>
      <c r="J15" s="1652"/>
      <c r="K15" s="1118">
        <v>2013</v>
      </c>
      <c r="L15" s="1124" t="s">
        <v>931</v>
      </c>
    </row>
    <row r="16" spans="1:13" x14ac:dyDescent="0.2">
      <c r="A16" s="859"/>
      <c r="B16" s="859"/>
      <c r="C16" s="1111"/>
      <c r="D16" s="1111"/>
      <c r="E16" s="1111"/>
      <c r="F16" s="1111"/>
      <c r="G16" s="1111"/>
      <c r="H16" s="1111"/>
      <c r="I16" s="1111"/>
      <c r="J16" s="1111"/>
      <c r="K16" s="1111"/>
      <c r="L16" s="1119"/>
    </row>
    <row r="17" spans="1:12" ht="15" customHeight="1" thickBot="1" x14ac:dyDescent="0.25"/>
    <row r="18" spans="1:12" ht="61.5" customHeight="1" x14ac:dyDescent="0.2">
      <c r="A18" s="1685" t="s">
        <v>3</v>
      </c>
      <c r="B18" s="1687" t="s">
        <v>235</v>
      </c>
      <c r="C18" s="243" t="s">
        <v>1043</v>
      </c>
      <c r="D18" s="243" t="s">
        <v>476</v>
      </c>
      <c r="E18" s="243" t="s">
        <v>477</v>
      </c>
      <c r="F18" s="243" t="s">
        <v>237</v>
      </c>
      <c r="G18" s="243" t="s">
        <v>996</v>
      </c>
      <c r="H18" s="244" t="s">
        <v>6</v>
      </c>
      <c r="I18" s="245" t="s">
        <v>298</v>
      </c>
      <c r="J18" s="1132" t="s">
        <v>1082</v>
      </c>
      <c r="K18" s="1689" t="s">
        <v>1044</v>
      </c>
      <c r="L18" s="1134" t="s">
        <v>388</v>
      </c>
    </row>
    <row r="19" spans="1:12" ht="25.5" customHeight="1" x14ac:dyDescent="0.2">
      <c r="A19" s="1686"/>
      <c r="B19" s="1688"/>
      <c r="C19" s="246" t="s">
        <v>4</v>
      </c>
      <c r="D19" s="246" t="s">
        <v>478</v>
      </c>
      <c r="E19" s="246" t="s">
        <v>479</v>
      </c>
      <c r="F19" s="246" t="s">
        <v>5</v>
      </c>
      <c r="G19" s="247" t="s">
        <v>997</v>
      </c>
      <c r="H19" s="248" t="s">
        <v>7</v>
      </c>
      <c r="I19" s="249" t="s">
        <v>8</v>
      </c>
      <c r="J19" s="1133" t="s">
        <v>9</v>
      </c>
      <c r="K19" s="1690"/>
      <c r="L19" s="1135" t="s">
        <v>382</v>
      </c>
    </row>
    <row r="20" spans="1:12" ht="25.5" x14ac:dyDescent="0.2">
      <c r="A20" s="1064">
        <v>1611</v>
      </c>
      <c r="B20" s="172" t="s">
        <v>381</v>
      </c>
      <c r="C20" s="173"/>
      <c r="D20" s="173"/>
      <c r="E20" s="174">
        <f>C20-D20</f>
        <v>0</v>
      </c>
      <c r="F20" s="173"/>
      <c r="G20" s="174">
        <f>E20+0.5*F20</f>
        <v>0</v>
      </c>
      <c r="H20" s="250"/>
      <c r="I20" s="251">
        <f t="shared" ref="I20:I57" si="0">IF(H20=0,0,1/H20)</f>
        <v>0</v>
      </c>
      <c r="J20" s="174">
        <f t="shared" ref="J20:J57" si="1">IF(H20=0,0,G20/H20)</f>
        <v>0</v>
      </c>
      <c r="K20" s="173"/>
      <c r="L20" s="174">
        <f t="shared" ref="L20:L57" si="2">IF(ISERROR(+J20-K20), 0, +J20-K20)</f>
        <v>0</v>
      </c>
    </row>
    <row r="21" spans="1:12" x14ac:dyDescent="0.2">
      <c r="A21" s="1064">
        <v>1612</v>
      </c>
      <c r="B21" s="172" t="s">
        <v>442</v>
      </c>
      <c r="C21" s="173"/>
      <c r="D21" s="173"/>
      <c r="E21" s="174">
        <f t="shared" ref="E21:E57" si="3">C21-D21</f>
        <v>0</v>
      </c>
      <c r="F21" s="173"/>
      <c r="G21" s="174">
        <f t="shared" ref="G21:G57" si="4">E21+0.5*F21</f>
        <v>0</v>
      </c>
      <c r="H21" s="250"/>
      <c r="I21" s="252">
        <f t="shared" si="0"/>
        <v>0</v>
      </c>
      <c r="J21" s="174">
        <f t="shared" si="1"/>
        <v>0</v>
      </c>
      <c r="K21" s="173"/>
      <c r="L21" s="174">
        <f t="shared" si="2"/>
        <v>0</v>
      </c>
    </row>
    <row r="22" spans="1:12" x14ac:dyDescent="0.2">
      <c r="A22" s="253">
        <v>1805</v>
      </c>
      <c r="B22" s="179" t="s">
        <v>267</v>
      </c>
      <c r="C22" s="173"/>
      <c r="D22" s="173"/>
      <c r="E22" s="174">
        <f t="shared" si="3"/>
        <v>0</v>
      </c>
      <c r="F22" s="173"/>
      <c r="G22" s="174">
        <f t="shared" si="4"/>
        <v>0</v>
      </c>
      <c r="H22" s="250"/>
      <c r="I22" s="252">
        <f t="shared" si="0"/>
        <v>0</v>
      </c>
      <c r="J22" s="174">
        <f t="shared" si="1"/>
        <v>0</v>
      </c>
      <c r="K22" s="173"/>
      <c r="L22" s="174">
        <f t="shared" si="2"/>
        <v>0</v>
      </c>
    </row>
    <row r="23" spans="1:12" x14ac:dyDescent="0.2">
      <c r="A23" s="1064">
        <v>1808</v>
      </c>
      <c r="B23" s="180" t="s">
        <v>268</v>
      </c>
      <c r="C23" s="173"/>
      <c r="D23" s="173"/>
      <c r="E23" s="174">
        <f t="shared" si="3"/>
        <v>0</v>
      </c>
      <c r="F23" s="173"/>
      <c r="G23" s="174">
        <f t="shared" si="4"/>
        <v>0</v>
      </c>
      <c r="H23" s="250"/>
      <c r="I23" s="252">
        <f t="shared" si="0"/>
        <v>0</v>
      </c>
      <c r="J23" s="174">
        <f t="shared" si="1"/>
        <v>0</v>
      </c>
      <c r="K23" s="173"/>
      <c r="L23" s="174">
        <f t="shared" si="2"/>
        <v>0</v>
      </c>
    </row>
    <row r="24" spans="1:12" x14ac:dyDescent="0.2">
      <c r="A24" s="1064">
        <v>1810</v>
      </c>
      <c r="B24" s="180" t="s">
        <v>299</v>
      </c>
      <c r="C24" s="173"/>
      <c r="D24" s="173"/>
      <c r="E24" s="174">
        <f t="shared" si="3"/>
        <v>0</v>
      </c>
      <c r="F24" s="173"/>
      <c r="G24" s="174">
        <f t="shared" si="4"/>
        <v>0</v>
      </c>
      <c r="H24" s="250"/>
      <c r="I24" s="252">
        <f t="shared" si="0"/>
        <v>0</v>
      </c>
      <c r="J24" s="174">
        <f t="shared" si="1"/>
        <v>0</v>
      </c>
      <c r="K24" s="173"/>
      <c r="L24" s="174">
        <f t="shared" si="2"/>
        <v>0</v>
      </c>
    </row>
    <row r="25" spans="1:12" x14ac:dyDescent="0.2">
      <c r="A25" s="1064">
        <v>1815</v>
      </c>
      <c r="B25" s="180" t="s">
        <v>269</v>
      </c>
      <c r="C25" s="173"/>
      <c r="D25" s="173"/>
      <c r="E25" s="174">
        <f t="shared" si="3"/>
        <v>0</v>
      </c>
      <c r="F25" s="173"/>
      <c r="G25" s="174">
        <f t="shared" si="4"/>
        <v>0</v>
      </c>
      <c r="H25" s="250"/>
      <c r="I25" s="252">
        <f t="shared" si="0"/>
        <v>0</v>
      </c>
      <c r="J25" s="174">
        <f t="shared" si="1"/>
        <v>0</v>
      </c>
      <c r="K25" s="173"/>
      <c r="L25" s="174">
        <f t="shared" si="2"/>
        <v>0</v>
      </c>
    </row>
    <row r="26" spans="1:12" x14ac:dyDescent="0.2">
      <c r="A26" s="1064">
        <v>1820</v>
      </c>
      <c r="B26" s="172" t="s">
        <v>207</v>
      </c>
      <c r="C26" s="173"/>
      <c r="D26" s="173"/>
      <c r="E26" s="174">
        <f t="shared" si="3"/>
        <v>0</v>
      </c>
      <c r="F26" s="173"/>
      <c r="G26" s="174">
        <f t="shared" si="4"/>
        <v>0</v>
      </c>
      <c r="H26" s="250"/>
      <c r="I26" s="252">
        <f t="shared" si="0"/>
        <v>0</v>
      </c>
      <c r="J26" s="174">
        <f t="shared" si="1"/>
        <v>0</v>
      </c>
      <c r="K26" s="173"/>
      <c r="L26" s="174">
        <f t="shared" si="2"/>
        <v>0</v>
      </c>
    </row>
    <row r="27" spans="1:12" x14ac:dyDescent="0.2">
      <c r="A27" s="1064">
        <v>1825</v>
      </c>
      <c r="B27" s="180" t="s">
        <v>270</v>
      </c>
      <c r="C27" s="173"/>
      <c r="D27" s="173"/>
      <c r="E27" s="174">
        <f t="shared" si="3"/>
        <v>0</v>
      </c>
      <c r="F27" s="173"/>
      <c r="G27" s="174">
        <f t="shared" si="4"/>
        <v>0</v>
      </c>
      <c r="H27" s="250"/>
      <c r="I27" s="252">
        <f t="shared" si="0"/>
        <v>0</v>
      </c>
      <c r="J27" s="174">
        <f t="shared" si="1"/>
        <v>0</v>
      </c>
      <c r="K27" s="173"/>
      <c r="L27" s="174">
        <f t="shared" si="2"/>
        <v>0</v>
      </c>
    </row>
    <row r="28" spans="1:12" x14ac:dyDescent="0.2">
      <c r="A28" s="1064">
        <v>1830</v>
      </c>
      <c r="B28" s="180" t="s">
        <v>271</v>
      </c>
      <c r="C28" s="173"/>
      <c r="D28" s="173"/>
      <c r="E28" s="174">
        <f t="shared" si="3"/>
        <v>0</v>
      </c>
      <c r="F28" s="173"/>
      <c r="G28" s="174">
        <f t="shared" si="4"/>
        <v>0</v>
      </c>
      <c r="H28" s="250"/>
      <c r="I28" s="252">
        <f t="shared" si="0"/>
        <v>0</v>
      </c>
      <c r="J28" s="174">
        <f t="shared" si="1"/>
        <v>0</v>
      </c>
      <c r="K28" s="173"/>
      <c r="L28" s="174">
        <f t="shared" si="2"/>
        <v>0</v>
      </c>
    </row>
    <row r="29" spans="1:12" x14ac:dyDescent="0.2">
      <c r="A29" s="1064">
        <v>1835</v>
      </c>
      <c r="B29" s="180" t="s">
        <v>208</v>
      </c>
      <c r="C29" s="173"/>
      <c r="D29" s="173"/>
      <c r="E29" s="174">
        <f t="shared" si="3"/>
        <v>0</v>
      </c>
      <c r="F29" s="173"/>
      <c r="G29" s="174">
        <f t="shared" si="4"/>
        <v>0</v>
      </c>
      <c r="H29" s="250"/>
      <c r="I29" s="252">
        <f t="shared" si="0"/>
        <v>0</v>
      </c>
      <c r="J29" s="174">
        <f t="shared" si="1"/>
        <v>0</v>
      </c>
      <c r="K29" s="173"/>
      <c r="L29" s="174">
        <f t="shared" si="2"/>
        <v>0</v>
      </c>
    </row>
    <row r="30" spans="1:12" x14ac:dyDescent="0.2">
      <c r="A30" s="1064">
        <v>1840</v>
      </c>
      <c r="B30" s="180" t="s">
        <v>209</v>
      </c>
      <c r="C30" s="173"/>
      <c r="D30" s="173"/>
      <c r="E30" s="174">
        <f t="shared" si="3"/>
        <v>0</v>
      </c>
      <c r="F30" s="173"/>
      <c r="G30" s="174">
        <f t="shared" si="4"/>
        <v>0</v>
      </c>
      <c r="H30" s="250"/>
      <c r="I30" s="252">
        <f t="shared" si="0"/>
        <v>0</v>
      </c>
      <c r="J30" s="174">
        <f t="shared" si="1"/>
        <v>0</v>
      </c>
      <c r="K30" s="173"/>
      <c r="L30" s="174">
        <f t="shared" si="2"/>
        <v>0</v>
      </c>
    </row>
    <row r="31" spans="1:12" x14ac:dyDescent="0.2">
      <c r="A31" s="1064">
        <v>1845</v>
      </c>
      <c r="B31" s="180" t="s">
        <v>210</v>
      </c>
      <c r="C31" s="173"/>
      <c r="D31" s="173"/>
      <c r="E31" s="174">
        <f t="shared" si="3"/>
        <v>0</v>
      </c>
      <c r="F31" s="173"/>
      <c r="G31" s="174">
        <f t="shared" si="4"/>
        <v>0</v>
      </c>
      <c r="H31" s="250"/>
      <c r="I31" s="252">
        <f t="shared" si="0"/>
        <v>0</v>
      </c>
      <c r="J31" s="174">
        <f t="shared" si="1"/>
        <v>0</v>
      </c>
      <c r="K31" s="173"/>
      <c r="L31" s="174">
        <f t="shared" si="2"/>
        <v>0</v>
      </c>
    </row>
    <row r="32" spans="1:12" x14ac:dyDescent="0.2">
      <c r="A32" s="1064">
        <v>1850</v>
      </c>
      <c r="B32" s="180" t="s">
        <v>272</v>
      </c>
      <c r="C32" s="173"/>
      <c r="D32" s="173"/>
      <c r="E32" s="174">
        <f t="shared" si="3"/>
        <v>0</v>
      </c>
      <c r="F32" s="173"/>
      <c r="G32" s="174">
        <f t="shared" si="4"/>
        <v>0</v>
      </c>
      <c r="H32" s="250"/>
      <c r="I32" s="252">
        <f t="shared" si="0"/>
        <v>0</v>
      </c>
      <c r="J32" s="174">
        <f t="shared" si="1"/>
        <v>0</v>
      </c>
      <c r="K32" s="173"/>
      <c r="L32" s="174">
        <f t="shared" si="2"/>
        <v>0</v>
      </c>
    </row>
    <row r="33" spans="1:12" x14ac:dyDescent="0.2">
      <c r="A33" s="1064">
        <v>1855</v>
      </c>
      <c r="B33" s="180" t="s">
        <v>211</v>
      </c>
      <c r="C33" s="173"/>
      <c r="D33" s="173"/>
      <c r="E33" s="174">
        <f t="shared" si="3"/>
        <v>0</v>
      </c>
      <c r="F33" s="173"/>
      <c r="G33" s="174">
        <f t="shared" si="4"/>
        <v>0</v>
      </c>
      <c r="H33" s="250"/>
      <c r="I33" s="252">
        <f t="shared" si="0"/>
        <v>0</v>
      </c>
      <c r="J33" s="174">
        <f t="shared" si="1"/>
        <v>0</v>
      </c>
      <c r="K33" s="173"/>
      <c r="L33" s="174">
        <f t="shared" si="2"/>
        <v>0</v>
      </c>
    </row>
    <row r="34" spans="1:12" x14ac:dyDescent="0.2">
      <c r="A34" s="1064">
        <v>1860</v>
      </c>
      <c r="B34" s="180" t="s">
        <v>273</v>
      </c>
      <c r="C34" s="173"/>
      <c r="D34" s="173"/>
      <c r="E34" s="174">
        <f t="shared" si="3"/>
        <v>0</v>
      </c>
      <c r="F34" s="173"/>
      <c r="G34" s="174">
        <f t="shared" si="4"/>
        <v>0</v>
      </c>
      <c r="H34" s="250"/>
      <c r="I34" s="252">
        <f t="shared" si="0"/>
        <v>0</v>
      </c>
      <c r="J34" s="174">
        <f t="shared" si="1"/>
        <v>0</v>
      </c>
      <c r="K34" s="173"/>
      <c r="L34" s="174">
        <f t="shared" si="2"/>
        <v>0</v>
      </c>
    </row>
    <row r="35" spans="1:12" x14ac:dyDescent="0.2">
      <c r="A35" s="253">
        <v>1860</v>
      </c>
      <c r="B35" s="179" t="s">
        <v>212</v>
      </c>
      <c r="C35" s="173"/>
      <c r="D35" s="173"/>
      <c r="E35" s="174">
        <f t="shared" si="3"/>
        <v>0</v>
      </c>
      <c r="F35" s="173"/>
      <c r="G35" s="174">
        <f t="shared" si="4"/>
        <v>0</v>
      </c>
      <c r="H35" s="250"/>
      <c r="I35" s="252">
        <f t="shared" si="0"/>
        <v>0</v>
      </c>
      <c r="J35" s="174">
        <f t="shared" si="1"/>
        <v>0</v>
      </c>
      <c r="K35" s="173"/>
      <c r="L35" s="174">
        <f t="shared" si="2"/>
        <v>0</v>
      </c>
    </row>
    <row r="36" spans="1:12" x14ac:dyDescent="0.2">
      <c r="A36" s="253">
        <v>1905</v>
      </c>
      <c r="B36" s="179" t="s">
        <v>267</v>
      </c>
      <c r="C36" s="173"/>
      <c r="D36" s="173"/>
      <c r="E36" s="174">
        <f t="shared" si="3"/>
        <v>0</v>
      </c>
      <c r="F36" s="173"/>
      <c r="G36" s="174">
        <f t="shared" si="4"/>
        <v>0</v>
      </c>
      <c r="H36" s="250"/>
      <c r="I36" s="252">
        <f t="shared" si="0"/>
        <v>0</v>
      </c>
      <c r="J36" s="174">
        <f t="shared" si="1"/>
        <v>0</v>
      </c>
      <c r="K36" s="173"/>
      <c r="L36" s="174">
        <f t="shared" si="2"/>
        <v>0</v>
      </c>
    </row>
    <row r="37" spans="1:12" x14ac:dyDescent="0.2">
      <c r="A37" s="1064">
        <v>1908</v>
      </c>
      <c r="B37" s="180" t="s">
        <v>275</v>
      </c>
      <c r="C37" s="173"/>
      <c r="D37" s="173"/>
      <c r="E37" s="174">
        <f t="shared" si="3"/>
        <v>0</v>
      </c>
      <c r="F37" s="173"/>
      <c r="G37" s="174">
        <f t="shared" si="4"/>
        <v>0</v>
      </c>
      <c r="H37" s="250"/>
      <c r="I37" s="252">
        <f t="shared" si="0"/>
        <v>0</v>
      </c>
      <c r="J37" s="174">
        <f t="shared" si="1"/>
        <v>0</v>
      </c>
      <c r="K37" s="173"/>
      <c r="L37" s="174">
        <f t="shared" si="2"/>
        <v>0</v>
      </c>
    </row>
    <row r="38" spans="1:12" x14ac:dyDescent="0.2">
      <c r="A38" s="1064">
        <v>1910</v>
      </c>
      <c r="B38" s="180" t="s">
        <v>299</v>
      </c>
      <c r="C38" s="173"/>
      <c r="D38" s="173"/>
      <c r="E38" s="174">
        <f t="shared" si="3"/>
        <v>0</v>
      </c>
      <c r="F38" s="173"/>
      <c r="G38" s="174">
        <f t="shared" si="4"/>
        <v>0</v>
      </c>
      <c r="H38" s="250"/>
      <c r="I38" s="252">
        <f t="shared" si="0"/>
        <v>0</v>
      </c>
      <c r="J38" s="174">
        <f t="shared" si="1"/>
        <v>0</v>
      </c>
      <c r="K38" s="173"/>
      <c r="L38" s="174">
        <f t="shared" si="2"/>
        <v>0</v>
      </c>
    </row>
    <row r="39" spans="1:12" x14ac:dyDescent="0.2">
      <c r="A39" s="1064">
        <v>1915</v>
      </c>
      <c r="B39" s="180" t="s">
        <v>213</v>
      </c>
      <c r="C39" s="173"/>
      <c r="D39" s="173"/>
      <c r="E39" s="174">
        <f t="shared" si="3"/>
        <v>0</v>
      </c>
      <c r="F39" s="173"/>
      <c r="G39" s="174">
        <f t="shared" si="4"/>
        <v>0</v>
      </c>
      <c r="H39" s="250"/>
      <c r="I39" s="252">
        <f t="shared" si="0"/>
        <v>0</v>
      </c>
      <c r="J39" s="174">
        <f t="shared" si="1"/>
        <v>0</v>
      </c>
      <c r="K39" s="173"/>
      <c r="L39" s="174">
        <f t="shared" si="2"/>
        <v>0</v>
      </c>
    </row>
    <row r="40" spans="1:12" x14ac:dyDescent="0.2">
      <c r="A40" s="1064">
        <v>1915</v>
      </c>
      <c r="B40" s="180" t="s">
        <v>214</v>
      </c>
      <c r="C40" s="173"/>
      <c r="D40" s="173"/>
      <c r="E40" s="174">
        <f t="shared" si="3"/>
        <v>0</v>
      </c>
      <c r="F40" s="173"/>
      <c r="G40" s="174">
        <f t="shared" si="4"/>
        <v>0</v>
      </c>
      <c r="H40" s="250"/>
      <c r="I40" s="252">
        <f t="shared" si="0"/>
        <v>0</v>
      </c>
      <c r="J40" s="174">
        <f t="shared" si="1"/>
        <v>0</v>
      </c>
      <c r="K40" s="173"/>
      <c r="L40" s="174">
        <f t="shared" si="2"/>
        <v>0</v>
      </c>
    </row>
    <row r="41" spans="1:12" x14ac:dyDescent="0.2">
      <c r="A41" s="1064">
        <v>1920</v>
      </c>
      <c r="B41" s="180" t="s">
        <v>215</v>
      </c>
      <c r="C41" s="173"/>
      <c r="D41" s="173"/>
      <c r="E41" s="174">
        <f t="shared" si="3"/>
        <v>0</v>
      </c>
      <c r="F41" s="173"/>
      <c r="G41" s="174">
        <f t="shared" si="4"/>
        <v>0</v>
      </c>
      <c r="H41" s="250"/>
      <c r="I41" s="252">
        <f t="shared" si="0"/>
        <v>0</v>
      </c>
      <c r="J41" s="174">
        <f t="shared" si="1"/>
        <v>0</v>
      </c>
      <c r="K41" s="173"/>
      <c r="L41" s="174">
        <f t="shared" si="2"/>
        <v>0</v>
      </c>
    </row>
    <row r="42" spans="1:12" x14ac:dyDescent="0.2">
      <c r="A42" s="254">
        <v>1920</v>
      </c>
      <c r="B42" s="172" t="s">
        <v>217</v>
      </c>
      <c r="C42" s="173"/>
      <c r="D42" s="173"/>
      <c r="E42" s="174">
        <f t="shared" si="3"/>
        <v>0</v>
      </c>
      <c r="F42" s="173"/>
      <c r="G42" s="174">
        <f t="shared" si="4"/>
        <v>0</v>
      </c>
      <c r="H42" s="250"/>
      <c r="I42" s="252">
        <f t="shared" si="0"/>
        <v>0</v>
      </c>
      <c r="J42" s="174">
        <f t="shared" si="1"/>
        <v>0</v>
      </c>
      <c r="K42" s="173"/>
      <c r="L42" s="174">
        <f t="shared" si="2"/>
        <v>0</v>
      </c>
    </row>
    <row r="43" spans="1:12" x14ac:dyDescent="0.2">
      <c r="A43" s="254">
        <v>1920</v>
      </c>
      <c r="B43" s="172" t="s">
        <v>216</v>
      </c>
      <c r="C43" s="173"/>
      <c r="D43" s="173"/>
      <c r="E43" s="174">
        <f t="shared" si="3"/>
        <v>0</v>
      </c>
      <c r="F43" s="173"/>
      <c r="G43" s="174">
        <f t="shared" si="4"/>
        <v>0</v>
      </c>
      <c r="H43" s="250"/>
      <c r="I43" s="252">
        <f t="shared" si="0"/>
        <v>0</v>
      </c>
      <c r="J43" s="174">
        <f t="shared" si="1"/>
        <v>0</v>
      </c>
      <c r="K43" s="173"/>
      <c r="L43" s="174">
        <f t="shared" si="2"/>
        <v>0</v>
      </c>
    </row>
    <row r="44" spans="1:12" x14ac:dyDescent="0.2">
      <c r="A44" s="1064">
        <v>1930</v>
      </c>
      <c r="B44" s="180" t="s">
        <v>286</v>
      </c>
      <c r="C44" s="173"/>
      <c r="D44" s="173"/>
      <c r="E44" s="174">
        <f t="shared" si="3"/>
        <v>0</v>
      </c>
      <c r="F44" s="173"/>
      <c r="G44" s="174">
        <f t="shared" si="4"/>
        <v>0</v>
      </c>
      <c r="H44" s="250"/>
      <c r="I44" s="252">
        <f t="shared" si="0"/>
        <v>0</v>
      </c>
      <c r="J44" s="174">
        <f t="shared" si="1"/>
        <v>0</v>
      </c>
      <c r="K44" s="173"/>
      <c r="L44" s="174">
        <f t="shared" si="2"/>
        <v>0</v>
      </c>
    </row>
    <row r="45" spans="1:12" x14ac:dyDescent="0.2">
      <c r="A45" s="1064">
        <v>1935</v>
      </c>
      <c r="B45" s="180" t="s">
        <v>287</v>
      </c>
      <c r="C45" s="173"/>
      <c r="D45" s="173"/>
      <c r="E45" s="174">
        <f t="shared" si="3"/>
        <v>0</v>
      </c>
      <c r="F45" s="173"/>
      <c r="G45" s="174">
        <f t="shared" si="4"/>
        <v>0</v>
      </c>
      <c r="H45" s="250"/>
      <c r="I45" s="252">
        <f t="shared" si="0"/>
        <v>0</v>
      </c>
      <c r="J45" s="174">
        <f t="shared" si="1"/>
        <v>0</v>
      </c>
      <c r="K45" s="173"/>
      <c r="L45" s="174">
        <f t="shared" si="2"/>
        <v>0</v>
      </c>
    </row>
    <row r="46" spans="1:12" x14ac:dyDescent="0.2">
      <c r="A46" s="1064">
        <v>1940</v>
      </c>
      <c r="B46" s="180" t="s">
        <v>288</v>
      </c>
      <c r="C46" s="173"/>
      <c r="D46" s="173"/>
      <c r="E46" s="174">
        <f t="shared" si="3"/>
        <v>0</v>
      </c>
      <c r="F46" s="173"/>
      <c r="G46" s="174">
        <f t="shared" si="4"/>
        <v>0</v>
      </c>
      <c r="H46" s="250"/>
      <c r="I46" s="252">
        <f t="shared" si="0"/>
        <v>0</v>
      </c>
      <c r="J46" s="174">
        <f t="shared" si="1"/>
        <v>0</v>
      </c>
      <c r="K46" s="173"/>
      <c r="L46" s="174">
        <f t="shared" si="2"/>
        <v>0</v>
      </c>
    </row>
    <row r="47" spans="1:12" x14ac:dyDescent="0.2">
      <c r="A47" s="1064">
        <v>1945</v>
      </c>
      <c r="B47" s="180" t="s">
        <v>289</v>
      </c>
      <c r="C47" s="173"/>
      <c r="D47" s="173"/>
      <c r="E47" s="174">
        <f t="shared" si="3"/>
        <v>0</v>
      </c>
      <c r="F47" s="173"/>
      <c r="G47" s="174">
        <f t="shared" si="4"/>
        <v>0</v>
      </c>
      <c r="H47" s="250"/>
      <c r="I47" s="252">
        <f t="shared" si="0"/>
        <v>0</v>
      </c>
      <c r="J47" s="174">
        <f t="shared" si="1"/>
        <v>0</v>
      </c>
      <c r="K47" s="173"/>
      <c r="L47" s="174">
        <f t="shared" si="2"/>
        <v>0</v>
      </c>
    </row>
    <row r="48" spans="1:12" x14ac:dyDescent="0.2">
      <c r="A48" s="1064">
        <v>1950</v>
      </c>
      <c r="B48" s="180" t="s">
        <v>218</v>
      </c>
      <c r="C48" s="173"/>
      <c r="D48" s="173"/>
      <c r="E48" s="174">
        <f t="shared" si="3"/>
        <v>0</v>
      </c>
      <c r="F48" s="173"/>
      <c r="G48" s="174">
        <f t="shared" si="4"/>
        <v>0</v>
      </c>
      <c r="H48" s="250"/>
      <c r="I48" s="252">
        <f t="shared" si="0"/>
        <v>0</v>
      </c>
      <c r="J48" s="174">
        <f t="shared" si="1"/>
        <v>0</v>
      </c>
      <c r="K48" s="173"/>
      <c r="L48" s="174">
        <f t="shared" si="2"/>
        <v>0</v>
      </c>
    </row>
    <row r="49" spans="1:12" x14ac:dyDescent="0.2">
      <c r="A49" s="1064">
        <v>1955</v>
      </c>
      <c r="B49" s="180" t="s">
        <v>290</v>
      </c>
      <c r="C49" s="173"/>
      <c r="D49" s="173"/>
      <c r="E49" s="174">
        <f t="shared" si="3"/>
        <v>0</v>
      </c>
      <c r="F49" s="173"/>
      <c r="G49" s="174">
        <f t="shared" si="4"/>
        <v>0</v>
      </c>
      <c r="H49" s="250"/>
      <c r="I49" s="252">
        <f t="shared" si="0"/>
        <v>0</v>
      </c>
      <c r="J49" s="174">
        <f t="shared" si="1"/>
        <v>0</v>
      </c>
      <c r="K49" s="173"/>
      <c r="L49" s="174">
        <f t="shared" si="2"/>
        <v>0</v>
      </c>
    </row>
    <row r="50" spans="1:12" x14ac:dyDescent="0.2">
      <c r="A50" s="255">
        <v>1955</v>
      </c>
      <c r="B50" s="184" t="s">
        <v>219</v>
      </c>
      <c r="C50" s="173"/>
      <c r="D50" s="173"/>
      <c r="E50" s="174">
        <f t="shared" si="3"/>
        <v>0</v>
      </c>
      <c r="F50" s="173"/>
      <c r="G50" s="174">
        <f t="shared" si="4"/>
        <v>0</v>
      </c>
      <c r="H50" s="250"/>
      <c r="I50" s="252">
        <f t="shared" si="0"/>
        <v>0</v>
      </c>
      <c r="J50" s="174">
        <f t="shared" si="1"/>
        <v>0</v>
      </c>
      <c r="K50" s="173"/>
      <c r="L50" s="174">
        <f t="shared" si="2"/>
        <v>0</v>
      </c>
    </row>
    <row r="51" spans="1:12" x14ac:dyDescent="0.2">
      <c r="A51" s="254">
        <v>1960</v>
      </c>
      <c r="B51" s="172" t="s">
        <v>220</v>
      </c>
      <c r="C51" s="173"/>
      <c r="D51" s="173"/>
      <c r="E51" s="174">
        <f t="shared" si="3"/>
        <v>0</v>
      </c>
      <c r="F51" s="173"/>
      <c r="G51" s="174">
        <f t="shared" si="4"/>
        <v>0</v>
      </c>
      <c r="H51" s="250"/>
      <c r="I51" s="252">
        <f t="shared" si="0"/>
        <v>0</v>
      </c>
      <c r="J51" s="174">
        <f t="shared" si="1"/>
        <v>0</v>
      </c>
      <c r="K51" s="173"/>
      <c r="L51" s="174">
        <f t="shared" si="2"/>
        <v>0</v>
      </c>
    </row>
    <row r="52" spans="1:12" x14ac:dyDescent="0.2">
      <c r="A52" s="255">
        <v>1970</v>
      </c>
      <c r="B52" s="256" t="s">
        <v>501</v>
      </c>
      <c r="C52" s="173"/>
      <c r="D52" s="173"/>
      <c r="E52" s="174">
        <f t="shared" si="3"/>
        <v>0</v>
      </c>
      <c r="F52" s="173"/>
      <c r="G52" s="174">
        <f t="shared" si="4"/>
        <v>0</v>
      </c>
      <c r="H52" s="250"/>
      <c r="I52" s="252">
        <f t="shared" si="0"/>
        <v>0</v>
      </c>
      <c r="J52" s="174">
        <f t="shared" si="1"/>
        <v>0</v>
      </c>
      <c r="K52" s="173"/>
      <c r="L52" s="174">
        <f t="shared" si="2"/>
        <v>0</v>
      </c>
    </row>
    <row r="53" spans="1:12" x14ac:dyDescent="0.2">
      <c r="A53" s="1064">
        <v>1975</v>
      </c>
      <c r="B53" s="180" t="s">
        <v>291</v>
      </c>
      <c r="C53" s="173"/>
      <c r="D53" s="173"/>
      <c r="E53" s="174">
        <f t="shared" si="3"/>
        <v>0</v>
      </c>
      <c r="F53" s="173"/>
      <c r="G53" s="174">
        <f t="shared" si="4"/>
        <v>0</v>
      </c>
      <c r="H53" s="250"/>
      <c r="I53" s="252">
        <f t="shared" si="0"/>
        <v>0</v>
      </c>
      <c r="J53" s="174">
        <f t="shared" si="1"/>
        <v>0</v>
      </c>
      <c r="K53" s="173"/>
      <c r="L53" s="174">
        <f t="shared" si="2"/>
        <v>0</v>
      </c>
    </row>
    <row r="54" spans="1:12" x14ac:dyDescent="0.2">
      <c r="A54" s="1064">
        <v>1980</v>
      </c>
      <c r="B54" s="180" t="s">
        <v>292</v>
      </c>
      <c r="C54" s="173"/>
      <c r="D54" s="173"/>
      <c r="E54" s="174">
        <f t="shared" si="3"/>
        <v>0</v>
      </c>
      <c r="F54" s="173"/>
      <c r="G54" s="174">
        <f t="shared" si="4"/>
        <v>0</v>
      </c>
      <c r="H54" s="250"/>
      <c r="I54" s="252">
        <f t="shared" si="0"/>
        <v>0</v>
      </c>
      <c r="J54" s="174">
        <f t="shared" si="1"/>
        <v>0</v>
      </c>
      <c r="K54" s="173"/>
      <c r="L54" s="174">
        <f t="shared" si="2"/>
        <v>0</v>
      </c>
    </row>
    <row r="55" spans="1:12" x14ac:dyDescent="0.2">
      <c r="A55" s="1064">
        <v>1985</v>
      </c>
      <c r="B55" s="180" t="s">
        <v>293</v>
      </c>
      <c r="C55" s="173"/>
      <c r="D55" s="173"/>
      <c r="E55" s="174">
        <f t="shared" si="3"/>
        <v>0</v>
      </c>
      <c r="F55" s="173"/>
      <c r="G55" s="174">
        <f t="shared" si="4"/>
        <v>0</v>
      </c>
      <c r="H55" s="250"/>
      <c r="I55" s="252">
        <f t="shared" si="0"/>
        <v>0</v>
      </c>
      <c r="J55" s="174">
        <f t="shared" si="1"/>
        <v>0</v>
      </c>
      <c r="K55" s="173"/>
      <c r="L55" s="174">
        <f t="shared" si="2"/>
        <v>0</v>
      </c>
    </row>
    <row r="56" spans="1:12" x14ac:dyDescent="0.2">
      <c r="A56" s="1064">
        <v>1990</v>
      </c>
      <c r="B56" s="1061" t="s">
        <v>502</v>
      </c>
      <c r="C56" s="173"/>
      <c r="D56" s="173"/>
      <c r="E56" s="174">
        <f t="shared" si="3"/>
        <v>0</v>
      </c>
      <c r="F56" s="173"/>
      <c r="G56" s="174">
        <f t="shared" si="4"/>
        <v>0</v>
      </c>
      <c r="H56" s="250"/>
      <c r="I56" s="252">
        <f t="shared" si="0"/>
        <v>0</v>
      </c>
      <c r="J56" s="174">
        <f t="shared" si="1"/>
        <v>0</v>
      </c>
      <c r="K56" s="173"/>
      <c r="L56" s="174">
        <f t="shared" si="2"/>
        <v>0</v>
      </c>
    </row>
    <row r="57" spans="1:12" ht="13.5" thickBot="1" x14ac:dyDescent="0.25">
      <c r="A57" s="1064">
        <v>1995</v>
      </c>
      <c r="B57" s="180" t="s">
        <v>294</v>
      </c>
      <c r="C57" s="257"/>
      <c r="D57" s="257"/>
      <c r="E57" s="258">
        <f t="shared" si="3"/>
        <v>0</v>
      </c>
      <c r="F57" s="257"/>
      <c r="G57" s="258">
        <f t="shared" si="4"/>
        <v>0</v>
      </c>
      <c r="H57" s="259"/>
      <c r="I57" s="260">
        <f t="shared" si="0"/>
        <v>0</v>
      </c>
      <c r="J57" s="258">
        <f t="shared" si="1"/>
        <v>0</v>
      </c>
      <c r="K57" s="257"/>
      <c r="L57" s="258">
        <f t="shared" si="2"/>
        <v>0</v>
      </c>
    </row>
    <row r="58" spans="1:12" ht="14.25" thickTop="1" thickBot="1" x14ac:dyDescent="0.25">
      <c r="A58" s="261"/>
      <c r="B58" s="262" t="s">
        <v>295</v>
      </c>
      <c r="C58" s="263">
        <f>SUM(C20:C57)</f>
        <v>0</v>
      </c>
      <c r="D58" s="263">
        <f>SUM(D20:D57)</f>
        <v>0</v>
      </c>
      <c r="E58" s="264">
        <f>SUM(E20:E57)</f>
        <v>0</v>
      </c>
      <c r="F58" s="264">
        <f>SUM(F20:F57)</f>
        <v>0</v>
      </c>
      <c r="G58" s="264">
        <f>SUM(G20:G57)</f>
        <v>0</v>
      </c>
      <c r="H58" s="265"/>
      <c r="I58" s="266"/>
      <c r="J58" s="264">
        <f>SUM(J20:J57)</f>
        <v>0</v>
      </c>
      <c r="K58" s="267">
        <f>SUM(K20:K57)</f>
        <v>0</v>
      </c>
      <c r="L58" s="264">
        <f>SUM(L20:L57)</f>
        <v>0</v>
      </c>
    </row>
    <row r="59" spans="1:12" ht="7.5" customHeight="1" x14ac:dyDescent="0.2"/>
    <row r="60" spans="1:12" x14ac:dyDescent="0.2">
      <c r="A60" s="1072" t="s">
        <v>11</v>
      </c>
      <c r="B60" s="56"/>
      <c r="C60" s="268"/>
      <c r="D60" s="268"/>
      <c r="E60" s="268"/>
      <c r="F60" s="268"/>
      <c r="G60" s="268"/>
      <c r="H60" s="269"/>
      <c r="I60" s="56"/>
      <c r="J60" s="268"/>
    </row>
    <row r="61" spans="1:12" x14ac:dyDescent="0.2">
      <c r="A61" s="56"/>
      <c r="B61" s="56"/>
      <c r="C61" s="268"/>
      <c r="D61" s="268"/>
      <c r="E61" s="268"/>
      <c r="F61" s="268"/>
      <c r="G61" s="268"/>
      <c r="H61" s="269"/>
      <c r="I61" s="56"/>
      <c r="J61" s="268"/>
    </row>
    <row r="62" spans="1:12" ht="24.75" customHeight="1" x14ac:dyDescent="0.2">
      <c r="A62" s="270">
        <v>1</v>
      </c>
      <c r="B62" s="1590" t="s">
        <v>424</v>
      </c>
      <c r="C62" s="1590"/>
      <c r="D62" s="1590"/>
      <c r="E62" s="1590"/>
      <c r="F62" s="1590"/>
      <c r="G62" s="1590"/>
      <c r="H62" s="1590"/>
      <c r="I62" s="1590"/>
      <c r="J62" s="1590"/>
      <c r="K62" s="1590"/>
      <c r="L62" s="1590"/>
    </row>
    <row r="63" spans="1:12" x14ac:dyDescent="0.2">
      <c r="A63" s="1070">
        <v>2</v>
      </c>
      <c r="B63" s="1683" t="s">
        <v>1069</v>
      </c>
      <c r="C63" s="1683"/>
      <c r="D63" s="1683"/>
      <c r="E63" s="1683"/>
      <c r="F63" s="1683"/>
      <c r="G63" s="1683"/>
      <c r="H63" s="1683"/>
      <c r="I63" s="1683"/>
      <c r="J63" s="1683"/>
      <c r="K63" s="268"/>
    </row>
    <row r="64" spans="1:12" x14ac:dyDescent="0.2">
      <c r="A64" s="1070"/>
      <c r="B64" s="1683"/>
      <c r="C64" s="1683"/>
      <c r="D64" s="1683"/>
      <c r="E64" s="1683"/>
      <c r="F64" s="1683"/>
      <c r="G64" s="1683"/>
      <c r="H64" s="1683"/>
      <c r="I64" s="1683"/>
      <c r="J64" s="1683"/>
      <c r="K64" s="268"/>
    </row>
    <row r="65" spans="1:14" ht="12.75" customHeight="1" x14ac:dyDescent="0.2">
      <c r="A65" s="152" t="s">
        <v>423</v>
      </c>
      <c r="B65" s="1684" t="s">
        <v>190</v>
      </c>
      <c r="C65" s="1684"/>
      <c r="D65" s="1684"/>
      <c r="E65" s="1684"/>
      <c r="F65" s="1684"/>
      <c r="G65" s="1684"/>
      <c r="H65" s="1684"/>
      <c r="I65" s="1684"/>
      <c r="J65" s="1684"/>
      <c r="K65" s="1684"/>
      <c r="L65" s="1684"/>
      <c r="M65" s="271"/>
      <c r="N65" s="271"/>
    </row>
    <row r="66" spans="1:14" x14ac:dyDescent="0.2">
      <c r="B66" s="1684"/>
      <c r="C66" s="1684"/>
      <c r="D66" s="1684"/>
      <c r="E66" s="1684"/>
      <c r="F66" s="1684"/>
      <c r="G66" s="1684"/>
      <c r="H66" s="1684"/>
      <c r="I66" s="1684"/>
      <c r="J66" s="1684"/>
      <c r="K66" s="1684"/>
      <c r="L66" s="1684"/>
      <c r="M66" s="271"/>
      <c r="N66" s="271"/>
    </row>
    <row r="67" spans="1:14" x14ac:dyDescent="0.2">
      <c r="B67" s="271"/>
      <c r="C67" s="272"/>
      <c r="D67" s="272"/>
      <c r="E67" s="272"/>
      <c r="F67" s="272"/>
      <c r="G67" s="272"/>
      <c r="H67" s="273"/>
      <c r="I67" s="271"/>
      <c r="J67" s="272"/>
      <c r="K67" s="272"/>
      <c r="L67" s="272"/>
      <c r="M67" s="271"/>
      <c r="N67" s="271"/>
    </row>
  </sheetData>
  <mergeCells count="14">
    <mergeCell ref="C14:J14"/>
    <mergeCell ref="B62:L62"/>
    <mergeCell ref="B63:J64"/>
    <mergeCell ref="B65:L66"/>
    <mergeCell ref="A9:L9"/>
    <mergeCell ref="A10:L10"/>
    <mergeCell ref="A18:A19"/>
    <mergeCell ref="B18:B19"/>
    <mergeCell ref="K18:K19"/>
    <mergeCell ref="B11:K11"/>
    <mergeCell ref="A13:B13"/>
    <mergeCell ref="A14:B14"/>
    <mergeCell ref="A15:B15"/>
    <mergeCell ref="C15:J15"/>
  </mergeCells>
  <dataValidations count="2">
    <dataValidation allowBlank="1" showInputMessage="1" showErrorMessage="1" promptTitle="Date Format" prompt="E.g:  &quot;August 1, 2011&quot;" sqref="WVR983050 JF7 TB7 ACX7 AMT7 AWP7 BGL7 BQH7 CAD7 CJZ7 CTV7 DDR7 DNN7 DXJ7 EHF7 ERB7 FAX7 FKT7 FUP7 GEL7 GOH7 GYD7 HHZ7 HRV7 IBR7 ILN7 IVJ7 JFF7 JPB7 JYX7 KIT7 KSP7 LCL7 LMH7 LWD7 MFZ7 MPV7 MZR7 NJN7 NTJ7 ODF7 ONB7 OWX7 PGT7 PQP7 QAL7 QKH7 QUD7 RDZ7 RNV7 RXR7 SHN7 SRJ7 TBF7 TLB7 TUX7 UET7 UOP7 UYL7 VIH7 VSD7 WBZ7 WLV7 WVR7 J65546 JF65546 TB65546 ACX65546 AMT65546 AWP65546 BGL65546 BQH65546 CAD65546 CJZ65546 CTV65546 DDR65546 DNN65546 DXJ65546 EHF65546 ERB65546 FAX65546 FKT65546 FUP65546 GEL65546 GOH65546 GYD65546 HHZ65546 HRV65546 IBR65546 ILN65546 IVJ65546 JFF65546 JPB65546 JYX65546 KIT65546 KSP65546 LCL65546 LMH65546 LWD65546 MFZ65546 MPV65546 MZR65546 NJN65546 NTJ65546 ODF65546 ONB65546 OWX65546 PGT65546 PQP65546 QAL65546 QKH65546 QUD65546 RDZ65546 RNV65546 RXR65546 SHN65546 SRJ65546 TBF65546 TLB65546 TUX65546 UET65546 UOP65546 UYL65546 VIH65546 VSD65546 WBZ65546 WLV65546 WVR65546 J131082 JF131082 TB131082 ACX131082 AMT131082 AWP131082 BGL131082 BQH131082 CAD131082 CJZ131082 CTV131082 DDR131082 DNN131082 DXJ131082 EHF131082 ERB131082 FAX131082 FKT131082 FUP131082 GEL131082 GOH131082 GYD131082 HHZ131082 HRV131082 IBR131082 ILN131082 IVJ131082 JFF131082 JPB131082 JYX131082 KIT131082 KSP131082 LCL131082 LMH131082 LWD131082 MFZ131082 MPV131082 MZR131082 NJN131082 NTJ131082 ODF131082 ONB131082 OWX131082 PGT131082 PQP131082 QAL131082 QKH131082 QUD131082 RDZ131082 RNV131082 RXR131082 SHN131082 SRJ131082 TBF131082 TLB131082 TUX131082 UET131082 UOP131082 UYL131082 VIH131082 VSD131082 WBZ131082 WLV131082 WVR131082 J196618 JF196618 TB196618 ACX196618 AMT196618 AWP196618 BGL196618 BQH196618 CAD196618 CJZ196618 CTV196618 DDR196618 DNN196618 DXJ196618 EHF196618 ERB196618 FAX196618 FKT196618 FUP196618 GEL196618 GOH196618 GYD196618 HHZ196618 HRV196618 IBR196618 ILN196618 IVJ196618 JFF196618 JPB196618 JYX196618 KIT196618 KSP196618 LCL196618 LMH196618 LWD196618 MFZ196618 MPV196618 MZR196618 NJN196618 NTJ196618 ODF196618 ONB196618 OWX196618 PGT196618 PQP196618 QAL196618 QKH196618 QUD196618 RDZ196618 RNV196618 RXR196618 SHN196618 SRJ196618 TBF196618 TLB196618 TUX196618 UET196618 UOP196618 UYL196618 VIH196618 VSD196618 WBZ196618 WLV196618 WVR196618 J262154 JF262154 TB262154 ACX262154 AMT262154 AWP262154 BGL262154 BQH262154 CAD262154 CJZ262154 CTV262154 DDR262154 DNN262154 DXJ262154 EHF262154 ERB262154 FAX262154 FKT262154 FUP262154 GEL262154 GOH262154 GYD262154 HHZ262154 HRV262154 IBR262154 ILN262154 IVJ262154 JFF262154 JPB262154 JYX262154 KIT262154 KSP262154 LCL262154 LMH262154 LWD262154 MFZ262154 MPV262154 MZR262154 NJN262154 NTJ262154 ODF262154 ONB262154 OWX262154 PGT262154 PQP262154 QAL262154 QKH262154 QUD262154 RDZ262154 RNV262154 RXR262154 SHN262154 SRJ262154 TBF262154 TLB262154 TUX262154 UET262154 UOP262154 UYL262154 VIH262154 VSD262154 WBZ262154 WLV262154 WVR262154 J327690 JF327690 TB327690 ACX327690 AMT327690 AWP327690 BGL327690 BQH327690 CAD327690 CJZ327690 CTV327690 DDR327690 DNN327690 DXJ327690 EHF327690 ERB327690 FAX327690 FKT327690 FUP327690 GEL327690 GOH327690 GYD327690 HHZ327690 HRV327690 IBR327690 ILN327690 IVJ327690 JFF327690 JPB327690 JYX327690 KIT327690 KSP327690 LCL327690 LMH327690 LWD327690 MFZ327690 MPV327690 MZR327690 NJN327690 NTJ327690 ODF327690 ONB327690 OWX327690 PGT327690 PQP327690 QAL327690 QKH327690 QUD327690 RDZ327690 RNV327690 RXR327690 SHN327690 SRJ327690 TBF327690 TLB327690 TUX327690 UET327690 UOP327690 UYL327690 VIH327690 VSD327690 WBZ327690 WLV327690 WVR327690 J393226 JF393226 TB393226 ACX393226 AMT393226 AWP393226 BGL393226 BQH393226 CAD393226 CJZ393226 CTV393226 DDR393226 DNN393226 DXJ393226 EHF393226 ERB393226 FAX393226 FKT393226 FUP393226 GEL393226 GOH393226 GYD393226 HHZ393226 HRV393226 IBR393226 ILN393226 IVJ393226 JFF393226 JPB393226 JYX393226 KIT393226 KSP393226 LCL393226 LMH393226 LWD393226 MFZ393226 MPV393226 MZR393226 NJN393226 NTJ393226 ODF393226 ONB393226 OWX393226 PGT393226 PQP393226 QAL393226 QKH393226 QUD393226 RDZ393226 RNV393226 RXR393226 SHN393226 SRJ393226 TBF393226 TLB393226 TUX393226 UET393226 UOP393226 UYL393226 VIH393226 VSD393226 WBZ393226 WLV393226 WVR393226 J458762 JF458762 TB458762 ACX458762 AMT458762 AWP458762 BGL458762 BQH458762 CAD458762 CJZ458762 CTV458762 DDR458762 DNN458762 DXJ458762 EHF458762 ERB458762 FAX458762 FKT458762 FUP458762 GEL458762 GOH458762 GYD458762 HHZ458762 HRV458762 IBR458762 ILN458762 IVJ458762 JFF458762 JPB458762 JYX458762 KIT458762 KSP458762 LCL458762 LMH458762 LWD458762 MFZ458762 MPV458762 MZR458762 NJN458762 NTJ458762 ODF458762 ONB458762 OWX458762 PGT458762 PQP458762 QAL458762 QKH458762 QUD458762 RDZ458762 RNV458762 RXR458762 SHN458762 SRJ458762 TBF458762 TLB458762 TUX458762 UET458762 UOP458762 UYL458762 VIH458762 VSD458762 WBZ458762 WLV458762 WVR458762 J524298 JF524298 TB524298 ACX524298 AMT524298 AWP524298 BGL524298 BQH524298 CAD524298 CJZ524298 CTV524298 DDR524298 DNN524298 DXJ524298 EHF524298 ERB524298 FAX524298 FKT524298 FUP524298 GEL524298 GOH524298 GYD524298 HHZ524298 HRV524298 IBR524298 ILN524298 IVJ524298 JFF524298 JPB524298 JYX524298 KIT524298 KSP524298 LCL524298 LMH524298 LWD524298 MFZ524298 MPV524298 MZR524298 NJN524298 NTJ524298 ODF524298 ONB524298 OWX524298 PGT524298 PQP524298 QAL524298 QKH524298 QUD524298 RDZ524298 RNV524298 RXR524298 SHN524298 SRJ524298 TBF524298 TLB524298 TUX524298 UET524298 UOP524298 UYL524298 VIH524298 VSD524298 WBZ524298 WLV524298 WVR524298 J589834 JF589834 TB589834 ACX589834 AMT589834 AWP589834 BGL589834 BQH589834 CAD589834 CJZ589834 CTV589834 DDR589834 DNN589834 DXJ589834 EHF589834 ERB589834 FAX589834 FKT589834 FUP589834 GEL589834 GOH589834 GYD589834 HHZ589834 HRV589834 IBR589834 ILN589834 IVJ589834 JFF589834 JPB589834 JYX589834 KIT589834 KSP589834 LCL589834 LMH589834 LWD589834 MFZ589834 MPV589834 MZR589834 NJN589834 NTJ589834 ODF589834 ONB589834 OWX589834 PGT589834 PQP589834 QAL589834 QKH589834 QUD589834 RDZ589834 RNV589834 RXR589834 SHN589834 SRJ589834 TBF589834 TLB589834 TUX589834 UET589834 UOP589834 UYL589834 VIH589834 VSD589834 WBZ589834 WLV589834 WVR589834 J655370 JF655370 TB655370 ACX655370 AMT655370 AWP655370 BGL655370 BQH655370 CAD655370 CJZ655370 CTV655370 DDR655370 DNN655370 DXJ655370 EHF655370 ERB655370 FAX655370 FKT655370 FUP655370 GEL655370 GOH655370 GYD655370 HHZ655370 HRV655370 IBR655370 ILN655370 IVJ655370 JFF655370 JPB655370 JYX655370 KIT655370 KSP655370 LCL655370 LMH655370 LWD655370 MFZ655370 MPV655370 MZR655370 NJN655370 NTJ655370 ODF655370 ONB655370 OWX655370 PGT655370 PQP655370 QAL655370 QKH655370 QUD655370 RDZ655370 RNV655370 RXR655370 SHN655370 SRJ655370 TBF655370 TLB655370 TUX655370 UET655370 UOP655370 UYL655370 VIH655370 VSD655370 WBZ655370 WLV655370 WVR655370 J720906 JF720906 TB720906 ACX720906 AMT720906 AWP720906 BGL720906 BQH720906 CAD720906 CJZ720906 CTV720906 DDR720906 DNN720906 DXJ720906 EHF720906 ERB720906 FAX720906 FKT720906 FUP720906 GEL720906 GOH720906 GYD720906 HHZ720906 HRV720906 IBR720906 ILN720906 IVJ720906 JFF720906 JPB720906 JYX720906 KIT720906 KSP720906 LCL720906 LMH720906 LWD720906 MFZ720906 MPV720906 MZR720906 NJN720906 NTJ720906 ODF720906 ONB720906 OWX720906 PGT720906 PQP720906 QAL720906 QKH720906 QUD720906 RDZ720906 RNV720906 RXR720906 SHN720906 SRJ720906 TBF720906 TLB720906 TUX720906 UET720906 UOP720906 UYL720906 VIH720906 VSD720906 WBZ720906 WLV720906 WVR720906 J786442 JF786442 TB786442 ACX786442 AMT786442 AWP786442 BGL786442 BQH786442 CAD786442 CJZ786442 CTV786442 DDR786442 DNN786442 DXJ786442 EHF786442 ERB786442 FAX786442 FKT786442 FUP786442 GEL786442 GOH786442 GYD786442 HHZ786442 HRV786442 IBR786442 ILN786442 IVJ786442 JFF786442 JPB786442 JYX786442 KIT786442 KSP786442 LCL786442 LMH786442 LWD786442 MFZ786442 MPV786442 MZR786442 NJN786442 NTJ786442 ODF786442 ONB786442 OWX786442 PGT786442 PQP786442 QAL786442 QKH786442 QUD786442 RDZ786442 RNV786442 RXR786442 SHN786442 SRJ786442 TBF786442 TLB786442 TUX786442 UET786442 UOP786442 UYL786442 VIH786442 VSD786442 WBZ786442 WLV786442 WVR786442 J851978 JF851978 TB851978 ACX851978 AMT851978 AWP851978 BGL851978 BQH851978 CAD851978 CJZ851978 CTV851978 DDR851978 DNN851978 DXJ851978 EHF851978 ERB851978 FAX851978 FKT851978 FUP851978 GEL851978 GOH851978 GYD851978 HHZ851978 HRV851978 IBR851978 ILN851978 IVJ851978 JFF851978 JPB851978 JYX851978 KIT851978 KSP851978 LCL851978 LMH851978 LWD851978 MFZ851978 MPV851978 MZR851978 NJN851978 NTJ851978 ODF851978 ONB851978 OWX851978 PGT851978 PQP851978 QAL851978 QKH851978 QUD851978 RDZ851978 RNV851978 RXR851978 SHN851978 SRJ851978 TBF851978 TLB851978 TUX851978 UET851978 UOP851978 UYL851978 VIH851978 VSD851978 WBZ851978 WLV851978 WVR851978 J917514 JF917514 TB917514 ACX917514 AMT917514 AWP917514 BGL917514 BQH917514 CAD917514 CJZ917514 CTV917514 DDR917514 DNN917514 DXJ917514 EHF917514 ERB917514 FAX917514 FKT917514 FUP917514 GEL917514 GOH917514 GYD917514 HHZ917514 HRV917514 IBR917514 ILN917514 IVJ917514 JFF917514 JPB917514 JYX917514 KIT917514 KSP917514 LCL917514 LMH917514 LWD917514 MFZ917514 MPV917514 MZR917514 NJN917514 NTJ917514 ODF917514 ONB917514 OWX917514 PGT917514 PQP917514 QAL917514 QKH917514 QUD917514 RDZ917514 RNV917514 RXR917514 SHN917514 SRJ917514 TBF917514 TLB917514 TUX917514 UET917514 UOP917514 UYL917514 VIH917514 VSD917514 WBZ917514 WLV917514 WVR917514 J983050 JF983050 TB983050 ACX983050 AMT983050 AWP983050 BGL983050 BQH983050 CAD983050 CJZ983050 CTV983050 DDR983050 DNN983050 DXJ983050 EHF983050 ERB983050 FAX983050 FKT983050 FUP983050 GEL983050 GOH983050 GYD983050 HHZ983050 HRV983050 IBR983050 ILN983050 IVJ983050 JFF983050 JPB983050 JYX983050 KIT983050 KSP983050 LCL983050 LMH983050 LWD983050 MFZ983050 MPV983050 MZR983050 NJN983050 NTJ983050 ODF983050 ONB983050 OWX983050 PGT983050 PQP983050 QAL983050 QKH983050 QUD983050 RDZ983050 RNV983050 RXR983050 SHN983050 SRJ983050 TBF983050 TLB983050 TUX983050 UET983050 UOP983050 UYL983050 VIH983050 VSD983050 WBZ983050 WLV983050"/>
    <dataValidation allowBlank="1" showErrorMessage="1" promptTitle="Date Format" prompt="E.g:  &quot;August 1, 2011&quot;" sqref="J7"/>
  </dataValidations>
  <printOptions horizontalCentered="1"/>
  <pageMargins left="0.74803149606299213" right="0.74803149606299213" top="0.70866141732283472" bottom="0.39370078740157483" header="0.39370078740157483" footer="0.27559055118110237"/>
  <pageSetup scale="49" orientation="landscape"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194563" r:id="rId4" name="Check Box 3">
              <controlPr defaultSize="0" autoFill="0" autoLine="0" autoPict="0">
                <anchor moveWithCells="1">
                  <from>
                    <xdr:col>0</xdr:col>
                    <xdr:colOff>323850</xdr:colOff>
                    <xdr:row>13</xdr:row>
                    <xdr:rowOff>66675</xdr:rowOff>
                  </from>
                  <to>
                    <xdr:col>0</xdr:col>
                    <xdr:colOff>590550</xdr:colOff>
                    <xdr:row>13</xdr:row>
                    <xdr:rowOff>485775</xdr:rowOff>
                  </to>
                </anchor>
              </controlPr>
            </control>
          </mc:Choice>
        </mc:AlternateContent>
        <mc:AlternateContent xmlns:mc="http://schemas.openxmlformats.org/markup-compatibility/2006">
          <mc:Choice Requires="x14">
            <control shapeId="194564" r:id="rId5" name="Check Box 4">
              <controlPr defaultSize="0" autoFill="0" autoLine="0" autoPict="0">
                <anchor moveWithCells="1">
                  <from>
                    <xdr:col>0</xdr:col>
                    <xdr:colOff>304800</xdr:colOff>
                    <xdr:row>14</xdr:row>
                    <xdr:rowOff>0</xdr:rowOff>
                  </from>
                  <to>
                    <xdr:col>0</xdr:col>
                    <xdr:colOff>571500</xdr:colOff>
                    <xdr:row>14</xdr:row>
                    <xdr:rowOff>419100</xdr:rowOff>
                  </to>
                </anchor>
              </controlPr>
            </control>
          </mc:Choice>
        </mc:AlternateContent>
      </controls>
    </mc:Choice>
  </mc:AlternateContent>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40">
    <tabColor rgb="FF00B0F0"/>
    <pageSetUpPr fitToPage="1"/>
  </sheetPr>
  <dimension ref="A1:P74"/>
  <sheetViews>
    <sheetView showGridLines="0" view="pageBreakPreview" zoomScale="60" zoomScaleNormal="100" workbookViewId="0">
      <selection activeCell="A9" sqref="A9:O9"/>
    </sheetView>
  </sheetViews>
  <sheetFormatPr defaultRowHeight="12.75" x14ac:dyDescent="0.2"/>
  <cols>
    <col min="1" max="1" width="9.140625" style="52"/>
    <col min="2" max="2" width="40.28515625" style="52" bestFit="1" customWidth="1"/>
    <col min="3" max="3" width="12" style="52" customWidth="1"/>
    <col min="4" max="4" width="10" style="52" customWidth="1"/>
    <col min="5" max="5" width="14.85546875" style="52" customWidth="1"/>
    <col min="6" max="6" width="9.5703125" style="52" customWidth="1"/>
    <col min="7" max="7" width="13" style="52" customWidth="1"/>
    <col min="8" max="8" width="12.85546875" style="52" customWidth="1"/>
    <col min="9" max="9" width="13" style="52" customWidth="1"/>
    <col min="10" max="10" width="12.42578125" style="52" customWidth="1"/>
    <col min="11" max="11" width="15.5703125" style="52" customWidth="1"/>
    <col min="12" max="12" width="11.85546875" style="52" customWidth="1"/>
    <col min="13" max="13" width="12.85546875" style="52" customWidth="1"/>
    <col min="14" max="14" width="17.42578125" style="52" customWidth="1"/>
    <col min="15" max="15" width="17.140625" style="52" customWidth="1"/>
    <col min="16" max="256" width="9.140625" style="52"/>
    <col min="257" max="257" width="2.7109375" style="52" customWidth="1"/>
    <col min="258" max="258" width="9.140625" style="52"/>
    <col min="259" max="259" width="40.28515625" style="52" bestFit="1" customWidth="1"/>
    <col min="260" max="260" width="12" style="52" customWidth="1"/>
    <col min="261" max="261" width="10" style="52" customWidth="1"/>
    <col min="262" max="262" width="14.85546875" style="52" customWidth="1"/>
    <col min="263" max="263" width="9.5703125" style="52" customWidth="1"/>
    <col min="264" max="265" width="12.28515625" style="52" customWidth="1"/>
    <col min="266" max="268" width="12.85546875" style="52" customWidth="1"/>
    <col min="269" max="269" width="12.7109375" style="52" customWidth="1"/>
    <col min="270" max="270" width="12.28515625" style="52" bestFit="1" customWidth="1"/>
    <col min="271" max="271" width="13.140625" style="52" customWidth="1"/>
    <col min="272" max="512" width="9.140625" style="52"/>
    <col min="513" max="513" width="2.7109375" style="52" customWidth="1"/>
    <col min="514" max="514" width="9.140625" style="52"/>
    <col min="515" max="515" width="40.28515625" style="52" bestFit="1" customWidth="1"/>
    <col min="516" max="516" width="12" style="52" customWidth="1"/>
    <col min="517" max="517" width="10" style="52" customWidth="1"/>
    <col min="518" max="518" width="14.85546875" style="52" customWidth="1"/>
    <col min="519" max="519" width="9.5703125" style="52" customWidth="1"/>
    <col min="520" max="521" width="12.28515625" style="52" customWidth="1"/>
    <col min="522" max="524" width="12.85546875" style="52" customWidth="1"/>
    <col min="525" max="525" width="12.7109375" style="52" customWidth="1"/>
    <col min="526" max="526" width="12.28515625" style="52" bestFit="1" customWidth="1"/>
    <col min="527" max="527" width="13.140625" style="52" customWidth="1"/>
    <col min="528" max="768" width="9.140625" style="52"/>
    <col min="769" max="769" width="2.7109375" style="52" customWidth="1"/>
    <col min="770" max="770" width="9.140625" style="52"/>
    <col min="771" max="771" width="40.28515625" style="52" bestFit="1" customWidth="1"/>
    <col min="772" max="772" width="12" style="52" customWidth="1"/>
    <col min="773" max="773" width="10" style="52" customWidth="1"/>
    <col min="774" max="774" width="14.85546875" style="52" customWidth="1"/>
    <col min="775" max="775" width="9.5703125" style="52" customWidth="1"/>
    <col min="776" max="777" width="12.28515625" style="52" customWidth="1"/>
    <col min="778" max="780" width="12.85546875" style="52" customWidth="1"/>
    <col min="781" max="781" width="12.7109375" style="52" customWidth="1"/>
    <col min="782" max="782" width="12.28515625" style="52" bestFit="1" customWidth="1"/>
    <col min="783" max="783" width="13.140625" style="52" customWidth="1"/>
    <col min="784" max="1024" width="9.140625" style="52"/>
    <col min="1025" max="1025" width="2.7109375" style="52" customWidth="1"/>
    <col min="1026" max="1026" width="9.140625" style="52"/>
    <col min="1027" max="1027" width="40.28515625" style="52" bestFit="1" customWidth="1"/>
    <col min="1028" max="1028" width="12" style="52" customWidth="1"/>
    <col min="1029" max="1029" width="10" style="52" customWidth="1"/>
    <col min="1030" max="1030" width="14.85546875" style="52" customWidth="1"/>
    <col min="1031" max="1031" width="9.5703125" style="52" customWidth="1"/>
    <col min="1032" max="1033" width="12.28515625" style="52" customWidth="1"/>
    <col min="1034" max="1036" width="12.85546875" style="52" customWidth="1"/>
    <col min="1037" max="1037" width="12.7109375" style="52" customWidth="1"/>
    <col min="1038" max="1038" width="12.28515625" style="52" bestFit="1" customWidth="1"/>
    <col min="1039" max="1039" width="13.140625" style="52" customWidth="1"/>
    <col min="1040" max="1280" width="9.140625" style="52"/>
    <col min="1281" max="1281" width="2.7109375" style="52" customWidth="1"/>
    <col min="1282" max="1282" width="9.140625" style="52"/>
    <col min="1283" max="1283" width="40.28515625" style="52" bestFit="1" customWidth="1"/>
    <col min="1284" max="1284" width="12" style="52" customWidth="1"/>
    <col min="1285" max="1285" width="10" style="52" customWidth="1"/>
    <col min="1286" max="1286" width="14.85546875" style="52" customWidth="1"/>
    <col min="1287" max="1287" width="9.5703125" style="52" customWidth="1"/>
    <col min="1288" max="1289" width="12.28515625" style="52" customWidth="1"/>
    <col min="1290" max="1292" width="12.85546875" style="52" customWidth="1"/>
    <col min="1293" max="1293" width="12.7109375" style="52" customWidth="1"/>
    <col min="1294" max="1294" width="12.28515625" style="52" bestFit="1" customWidth="1"/>
    <col min="1295" max="1295" width="13.140625" style="52" customWidth="1"/>
    <col min="1296" max="1536" width="9.140625" style="52"/>
    <col min="1537" max="1537" width="2.7109375" style="52" customWidth="1"/>
    <col min="1538" max="1538" width="9.140625" style="52"/>
    <col min="1539" max="1539" width="40.28515625" style="52" bestFit="1" customWidth="1"/>
    <col min="1540" max="1540" width="12" style="52" customWidth="1"/>
    <col min="1541" max="1541" width="10" style="52" customWidth="1"/>
    <col min="1542" max="1542" width="14.85546875" style="52" customWidth="1"/>
    <col min="1543" max="1543" width="9.5703125" style="52" customWidth="1"/>
    <col min="1544" max="1545" width="12.28515625" style="52" customWidth="1"/>
    <col min="1546" max="1548" width="12.85546875" style="52" customWidth="1"/>
    <col min="1549" max="1549" width="12.7109375" style="52" customWidth="1"/>
    <col min="1550" max="1550" width="12.28515625" style="52" bestFit="1" customWidth="1"/>
    <col min="1551" max="1551" width="13.140625" style="52" customWidth="1"/>
    <col min="1552" max="1792" width="9.140625" style="52"/>
    <col min="1793" max="1793" width="2.7109375" style="52" customWidth="1"/>
    <col min="1794" max="1794" width="9.140625" style="52"/>
    <col min="1795" max="1795" width="40.28515625" style="52" bestFit="1" customWidth="1"/>
    <col min="1796" max="1796" width="12" style="52" customWidth="1"/>
    <col min="1797" max="1797" width="10" style="52" customWidth="1"/>
    <col min="1798" max="1798" width="14.85546875" style="52" customWidth="1"/>
    <col min="1799" max="1799" width="9.5703125" style="52" customWidth="1"/>
    <col min="1800" max="1801" width="12.28515625" style="52" customWidth="1"/>
    <col min="1802" max="1804" width="12.85546875" style="52" customWidth="1"/>
    <col min="1805" max="1805" width="12.7109375" style="52" customWidth="1"/>
    <col min="1806" max="1806" width="12.28515625" style="52" bestFit="1" customWidth="1"/>
    <col min="1807" max="1807" width="13.140625" style="52" customWidth="1"/>
    <col min="1808" max="2048" width="9.140625" style="52"/>
    <col min="2049" max="2049" width="2.7109375" style="52" customWidth="1"/>
    <col min="2050" max="2050" width="9.140625" style="52"/>
    <col min="2051" max="2051" width="40.28515625" style="52" bestFit="1" customWidth="1"/>
    <col min="2052" max="2052" width="12" style="52" customWidth="1"/>
    <col min="2053" max="2053" width="10" style="52" customWidth="1"/>
    <col min="2054" max="2054" width="14.85546875" style="52" customWidth="1"/>
    <col min="2055" max="2055" width="9.5703125" style="52" customWidth="1"/>
    <col min="2056" max="2057" width="12.28515625" style="52" customWidth="1"/>
    <col min="2058" max="2060" width="12.85546875" style="52" customWidth="1"/>
    <col min="2061" max="2061" width="12.7109375" style="52" customWidth="1"/>
    <col min="2062" max="2062" width="12.28515625" style="52" bestFit="1" customWidth="1"/>
    <col min="2063" max="2063" width="13.140625" style="52" customWidth="1"/>
    <col min="2064" max="2304" width="9.140625" style="52"/>
    <col min="2305" max="2305" width="2.7109375" style="52" customWidth="1"/>
    <col min="2306" max="2306" width="9.140625" style="52"/>
    <col min="2307" max="2307" width="40.28515625" style="52" bestFit="1" customWidth="1"/>
    <col min="2308" max="2308" width="12" style="52" customWidth="1"/>
    <col min="2309" max="2309" width="10" style="52" customWidth="1"/>
    <col min="2310" max="2310" width="14.85546875" style="52" customWidth="1"/>
    <col min="2311" max="2311" width="9.5703125" style="52" customWidth="1"/>
    <col min="2312" max="2313" width="12.28515625" style="52" customWidth="1"/>
    <col min="2314" max="2316" width="12.85546875" style="52" customWidth="1"/>
    <col min="2317" max="2317" width="12.7109375" style="52" customWidth="1"/>
    <col min="2318" max="2318" width="12.28515625" style="52" bestFit="1" customWidth="1"/>
    <col min="2319" max="2319" width="13.140625" style="52" customWidth="1"/>
    <col min="2320" max="2560" width="9.140625" style="52"/>
    <col min="2561" max="2561" width="2.7109375" style="52" customWidth="1"/>
    <col min="2562" max="2562" width="9.140625" style="52"/>
    <col min="2563" max="2563" width="40.28515625" style="52" bestFit="1" customWidth="1"/>
    <col min="2564" max="2564" width="12" style="52" customWidth="1"/>
    <col min="2565" max="2565" width="10" style="52" customWidth="1"/>
    <col min="2566" max="2566" width="14.85546875" style="52" customWidth="1"/>
    <col min="2567" max="2567" width="9.5703125" style="52" customWidth="1"/>
    <col min="2568" max="2569" width="12.28515625" style="52" customWidth="1"/>
    <col min="2570" max="2572" width="12.85546875" style="52" customWidth="1"/>
    <col min="2573" max="2573" width="12.7109375" style="52" customWidth="1"/>
    <col min="2574" max="2574" width="12.28515625" style="52" bestFit="1" customWidth="1"/>
    <col min="2575" max="2575" width="13.140625" style="52" customWidth="1"/>
    <col min="2576" max="2816" width="9.140625" style="52"/>
    <col min="2817" max="2817" width="2.7109375" style="52" customWidth="1"/>
    <col min="2818" max="2818" width="9.140625" style="52"/>
    <col min="2819" max="2819" width="40.28515625" style="52" bestFit="1" customWidth="1"/>
    <col min="2820" max="2820" width="12" style="52" customWidth="1"/>
    <col min="2821" max="2821" width="10" style="52" customWidth="1"/>
    <col min="2822" max="2822" width="14.85546875" style="52" customWidth="1"/>
    <col min="2823" max="2823" width="9.5703125" style="52" customWidth="1"/>
    <col min="2824" max="2825" width="12.28515625" style="52" customWidth="1"/>
    <col min="2826" max="2828" width="12.85546875" style="52" customWidth="1"/>
    <col min="2829" max="2829" width="12.7109375" style="52" customWidth="1"/>
    <col min="2830" max="2830" width="12.28515625" style="52" bestFit="1" customWidth="1"/>
    <col min="2831" max="2831" width="13.140625" style="52" customWidth="1"/>
    <col min="2832" max="3072" width="9.140625" style="52"/>
    <col min="3073" max="3073" width="2.7109375" style="52" customWidth="1"/>
    <col min="3074" max="3074" width="9.140625" style="52"/>
    <col min="3075" max="3075" width="40.28515625" style="52" bestFit="1" customWidth="1"/>
    <col min="3076" max="3076" width="12" style="52" customWidth="1"/>
    <col min="3077" max="3077" width="10" style="52" customWidth="1"/>
    <col min="3078" max="3078" width="14.85546875" style="52" customWidth="1"/>
    <col min="3079" max="3079" width="9.5703125" style="52" customWidth="1"/>
    <col min="3080" max="3081" width="12.28515625" style="52" customWidth="1"/>
    <col min="3082" max="3084" width="12.85546875" style="52" customWidth="1"/>
    <col min="3085" max="3085" width="12.7109375" style="52" customWidth="1"/>
    <col min="3086" max="3086" width="12.28515625" style="52" bestFit="1" customWidth="1"/>
    <col min="3087" max="3087" width="13.140625" style="52" customWidth="1"/>
    <col min="3088" max="3328" width="9.140625" style="52"/>
    <col min="3329" max="3329" width="2.7109375" style="52" customWidth="1"/>
    <col min="3330" max="3330" width="9.140625" style="52"/>
    <col min="3331" max="3331" width="40.28515625" style="52" bestFit="1" customWidth="1"/>
    <col min="3332" max="3332" width="12" style="52" customWidth="1"/>
    <col min="3333" max="3333" width="10" style="52" customWidth="1"/>
    <col min="3334" max="3334" width="14.85546875" style="52" customWidth="1"/>
    <col min="3335" max="3335" width="9.5703125" style="52" customWidth="1"/>
    <col min="3336" max="3337" width="12.28515625" style="52" customWidth="1"/>
    <col min="3338" max="3340" width="12.85546875" style="52" customWidth="1"/>
    <col min="3341" max="3341" width="12.7109375" style="52" customWidth="1"/>
    <col min="3342" max="3342" width="12.28515625" style="52" bestFit="1" customWidth="1"/>
    <col min="3343" max="3343" width="13.140625" style="52" customWidth="1"/>
    <col min="3344" max="3584" width="9.140625" style="52"/>
    <col min="3585" max="3585" width="2.7109375" style="52" customWidth="1"/>
    <col min="3586" max="3586" width="9.140625" style="52"/>
    <col min="3587" max="3587" width="40.28515625" style="52" bestFit="1" customWidth="1"/>
    <col min="3588" max="3588" width="12" style="52" customWidth="1"/>
    <col min="3589" max="3589" width="10" style="52" customWidth="1"/>
    <col min="3590" max="3590" width="14.85546875" style="52" customWidth="1"/>
    <col min="3591" max="3591" width="9.5703125" style="52" customWidth="1"/>
    <col min="3592" max="3593" width="12.28515625" style="52" customWidth="1"/>
    <col min="3594" max="3596" width="12.85546875" style="52" customWidth="1"/>
    <col min="3597" max="3597" width="12.7109375" style="52" customWidth="1"/>
    <col min="3598" max="3598" width="12.28515625" style="52" bestFit="1" customWidth="1"/>
    <col min="3599" max="3599" width="13.140625" style="52" customWidth="1"/>
    <col min="3600" max="3840" width="9.140625" style="52"/>
    <col min="3841" max="3841" width="2.7109375" style="52" customWidth="1"/>
    <col min="3842" max="3842" width="9.140625" style="52"/>
    <col min="3843" max="3843" width="40.28515625" style="52" bestFit="1" customWidth="1"/>
    <col min="3844" max="3844" width="12" style="52" customWidth="1"/>
    <col min="3845" max="3845" width="10" style="52" customWidth="1"/>
    <col min="3846" max="3846" width="14.85546875" style="52" customWidth="1"/>
    <col min="3847" max="3847" width="9.5703125" style="52" customWidth="1"/>
    <col min="3848" max="3849" width="12.28515625" style="52" customWidth="1"/>
    <col min="3850" max="3852" width="12.85546875" style="52" customWidth="1"/>
    <col min="3853" max="3853" width="12.7109375" style="52" customWidth="1"/>
    <col min="3854" max="3854" width="12.28515625" style="52" bestFit="1" customWidth="1"/>
    <col min="3855" max="3855" width="13.140625" style="52" customWidth="1"/>
    <col min="3856" max="4096" width="9.140625" style="52"/>
    <col min="4097" max="4097" width="2.7109375" style="52" customWidth="1"/>
    <col min="4098" max="4098" width="9.140625" style="52"/>
    <col min="4099" max="4099" width="40.28515625" style="52" bestFit="1" customWidth="1"/>
    <col min="4100" max="4100" width="12" style="52" customWidth="1"/>
    <col min="4101" max="4101" width="10" style="52" customWidth="1"/>
    <col min="4102" max="4102" width="14.85546875" style="52" customWidth="1"/>
    <col min="4103" max="4103" width="9.5703125" style="52" customWidth="1"/>
    <col min="4104" max="4105" width="12.28515625" style="52" customWidth="1"/>
    <col min="4106" max="4108" width="12.85546875" style="52" customWidth="1"/>
    <col min="4109" max="4109" width="12.7109375" style="52" customWidth="1"/>
    <col min="4110" max="4110" width="12.28515625" style="52" bestFit="1" customWidth="1"/>
    <col min="4111" max="4111" width="13.140625" style="52" customWidth="1"/>
    <col min="4112" max="4352" width="9.140625" style="52"/>
    <col min="4353" max="4353" width="2.7109375" style="52" customWidth="1"/>
    <col min="4354" max="4354" width="9.140625" style="52"/>
    <col min="4355" max="4355" width="40.28515625" style="52" bestFit="1" customWidth="1"/>
    <col min="4356" max="4356" width="12" style="52" customWidth="1"/>
    <col min="4357" max="4357" width="10" style="52" customWidth="1"/>
    <col min="4358" max="4358" width="14.85546875" style="52" customWidth="1"/>
    <col min="4359" max="4359" width="9.5703125" style="52" customWidth="1"/>
    <col min="4360" max="4361" width="12.28515625" style="52" customWidth="1"/>
    <col min="4362" max="4364" width="12.85546875" style="52" customWidth="1"/>
    <col min="4365" max="4365" width="12.7109375" style="52" customWidth="1"/>
    <col min="4366" max="4366" width="12.28515625" style="52" bestFit="1" customWidth="1"/>
    <col min="4367" max="4367" width="13.140625" style="52" customWidth="1"/>
    <col min="4368" max="4608" width="9.140625" style="52"/>
    <col min="4609" max="4609" width="2.7109375" style="52" customWidth="1"/>
    <col min="4610" max="4610" width="9.140625" style="52"/>
    <col min="4611" max="4611" width="40.28515625" style="52" bestFit="1" customWidth="1"/>
    <col min="4612" max="4612" width="12" style="52" customWidth="1"/>
    <col min="4613" max="4613" width="10" style="52" customWidth="1"/>
    <col min="4614" max="4614" width="14.85546875" style="52" customWidth="1"/>
    <col min="4615" max="4615" width="9.5703125" style="52" customWidth="1"/>
    <col min="4616" max="4617" width="12.28515625" style="52" customWidth="1"/>
    <col min="4618" max="4620" width="12.85546875" style="52" customWidth="1"/>
    <col min="4621" max="4621" width="12.7109375" style="52" customWidth="1"/>
    <col min="4622" max="4622" width="12.28515625" style="52" bestFit="1" customWidth="1"/>
    <col min="4623" max="4623" width="13.140625" style="52" customWidth="1"/>
    <col min="4624" max="4864" width="9.140625" style="52"/>
    <col min="4865" max="4865" width="2.7109375" style="52" customWidth="1"/>
    <col min="4866" max="4866" width="9.140625" style="52"/>
    <col min="4867" max="4867" width="40.28515625" style="52" bestFit="1" customWidth="1"/>
    <col min="4868" max="4868" width="12" style="52" customWidth="1"/>
    <col min="4869" max="4869" width="10" style="52" customWidth="1"/>
    <col min="4870" max="4870" width="14.85546875" style="52" customWidth="1"/>
    <col min="4871" max="4871" width="9.5703125" style="52" customWidth="1"/>
    <col min="4872" max="4873" width="12.28515625" style="52" customWidth="1"/>
    <col min="4874" max="4876" width="12.85546875" style="52" customWidth="1"/>
    <col min="4877" max="4877" width="12.7109375" style="52" customWidth="1"/>
    <col min="4878" max="4878" width="12.28515625" style="52" bestFit="1" customWidth="1"/>
    <col min="4879" max="4879" width="13.140625" style="52" customWidth="1"/>
    <col min="4880" max="5120" width="9.140625" style="52"/>
    <col min="5121" max="5121" width="2.7109375" style="52" customWidth="1"/>
    <col min="5122" max="5122" width="9.140625" style="52"/>
    <col min="5123" max="5123" width="40.28515625" style="52" bestFit="1" customWidth="1"/>
    <col min="5124" max="5124" width="12" style="52" customWidth="1"/>
    <col min="5125" max="5125" width="10" style="52" customWidth="1"/>
    <col min="5126" max="5126" width="14.85546875" style="52" customWidth="1"/>
    <col min="5127" max="5127" width="9.5703125" style="52" customWidth="1"/>
    <col min="5128" max="5129" width="12.28515625" style="52" customWidth="1"/>
    <col min="5130" max="5132" width="12.85546875" style="52" customWidth="1"/>
    <col min="5133" max="5133" width="12.7109375" style="52" customWidth="1"/>
    <col min="5134" max="5134" width="12.28515625" style="52" bestFit="1" customWidth="1"/>
    <col min="5135" max="5135" width="13.140625" style="52" customWidth="1"/>
    <col min="5136" max="5376" width="9.140625" style="52"/>
    <col min="5377" max="5377" width="2.7109375" style="52" customWidth="1"/>
    <col min="5378" max="5378" width="9.140625" style="52"/>
    <col min="5379" max="5379" width="40.28515625" style="52" bestFit="1" customWidth="1"/>
    <col min="5380" max="5380" width="12" style="52" customWidth="1"/>
    <col min="5381" max="5381" width="10" style="52" customWidth="1"/>
    <col min="5382" max="5382" width="14.85546875" style="52" customWidth="1"/>
    <col min="5383" max="5383" width="9.5703125" style="52" customWidth="1"/>
    <col min="5384" max="5385" width="12.28515625" style="52" customWidth="1"/>
    <col min="5386" max="5388" width="12.85546875" style="52" customWidth="1"/>
    <col min="5389" max="5389" width="12.7109375" style="52" customWidth="1"/>
    <col min="5390" max="5390" width="12.28515625" style="52" bestFit="1" customWidth="1"/>
    <col min="5391" max="5391" width="13.140625" style="52" customWidth="1"/>
    <col min="5392" max="5632" width="9.140625" style="52"/>
    <col min="5633" max="5633" width="2.7109375" style="52" customWidth="1"/>
    <col min="5634" max="5634" width="9.140625" style="52"/>
    <col min="5635" max="5635" width="40.28515625" style="52" bestFit="1" customWidth="1"/>
    <col min="5636" max="5636" width="12" style="52" customWidth="1"/>
    <col min="5637" max="5637" width="10" style="52" customWidth="1"/>
    <col min="5638" max="5638" width="14.85546875" style="52" customWidth="1"/>
    <col min="5639" max="5639" width="9.5703125" style="52" customWidth="1"/>
    <col min="5640" max="5641" width="12.28515625" style="52" customWidth="1"/>
    <col min="5642" max="5644" width="12.85546875" style="52" customWidth="1"/>
    <col min="5645" max="5645" width="12.7109375" style="52" customWidth="1"/>
    <col min="5646" max="5646" width="12.28515625" style="52" bestFit="1" customWidth="1"/>
    <col min="5647" max="5647" width="13.140625" style="52" customWidth="1"/>
    <col min="5648" max="5888" width="9.140625" style="52"/>
    <col min="5889" max="5889" width="2.7109375" style="52" customWidth="1"/>
    <col min="5890" max="5890" width="9.140625" style="52"/>
    <col min="5891" max="5891" width="40.28515625" style="52" bestFit="1" customWidth="1"/>
    <col min="5892" max="5892" width="12" style="52" customWidth="1"/>
    <col min="5893" max="5893" width="10" style="52" customWidth="1"/>
    <col min="5894" max="5894" width="14.85546875" style="52" customWidth="1"/>
    <col min="5895" max="5895" width="9.5703125" style="52" customWidth="1"/>
    <col min="5896" max="5897" width="12.28515625" style="52" customWidth="1"/>
    <col min="5898" max="5900" width="12.85546875" style="52" customWidth="1"/>
    <col min="5901" max="5901" width="12.7109375" style="52" customWidth="1"/>
    <col min="5902" max="5902" width="12.28515625" style="52" bestFit="1" customWidth="1"/>
    <col min="5903" max="5903" width="13.140625" style="52" customWidth="1"/>
    <col min="5904" max="6144" width="9.140625" style="52"/>
    <col min="6145" max="6145" width="2.7109375" style="52" customWidth="1"/>
    <col min="6146" max="6146" width="9.140625" style="52"/>
    <col min="6147" max="6147" width="40.28515625" style="52" bestFit="1" customWidth="1"/>
    <col min="6148" max="6148" width="12" style="52" customWidth="1"/>
    <col min="6149" max="6149" width="10" style="52" customWidth="1"/>
    <col min="6150" max="6150" width="14.85546875" style="52" customWidth="1"/>
    <col min="6151" max="6151" width="9.5703125" style="52" customWidth="1"/>
    <col min="6152" max="6153" width="12.28515625" style="52" customWidth="1"/>
    <col min="6154" max="6156" width="12.85546875" style="52" customWidth="1"/>
    <col min="6157" max="6157" width="12.7109375" style="52" customWidth="1"/>
    <col min="6158" max="6158" width="12.28515625" style="52" bestFit="1" customWidth="1"/>
    <col min="6159" max="6159" width="13.140625" style="52" customWidth="1"/>
    <col min="6160" max="6400" width="9.140625" style="52"/>
    <col min="6401" max="6401" width="2.7109375" style="52" customWidth="1"/>
    <col min="6402" max="6402" width="9.140625" style="52"/>
    <col min="6403" max="6403" width="40.28515625" style="52" bestFit="1" customWidth="1"/>
    <col min="6404" max="6404" width="12" style="52" customWidth="1"/>
    <col min="6405" max="6405" width="10" style="52" customWidth="1"/>
    <col min="6406" max="6406" width="14.85546875" style="52" customWidth="1"/>
    <col min="6407" max="6407" width="9.5703125" style="52" customWidth="1"/>
    <col min="6408" max="6409" width="12.28515625" style="52" customWidth="1"/>
    <col min="6410" max="6412" width="12.85546875" style="52" customWidth="1"/>
    <col min="6413" max="6413" width="12.7109375" style="52" customWidth="1"/>
    <col min="6414" max="6414" width="12.28515625" style="52" bestFit="1" customWidth="1"/>
    <col min="6415" max="6415" width="13.140625" style="52" customWidth="1"/>
    <col min="6416" max="6656" width="9.140625" style="52"/>
    <col min="6657" max="6657" width="2.7109375" style="52" customWidth="1"/>
    <col min="6658" max="6658" width="9.140625" style="52"/>
    <col min="6659" max="6659" width="40.28515625" style="52" bestFit="1" customWidth="1"/>
    <col min="6660" max="6660" width="12" style="52" customWidth="1"/>
    <col min="6661" max="6661" width="10" style="52" customWidth="1"/>
    <col min="6662" max="6662" width="14.85546875" style="52" customWidth="1"/>
    <col min="6663" max="6663" width="9.5703125" style="52" customWidth="1"/>
    <col min="6664" max="6665" width="12.28515625" style="52" customWidth="1"/>
    <col min="6666" max="6668" width="12.85546875" style="52" customWidth="1"/>
    <col min="6669" max="6669" width="12.7109375" style="52" customWidth="1"/>
    <col min="6670" max="6670" width="12.28515625" style="52" bestFit="1" customWidth="1"/>
    <col min="6671" max="6671" width="13.140625" style="52" customWidth="1"/>
    <col min="6672" max="6912" width="9.140625" style="52"/>
    <col min="6913" max="6913" width="2.7109375" style="52" customWidth="1"/>
    <col min="6914" max="6914" width="9.140625" style="52"/>
    <col min="6915" max="6915" width="40.28515625" style="52" bestFit="1" customWidth="1"/>
    <col min="6916" max="6916" width="12" style="52" customWidth="1"/>
    <col min="6917" max="6917" width="10" style="52" customWidth="1"/>
    <col min="6918" max="6918" width="14.85546875" style="52" customWidth="1"/>
    <col min="6919" max="6919" width="9.5703125" style="52" customWidth="1"/>
    <col min="6920" max="6921" width="12.28515625" style="52" customWidth="1"/>
    <col min="6922" max="6924" width="12.85546875" style="52" customWidth="1"/>
    <col min="6925" max="6925" width="12.7109375" style="52" customWidth="1"/>
    <col min="6926" max="6926" width="12.28515625" style="52" bestFit="1" customWidth="1"/>
    <col min="6927" max="6927" width="13.140625" style="52" customWidth="1"/>
    <col min="6928" max="7168" width="9.140625" style="52"/>
    <col min="7169" max="7169" width="2.7109375" style="52" customWidth="1"/>
    <col min="7170" max="7170" width="9.140625" style="52"/>
    <col min="7171" max="7171" width="40.28515625" style="52" bestFit="1" customWidth="1"/>
    <col min="7172" max="7172" width="12" style="52" customWidth="1"/>
    <col min="7173" max="7173" width="10" style="52" customWidth="1"/>
    <col min="7174" max="7174" width="14.85546875" style="52" customWidth="1"/>
    <col min="7175" max="7175" width="9.5703125" style="52" customWidth="1"/>
    <col min="7176" max="7177" width="12.28515625" style="52" customWidth="1"/>
    <col min="7178" max="7180" width="12.85546875" style="52" customWidth="1"/>
    <col min="7181" max="7181" width="12.7109375" style="52" customWidth="1"/>
    <col min="7182" max="7182" width="12.28515625" style="52" bestFit="1" customWidth="1"/>
    <col min="7183" max="7183" width="13.140625" style="52" customWidth="1"/>
    <col min="7184" max="7424" width="9.140625" style="52"/>
    <col min="7425" max="7425" width="2.7109375" style="52" customWidth="1"/>
    <col min="7426" max="7426" width="9.140625" style="52"/>
    <col min="7427" max="7427" width="40.28515625" style="52" bestFit="1" customWidth="1"/>
    <col min="7428" max="7428" width="12" style="52" customWidth="1"/>
    <col min="7429" max="7429" width="10" style="52" customWidth="1"/>
    <col min="7430" max="7430" width="14.85546875" style="52" customWidth="1"/>
    <col min="7431" max="7431" width="9.5703125" style="52" customWidth="1"/>
    <col min="7432" max="7433" width="12.28515625" style="52" customWidth="1"/>
    <col min="7434" max="7436" width="12.85546875" style="52" customWidth="1"/>
    <col min="7437" max="7437" width="12.7109375" style="52" customWidth="1"/>
    <col min="7438" max="7438" width="12.28515625" style="52" bestFit="1" customWidth="1"/>
    <col min="7439" max="7439" width="13.140625" style="52" customWidth="1"/>
    <col min="7440" max="7680" width="9.140625" style="52"/>
    <col min="7681" max="7681" width="2.7109375" style="52" customWidth="1"/>
    <col min="7682" max="7682" width="9.140625" style="52"/>
    <col min="7683" max="7683" width="40.28515625" style="52" bestFit="1" customWidth="1"/>
    <col min="7684" max="7684" width="12" style="52" customWidth="1"/>
    <col min="7685" max="7685" width="10" style="52" customWidth="1"/>
    <col min="7686" max="7686" width="14.85546875" style="52" customWidth="1"/>
    <col min="7687" max="7687" width="9.5703125" style="52" customWidth="1"/>
    <col min="7688" max="7689" width="12.28515625" style="52" customWidth="1"/>
    <col min="7690" max="7692" width="12.85546875" style="52" customWidth="1"/>
    <col min="7693" max="7693" width="12.7109375" style="52" customWidth="1"/>
    <col min="7694" max="7694" width="12.28515625" style="52" bestFit="1" customWidth="1"/>
    <col min="7695" max="7695" width="13.140625" style="52" customWidth="1"/>
    <col min="7696" max="7936" width="9.140625" style="52"/>
    <col min="7937" max="7937" width="2.7109375" style="52" customWidth="1"/>
    <col min="7938" max="7938" width="9.140625" style="52"/>
    <col min="7939" max="7939" width="40.28515625" style="52" bestFit="1" customWidth="1"/>
    <col min="7940" max="7940" width="12" style="52" customWidth="1"/>
    <col min="7941" max="7941" width="10" style="52" customWidth="1"/>
    <col min="7942" max="7942" width="14.85546875" style="52" customWidth="1"/>
    <col min="7943" max="7943" width="9.5703125" style="52" customWidth="1"/>
    <col min="7944" max="7945" width="12.28515625" style="52" customWidth="1"/>
    <col min="7946" max="7948" width="12.85546875" style="52" customWidth="1"/>
    <col min="7949" max="7949" width="12.7109375" style="52" customWidth="1"/>
    <col min="7950" max="7950" width="12.28515625" style="52" bestFit="1" customWidth="1"/>
    <col min="7951" max="7951" width="13.140625" style="52" customWidth="1"/>
    <col min="7952" max="8192" width="9.140625" style="52"/>
    <col min="8193" max="8193" width="2.7109375" style="52" customWidth="1"/>
    <col min="8194" max="8194" width="9.140625" style="52"/>
    <col min="8195" max="8195" width="40.28515625" style="52" bestFit="1" customWidth="1"/>
    <col min="8196" max="8196" width="12" style="52" customWidth="1"/>
    <col min="8197" max="8197" width="10" style="52" customWidth="1"/>
    <col min="8198" max="8198" width="14.85546875" style="52" customWidth="1"/>
    <col min="8199" max="8199" width="9.5703125" style="52" customWidth="1"/>
    <col min="8200" max="8201" width="12.28515625" style="52" customWidth="1"/>
    <col min="8202" max="8204" width="12.85546875" style="52" customWidth="1"/>
    <col min="8205" max="8205" width="12.7109375" style="52" customWidth="1"/>
    <col min="8206" max="8206" width="12.28515625" style="52" bestFit="1" customWidth="1"/>
    <col min="8207" max="8207" width="13.140625" style="52" customWidth="1"/>
    <col min="8208" max="8448" width="9.140625" style="52"/>
    <col min="8449" max="8449" width="2.7109375" style="52" customWidth="1"/>
    <col min="8450" max="8450" width="9.140625" style="52"/>
    <col min="8451" max="8451" width="40.28515625" style="52" bestFit="1" customWidth="1"/>
    <col min="8452" max="8452" width="12" style="52" customWidth="1"/>
    <col min="8453" max="8453" width="10" style="52" customWidth="1"/>
    <col min="8454" max="8454" width="14.85546875" style="52" customWidth="1"/>
    <col min="8455" max="8455" width="9.5703125" style="52" customWidth="1"/>
    <col min="8456" max="8457" width="12.28515625" style="52" customWidth="1"/>
    <col min="8458" max="8460" width="12.85546875" style="52" customWidth="1"/>
    <col min="8461" max="8461" width="12.7109375" style="52" customWidth="1"/>
    <col min="8462" max="8462" width="12.28515625" style="52" bestFit="1" customWidth="1"/>
    <col min="8463" max="8463" width="13.140625" style="52" customWidth="1"/>
    <col min="8464" max="8704" width="9.140625" style="52"/>
    <col min="8705" max="8705" width="2.7109375" style="52" customWidth="1"/>
    <col min="8706" max="8706" width="9.140625" style="52"/>
    <col min="8707" max="8707" width="40.28515625" style="52" bestFit="1" customWidth="1"/>
    <col min="8708" max="8708" width="12" style="52" customWidth="1"/>
    <col min="8709" max="8709" width="10" style="52" customWidth="1"/>
    <col min="8710" max="8710" width="14.85546875" style="52" customWidth="1"/>
    <col min="8711" max="8711" width="9.5703125" style="52" customWidth="1"/>
    <col min="8712" max="8713" width="12.28515625" style="52" customWidth="1"/>
    <col min="8714" max="8716" width="12.85546875" style="52" customWidth="1"/>
    <col min="8717" max="8717" width="12.7109375" style="52" customWidth="1"/>
    <col min="8718" max="8718" width="12.28515625" style="52" bestFit="1" customWidth="1"/>
    <col min="8719" max="8719" width="13.140625" style="52" customWidth="1"/>
    <col min="8720" max="8960" width="9.140625" style="52"/>
    <col min="8961" max="8961" width="2.7109375" style="52" customWidth="1"/>
    <col min="8962" max="8962" width="9.140625" style="52"/>
    <col min="8963" max="8963" width="40.28515625" style="52" bestFit="1" customWidth="1"/>
    <col min="8964" max="8964" width="12" style="52" customWidth="1"/>
    <col min="8965" max="8965" width="10" style="52" customWidth="1"/>
    <col min="8966" max="8966" width="14.85546875" style="52" customWidth="1"/>
    <col min="8967" max="8967" width="9.5703125" style="52" customWidth="1"/>
    <col min="8968" max="8969" width="12.28515625" style="52" customWidth="1"/>
    <col min="8970" max="8972" width="12.85546875" style="52" customWidth="1"/>
    <col min="8973" max="8973" width="12.7109375" style="52" customWidth="1"/>
    <col min="8974" max="8974" width="12.28515625" style="52" bestFit="1" customWidth="1"/>
    <col min="8975" max="8975" width="13.140625" style="52" customWidth="1"/>
    <col min="8976" max="9216" width="9.140625" style="52"/>
    <col min="9217" max="9217" width="2.7109375" style="52" customWidth="1"/>
    <col min="9218" max="9218" width="9.140625" style="52"/>
    <col min="9219" max="9219" width="40.28515625" style="52" bestFit="1" customWidth="1"/>
    <col min="9220" max="9220" width="12" style="52" customWidth="1"/>
    <col min="9221" max="9221" width="10" style="52" customWidth="1"/>
    <col min="9222" max="9222" width="14.85546875" style="52" customWidth="1"/>
    <col min="9223" max="9223" width="9.5703125" style="52" customWidth="1"/>
    <col min="9224" max="9225" width="12.28515625" style="52" customWidth="1"/>
    <col min="9226" max="9228" width="12.85546875" style="52" customWidth="1"/>
    <col min="9229" max="9229" width="12.7109375" style="52" customWidth="1"/>
    <col min="9230" max="9230" width="12.28515625" style="52" bestFit="1" customWidth="1"/>
    <col min="9231" max="9231" width="13.140625" style="52" customWidth="1"/>
    <col min="9232" max="9472" width="9.140625" style="52"/>
    <col min="9473" max="9473" width="2.7109375" style="52" customWidth="1"/>
    <col min="9474" max="9474" width="9.140625" style="52"/>
    <col min="9475" max="9475" width="40.28515625" style="52" bestFit="1" customWidth="1"/>
    <col min="9476" max="9476" width="12" style="52" customWidth="1"/>
    <col min="9477" max="9477" width="10" style="52" customWidth="1"/>
    <col min="9478" max="9478" width="14.85546875" style="52" customWidth="1"/>
    <col min="9479" max="9479" width="9.5703125" style="52" customWidth="1"/>
    <col min="9480" max="9481" width="12.28515625" style="52" customWidth="1"/>
    <col min="9482" max="9484" width="12.85546875" style="52" customWidth="1"/>
    <col min="9485" max="9485" width="12.7109375" style="52" customWidth="1"/>
    <col min="9486" max="9486" width="12.28515625" style="52" bestFit="1" customWidth="1"/>
    <col min="9487" max="9487" width="13.140625" style="52" customWidth="1"/>
    <col min="9488" max="9728" width="9.140625" style="52"/>
    <col min="9729" max="9729" width="2.7109375" style="52" customWidth="1"/>
    <col min="9730" max="9730" width="9.140625" style="52"/>
    <col min="9731" max="9731" width="40.28515625" style="52" bestFit="1" customWidth="1"/>
    <col min="9732" max="9732" width="12" style="52" customWidth="1"/>
    <col min="9733" max="9733" width="10" style="52" customWidth="1"/>
    <col min="9734" max="9734" width="14.85546875" style="52" customWidth="1"/>
    <col min="9735" max="9735" width="9.5703125" style="52" customWidth="1"/>
    <col min="9736" max="9737" width="12.28515625" style="52" customWidth="1"/>
    <col min="9738" max="9740" width="12.85546875" style="52" customWidth="1"/>
    <col min="9741" max="9741" width="12.7109375" style="52" customWidth="1"/>
    <col min="9742" max="9742" width="12.28515625" style="52" bestFit="1" customWidth="1"/>
    <col min="9743" max="9743" width="13.140625" style="52" customWidth="1"/>
    <col min="9744" max="9984" width="9.140625" style="52"/>
    <col min="9985" max="9985" width="2.7109375" style="52" customWidth="1"/>
    <col min="9986" max="9986" width="9.140625" style="52"/>
    <col min="9987" max="9987" width="40.28515625" style="52" bestFit="1" customWidth="1"/>
    <col min="9988" max="9988" width="12" style="52" customWidth="1"/>
    <col min="9989" max="9989" width="10" style="52" customWidth="1"/>
    <col min="9990" max="9990" width="14.85546875" style="52" customWidth="1"/>
    <col min="9991" max="9991" width="9.5703125" style="52" customWidth="1"/>
    <col min="9992" max="9993" width="12.28515625" style="52" customWidth="1"/>
    <col min="9994" max="9996" width="12.85546875" style="52" customWidth="1"/>
    <col min="9997" max="9997" width="12.7109375" style="52" customWidth="1"/>
    <col min="9998" max="9998" width="12.28515625" style="52" bestFit="1" customWidth="1"/>
    <col min="9999" max="9999" width="13.140625" style="52" customWidth="1"/>
    <col min="10000" max="10240" width="9.140625" style="52"/>
    <col min="10241" max="10241" width="2.7109375" style="52" customWidth="1"/>
    <col min="10242" max="10242" width="9.140625" style="52"/>
    <col min="10243" max="10243" width="40.28515625" style="52" bestFit="1" customWidth="1"/>
    <col min="10244" max="10244" width="12" style="52" customWidth="1"/>
    <col min="10245" max="10245" width="10" style="52" customWidth="1"/>
    <col min="10246" max="10246" width="14.85546875" style="52" customWidth="1"/>
    <col min="10247" max="10247" width="9.5703125" style="52" customWidth="1"/>
    <col min="10248" max="10249" width="12.28515625" style="52" customWidth="1"/>
    <col min="10250" max="10252" width="12.85546875" style="52" customWidth="1"/>
    <col min="10253" max="10253" width="12.7109375" style="52" customWidth="1"/>
    <col min="10254" max="10254" width="12.28515625" style="52" bestFit="1" customWidth="1"/>
    <col min="10255" max="10255" width="13.140625" style="52" customWidth="1"/>
    <col min="10256" max="10496" width="9.140625" style="52"/>
    <col min="10497" max="10497" width="2.7109375" style="52" customWidth="1"/>
    <col min="10498" max="10498" width="9.140625" style="52"/>
    <col min="10499" max="10499" width="40.28515625" style="52" bestFit="1" customWidth="1"/>
    <col min="10500" max="10500" width="12" style="52" customWidth="1"/>
    <col min="10501" max="10501" width="10" style="52" customWidth="1"/>
    <col min="10502" max="10502" width="14.85546875" style="52" customWidth="1"/>
    <col min="10503" max="10503" width="9.5703125" style="52" customWidth="1"/>
    <col min="10504" max="10505" width="12.28515625" style="52" customWidth="1"/>
    <col min="10506" max="10508" width="12.85546875" style="52" customWidth="1"/>
    <col min="10509" max="10509" width="12.7109375" style="52" customWidth="1"/>
    <col min="10510" max="10510" width="12.28515625" style="52" bestFit="1" customWidth="1"/>
    <col min="10511" max="10511" width="13.140625" style="52" customWidth="1"/>
    <col min="10512" max="10752" width="9.140625" style="52"/>
    <col min="10753" max="10753" width="2.7109375" style="52" customWidth="1"/>
    <col min="10754" max="10754" width="9.140625" style="52"/>
    <col min="10755" max="10755" width="40.28515625" style="52" bestFit="1" customWidth="1"/>
    <col min="10756" max="10756" width="12" style="52" customWidth="1"/>
    <col min="10757" max="10757" width="10" style="52" customWidth="1"/>
    <col min="10758" max="10758" width="14.85546875" style="52" customWidth="1"/>
    <col min="10759" max="10759" width="9.5703125" style="52" customWidth="1"/>
    <col min="10760" max="10761" width="12.28515625" style="52" customWidth="1"/>
    <col min="10762" max="10764" width="12.85546875" style="52" customWidth="1"/>
    <col min="10765" max="10765" width="12.7109375" style="52" customWidth="1"/>
    <col min="10766" max="10766" width="12.28515625" style="52" bestFit="1" customWidth="1"/>
    <col min="10767" max="10767" width="13.140625" style="52" customWidth="1"/>
    <col min="10768" max="11008" width="9.140625" style="52"/>
    <col min="11009" max="11009" width="2.7109375" style="52" customWidth="1"/>
    <col min="11010" max="11010" width="9.140625" style="52"/>
    <col min="11011" max="11011" width="40.28515625" style="52" bestFit="1" customWidth="1"/>
    <col min="11012" max="11012" width="12" style="52" customWidth="1"/>
    <col min="11013" max="11013" width="10" style="52" customWidth="1"/>
    <col min="11014" max="11014" width="14.85546875" style="52" customWidth="1"/>
    <col min="11015" max="11015" width="9.5703125" style="52" customWidth="1"/>
    <col min="11016" max="11017" width="12.28515625" style="52" customWidth="1"/>
    <col min="11018" max="11020" width="12.85546875" style="52" customWidth="1"/>
    <col min="11021" max="11021" width="12.7109375" style="52" customWidth="1"/>
    <col min="11022" max="11022" width="12.28515625" style="52" bestFit="1" customWidth="1"/>
    <col min="11023" max="11023" width="13.140625" style="52" customWidth="1"/>
    <col min="11024" max="11264" width="9.140625" style="52"/>
    <col min="11265" max="11265" width="2.7109375" style="52" customWidth="1"/>
    <col min="11266" max="11266" width="9.140625" style="52"/>
    <col min="11267" max="11267" width="40.28515625" style="52" bestFit="1" customWidth="1"/>
    <col min="11268" max="11268" width="12" style="52" customWidth="1"/>
    <col min="11269" max="11269" width="10" style="52" customWidth="1"/>
    <col min="11270" max="11270" width="14.85546875" style="52" customWidth="1"/>
    <col min="11271" max="11271" width="9.5703125" style="52" customWidth="1"/>
    <col min="11272" max="11273" width="12.28515625" style="52" customWidth="1"/>
    <col min="11274" max="11276" width="12.85546875" style="52" customWidth="1"/>
    <col min="11277" max="11277" width="12.7109375" style="52" customWidth="1"/>
    <col min="11278" max="11278" width="12.28515625" style="52" bestFit="1" customWidth="1"/>
    <col min="11279" max="11279" width="13.140625" style="52" customWidth="1"/>
    <col min="11280" max="11520" width="9.140625" style="52"/>
    <col min="11521" max="11521" width="2.7109375" style="52" customWidth="1"/>
    <col min="11522" max="11522" width="9.140625" style="52"/>
    <col min="11523" max="11523" width="40.28515625" style="52" bestFit="1" customWidth="1"/>
    <col min="11524" max="11524" width="12" style="52" customWidth="1"/>
    <col min="11525" max="11525" width="10" style="52" customWidth="1"/>
    <col min="11526" max="11526" width="14.85546875" style="52" customWidth="1"/>
    <col min="11527" max="11527" width="9.5703125" style="52" customWidth="1"/>
    <col min="11528" max="11529" width="12.28515625" style="52" customWidth="1"/>
    <col min="11530" max="11532" width="12.85546875" style="52" customWidth="1"/>
    <col min="11533" max="11533" width="12.7109375" style="52" customWidth="1"/>
    <col min="11534" max="11534" width="12.28515625" style="52" bestFit="1" customWidth="1"/>
    <col min="11535" max="11535" width="13.140625" style="52" customWidth="1"/>
    <col min="11536" max="11776" width="9.140625" style="52"/>
    <col min="11777" max="11777" width="2.7109375" style="52" customWidth="1"/>
    <col min="11778" max="11778" width="9.140625" style="52"/>
    <col min="11779" max="11779" width="40.28515625" style="52" bestFit="1" customWidth="1"/>
    <col min="11780" max="11780" width="12" style="52" customWidth="1"/>
    <col min="11781" max="11781" width="10" style="52" customWidth="1"/>
    <col min="11782" max="11782" width="14.85546875" style="52" customWidth="1"/>
    <col min="11783" max="11783" width="9.5703125" style="52" customWidth="1"/>
    <col min="11784" max="11785" width="12.28515625" style="52" customWidth="1"/>
    <col min="11786" max="11788" width="12.85546875" style="52" customWidth="1"/>
    <col min="11789" max="11789" width="12.7109375" style="52" customWidth="1"/>
    <col min="11790" max="11790" width="12.28515625" style="52" bestFit="1" customWidth="1"/>
    <col min="11791" max="11791" width="13.140625" style="52" customWidth="1"/>
    <col min="11792" max="12032" width="9.140625" style="52"/>
    <col min="12033" max="12033" width="2.7109375" style="52" customWidth="1"/>
    <col min="12034" max="12034" width="9.140625" style="52"/>
    <col min="12035" max="12035" width="40.28515625" style="52" bestFit="1" customWidth="1"/>
    <col min="12036" max="12036" width="12" style="52" customWidth="1"/>
    <col min="12037" max="12037" width="10" style="52" customWidth="1"/>
    <col min="12038" max="12038" width="14.85546875" style="52" customWidth="1"/>
    <col min="12039" max="12039" width="9.5703125" style="52" customWidth="1"/>
    <col min="12040" max="12041" width="12.28515625" style="52" customWidth="1"/>
    <col min="12042" max="12044" width="12.85546875" style="52" customWidth="1"/>
    <col min="12045" max="12045" width="12.7109375" style="52" customWidth="1"/>
    <col min="12046" max="12046" width="12.28515625" style="52" bestFit="1" customWidth="1"/>
    <col min="12047" max="12047" width="13.140625" style="52" customWidth="1"/>
    <col min="12048" max="12288" width="9.140625" style="52"/>
    <col min="12289" max="12289" width="2.7109375" style="52" customWidth="1"/>
    <col min="12290" max="12290" width="9.140625" style="52"/>
    <col min="12291" max="12291" width="40.28515625" style="52" bestFit="1" customWidth="1"/>
    <col min="12292" max="12292" width="12" style="52" customWidth="1"/>
    <col min="12293" max="12293" width="10" style="52" customWidth="1"/>
    <col min="12294" max="12294" width="14.85546875" style="52" customWidth="1"/>
    <col min="12295" max="12295" width="9.5703125" style="52" customWidth="1"/>
    <col min="12296" max="12297" width="12.28515625" style="52" customWidth="1"/>
    <col min="12298" max="12300" width="12.85546875" style="52" customWidth="1"/>
    <col min="12301" max="12301" width="12.7109375" style="52" customWidth="1"/>
    <col min="12302" max="12302" width="12.28515625" style="52" bestFit="1" customWidth="1"/>
    <col min="12303" max="12303" width="13.140625" style="52" customWidth="1"/>
    <col min="12304" max="12544" width="9.140625" style="52"/>
    <col min="12545" max="12545" width="2.7109375" style="52" customWidth="1"/>
    <col min="12546" max="12546" width="9.140625" style="52"/>
    <col min="12547" max="12547" width="40.28515625" style="52" bestFit="1" customWidth="1"/>
    <col min="12548" max="12548" width="12" style="52" customWidth="1"/>
    <col min="12549" max="12549" width="10" style="52" customWidth="1"/>
    <col min="12550" max="12550" width="14.85546875" style="52" customWidth="1"/>
    <col min="12551" max="12551" width="9.5703125" style="52" customWidth="1"/>
    <col min="12552" max="12553" width="12.28515625" style="52" customWidth="1"/>
    <col min="12554" max="12556" width="12.85546875" style="52" customWidth="1"/>
    <col min="12557" max="12557" width="12.7109375" style="52" customWidth="1"/>
    <col min="12558" max="12558" width="12.28515625" style="52" bestFit="1" customWidth="1"/>
    <col min="12559" max="12559" width="13.140625" style="52" customWidth="1"/>
    <col min="12560" max="12800" width="9.140625" style="52"/>
    <col min="12801" max="12801" width="2.7109375" style="52" customWidth="1"/>
    <col min="12802" max="12802" width="9.140625" style="52"/>
    <col min="12803" max="12803" width="40.28515625" style="52" bestFit="1" customWidth="1"/>
    <col min="12804" max="12804" width="12" style="52" customWidth="1"/>
    <col min="12805" max="12805" width="10" style="52" customWidth="1"/>
    <col min="12806" max="12806" width="14.85546875" style="52" customWidth="1"/>
    <col min="12807" max="12807" width="9.5703125" style="52" customWidth="1"/>
    <col min="12808" max="12809" width="12.28515625" style="52" customWidth="1"/>
    <col min="12810" max="12812" width="12.85546875" style="52" customWidth="1"/>
    <col min="12813" max="12813" width="12.7109375" style="52" customWidth="1"/>
    <col min="12814" max="12814" width="12.28515625" style="52" bestFit="1" customWidth="1"/>
    <col min="12815" max="12815" width="13.140625" style="52" customWidth="1"/>
    <col min="12816" max="13056" width="9.140625" style="52"/>
    <col min="13057" max="13057" width="2.7109375" style="52" customWidth="1"/>
    <col min="13058" max="13058" width="9.140625" style="52"/>
    <col min="13059" max="13059" width="40.28515625" style="52" bestFit="1" customWidth="1"/>
    <col min="13060" max="13060" width="12" style="52" customWidth="1"/>
    <col min="13061" max="13061" width="10" style="52" customWidth="1"/>
    <col min="13062" max="13062" width="14.85546875" style="52" customWidth="1"/>
    <col min="13063" max="13063" width="9.5703125" style="52" customWidth="1"/>
    <col min="13064" max="13065" width="12.28515625" style="52" customWidth="1"/>
    <col min="13066" max="13068" width="12.85546875" style="52" customWidth="1"/>
    <col min="13069" max="13069" width="12.7109375" style="52" customWidth="1"/>
    <col min="13070" max="13070" width="12.28515625" style="52" bestFit="1" customWidth="1"/>
    <col min="13071" max="13071" width="13.140625" style="52" customWidth="1"/>
    <col min="13072" max="13312" width="9.140625" style="52"/>
    <col min="13313" max="13313" width="2.7109375" style="52" customWidth="1"/>
    <col min="13314" max="13314" width="9.140625" style="52"/>
    <col min="13315" max="13315" width="40.28515625" style="52" bestFit="1" customWidth="1"/>
    <col min="13316" max="13316" width="12" style="52" customWidth="1"/>
    <col min="13317" max="13317" width="10" style="52" customWidth="1"/>
    <col min="13318" max="13318" width="14.85546875" style="52" customWidth="1"/>
    <col min="13319" max="13319" width="9.5703125" style="52" customWidth="1"/>
    <col min="13320" max="13321" width="12.28515625" style="52" customWidth="1"/>
    <col min="13322" max="13324" width="12.85546875" style="52" customWidth="1"/>
    <col min="13325" max="13325" width="12.7109375" style="52" customWidth="1"/>
    <col min="13326" max="13326" width="12.28515625" style="52" bestFit="1" customWidth="1"/>
    <col min="13327" max="13327" width="13.140625" style="52" customWidth="1"/>
    <col min="13328" max="13568" width="9.140625" style="52"/>
    <col min="13569" max="13569" width="2.7109375" style="52" customWidth="1"/>
    <col min="13570" max="13570" width="9.140625" style="52"/>
    <col min="13571" max="13571" width="40.28515625" style="52" bestFit="1" customWidth="1"/>
    <col min="13572" max="13572" width="12" style="52" customWidth="1"/>
    <col min="13573" max="13573" width="10" style="52" customWidth="1"/>
    <col min="13574" max="13574" width="14.85546875" style="52" customWidth="1"/>
    <col min="13575" max="13575" width="9.5703125" style="52" customWidth="1"/>
    <col min="13576" max="13577" width="12.28515625" style="52" customWidth="1"/>
    <col min="13578" max="13580" width="12.85546875" style="52" customWidth="1"/>
    <col min="13581" max="13581" width="12.7109375" style="52" customWidth="1"/>
    <col min="13582" max="13582" width="12.28515625" style="52" bestFit="1" customWidth="1"/>
    <col min="13583" max="13583" width="13.140625" style="52" customWidth="1"/>
    <col min="13584" max="13824" width="9.140625" style="52"/>
    <col min="13825" max="13825" width="2.7109375" style="52" customWidth="1"/>
    <col min="13826" max="13826" width="9.140625" style="52"/>
    <col min="13827" max="13827" width="40.28515625" style="52" bestFit="1" customWidth="1"/>
    <col min="13828" max="13828" width="12" style="52" customWidth="1"/>
    <col min="13829" max="13829" width="10" style="52" customWidth="1"/>
    <col min="13830" max="13830" width="14.85546875" style="52" customWidth="1"/>
    <col min="13831" max="13831" width="9.5703125" style="52" customWidth="1"/>
    <col min="13832" max="13833" width="12.28515625" style="52" customWidth="1"/>
    <col min="13834" max="13836" width="12.85546875" style="52" customWidth="1"/>
    <col min="13837" max="13837" width="12.7109375" style="52" customWidth="1"/>
    <col min="13838" max="13838" width="12.28515625" style="52" bestFit="1" customWidth="1"/>
    <col min="13839" max="13839" width="13.140625" style="52" customWidth="1"/>
    <col min="13840" max="14080" width="9.140625" style="52"/>
    <col min="14081" max="14081" width="2.7109375" style="52" customWidth="1"/>
    <col min="14082" max="14082" width="9.140625" style="52"/>
    <col min="14083" max="14083" width="40.28515625" style="52" bestFit="1" customWidth="1"/>
    <col min="14084" max="14084" width="12" style="52" customWidth="1"/>
    <col min="14085" max="14085" width="10" style="52" customWidth="1"/>
    <col min="14086" max="14086" width="14.85546875" style="52" customWidth="1"/>
    <col min="14087" max="14087" width="9.5703125" style="52" customWidth="1"/>
    <col min="14088" max="14089" width="12.28515625" style="52" customWidth="1"/>
    <col min="14090" max="14092" width="12.85546875" style="52" customWidth="1"/>
    <col min="14093" max="14093" width="12.7109375" style="52" customWidth="1"/>
    <col min="14094" max="14094" width="12.28515625" style="52" bestFit="1" customWidth="1"/>
    <col min="14095" max="14095" width="13.140625" style="52" customWidth="1"/>
    <col min="14096" max="14336" width="9.140625" style="52"/>
    <col min="14337" max="14337" width="2.7109375" style="52" customWidth="1"/>
    <col min="14338" max="14338" width="9.140625" style="52"/>
    <col min="14339" max="14339" width="40.28515625" style="52" bestFit="1" customWidth="1"/>
    <col min="14340" max="14340" width="12" style="52" customWidth="1"/>
    <col min="14341" max="14341" width="10" style="52" customWidth="1"/>
    <col min="14342" max="14342" width="14.85546875" style="52" customWidth="1"/>
    <col min="14343" max="14343" width="9.5703125" style="52" customWidth="1"/>
    <col min="14344" max="14345" width="12.28515625" style="52" customWidth="1"/>
    <col min="14346" max="14348" width="12.85546875" style="52" customWidth="1"/>
    <col min="14349" max="14349" width="12.7109375" style="52" customWidth="1"/>
    <col min="14350" max="14350" width="12.28515625" style="52" bestFit="1" customWidth="1"/>
    <col min="14351" max="14351" width="13.140625" style="52" customWidth="1"/>
    <col min="14352" max="14592" width="9.140625" style="52"/>
    <col min="14593" max="14593" width="2.7109375" style="52" customWidth="1"/>
    <col min="14594" max="14594" width="9.140625" style="52"/>
    <col min="14595" max="14595" width="40.28515625" style="52" bestFit="1" customWidth="1"/>
    <col min="14596" max="14596" width="12" style="52" customWidth="1"/>
    <col min="14597" max="14597" width="10" style="52" customWidth="1"/>
    <col min="14598" max="14598" width="14.85546875" style="52" customWidth="1"/>
    <col min="14599" max="14599" width="9.5703125" style="52" customWidth="1"/>
    <col min="14600" max="14601" width="12.28515625" style="52" customWidth="1"/>
    <col min="14602" max="14604" width="12.85546875" style="52" customWidth="1"/>
    <col min="14605" max="14605" width="12.7109375" style="52" customWidth="1"/>
    <col min="14606" max="14606" width="12.28515625" style="52" bestFit="1" customWidth="1"/>
    <col min="14607" max="14607" width="13.140625" style="52" customWidth="1"/>
    <col min="14608" max="14848" width="9.140625" style="52"/>
    <col min="14849" max="14849" width="2.7109375" style="52" customWidth="1"/>
    <col min="14850" max="14850" width="9.140625" style="52"/>
    <col min="14851" max="14851" width="40.28515625" style="52" bestFit="1" customWidth="1"/>
    <col min="14852" max="14852" width="12" style="52" customWidth="1"/>
    <col min="14853" max="14853" width="10" style="52" customWidth="1"/>
    <col min="14854" max="14854" width="14.85546875" style="52" customWidth="1"/>
    <col min="14855" max="14855" width="9.5703125" style="52" customWidth="1"/>
    <col min="14856" max="14857" width="12.28515625" style="52" customWidth="1"/>
    <col min="14858" max="14860" width="12.85546875" style="52" customWidth="1"/>
    <col min="14861" max="14861" width="12.7109375" style="52" customWidth="1"/>
    <col min="14862" max="14862" width="12.28515625" style="52" bestFit="1" customWidth="1"/>
    <col min="14863" max="14863" width="13.140625" style="52" customWidth="1"/>
    <col min="14864" max="15104" width="9.140625" style="52"/>
    <col min="15105" max="15105" width="2.7109375" style="52" customWidth="1"/>
    <col min="15106" max="15106" width="9.140625" style="52"/>
    <col min="15107" max="15107" width="40.28515625" style="52" bestFit="1" customWidth="1"/>
    <col min="15108" max="15108" width="12" style="52" customWidth="1"/>
    <col min="15109" max="15109" width="10" style="52" customWidth="1"/>
    <col min="15110" max="15110" width="14.85546875" style="52" customWidth="1"/>
    <col min="15111" max="15111" width="9.5703125" style="52" customWidth="1"/>
    <col min="15112" max="15113" width="12.28515625" style="52" customWidth="1"/>
    <col min="15114" max="15116" width="12.85546875" style="52" customWidth="1"/>
    <col min="15117" max="15117" width="12.7109375" style="52" customWidth="1"/>
    <col min="15118" max="15118" width="12.28515625" style="52" bestFit="1" customWidth="1"/>
    <col min="15119" max="15119" width="13.140625" style="52" customWidth="1"/>
    <col min="15120" max="15360" width="9.140625" style="52"/>
    <col min="15361" max="15361" width="2.7109375" style="52" customWidth="1"/>
    <col min="15362" max="15362" width="9.140625" style="52"/>
    <col min="15363" max="15363" width="40.28515625" style="52" bestFit="1" customWidth="1"/>
    <col min="15364" max="15364" width="12" style="52" customWidth="1"/>
    <col min="15365" max="15365" width="10" style="52" customWidth="1"/>
    <col min="15366" max="15366" width="14.85546875" style="52" customWidth="1"/>
    <col min="15367" max="15367" width="9.5703125" style="52" customWidth="1"/>
    <col min="15368" max="15369" width="12.28515625" style="52" customWidth="1"/>
    <col min="15370" max="15372" width="12.85546875" style="52" customWidth="1"/>
    <col min="15373" max="15373" width="12.7109375" style="52" customWidth="1"/>
    <col min="15374" max="15374" width="12.28515625" style="52" bestFit="1" customWidth="1"/>
    <col min="15375" max="15375" width="13.140625" style="52" customWidth="1"/>
    <col min="15376" max="15616" width="9.140625" style="52"/>
    <col min="15617" max="15617" width="2.7109375" style="52" customWidth="1"/>
    <col min="15618" max="15618" width="9.140625" style="52"/>
    <col min="15619" max="15619" width="40.28515625" style="52" bestFit="1" customWidth="1"/>
    <col min="15620" max="15620" width="12" style="52" customWidth="1"/>
    <col min="15621" max="15621" width="10" style="52" customWidth="1"/>
    <col min="15622" max="15622" width="14.85546875" style="52" customWidth="1"/>
    <col min="15623" max="15623" width="9.5703125" style="52" customWidth="1"/>
    <col min="15624" max="15625" width="12.28515625" style="52" customWidth="1"/>
    <col min="15626" max="15628" width="12.85546875" style="52" customWidth="1"/>
    <col min="15629" max="15629" width="12.7109375" style="52" customWidth="1"/>
    <col min="15630" max="15630" width="12.28515625" style="52" bestFit="1" customWidth="1"/>
    <col min="15631" max="15631" width="13.140625" style="52" customWidth="1"/>
    <col min="15632" max="15872" width="9.140625" style="52"/>
    <col min="15873" max="15873" width="2.7109375" style="52" customWidth="1"/>
    <col min="15874" max="15874" width="9.140625" style="52"/>
    <col min="15875" max="15875" width="40.28515625" style="52" bestFit="1" customWidth="1"/>
    <col min="15876" max="15876" width="12" style="52" customWidth="1"/>
    <col min="15877" max="15877" width="10" style="52" customWidth="1"/>
    <col min="15878" max="15878" width="14.85546875" style="52" customWidth="1"/>
    <col min="15879" max="15879" width="9.5703125" style="52" customWidth="1"/>
    <col min="15880" max="15881" width="12.28515625" style="52" customWidth="1"/>
    <col min="15882" max="15884" width="12.85546875" style="52" customWidth="1"/>
    <col min="15885" max="15885" width="12.7109375" style="52" customWidth="1"/>
    <col min="15886" max="15886" width="12.28515625" style="52" bestFit="1" customWidth="1"/>
    <col min="15887" max="15887" width="13.140625" style="52" customWidth="1"/>
    <col min="15888" max="16128" width="9.140625" style="52"/>
    <col min="16129" max="16129" width="2.7109375" style="52" customWidth="1"/>
    <col min="16130" max="16130" width="9.140625" style="52"/>
    <col min="16131" max="16131" width="40.28515625" style="52" bestFit="1" customWidth="1"/>
    <col min="16132" max="16132" width="12" style="52" customWidth="1"/>
    <col min="16133" max="16133" width="10" style="52" customWidth="1"/>
    <col min="16134" max="16134" width="14.85546875" style="52" customWidth="1"/>
    <col min="16135" max="16135" width="9.5703125" style="52" customWidth="1"/>
    <col min="16136" max="16137" width="12.28515625" style="52" customWidth="1"/>
    <col min="16138" max="16140" width="12.85546875" style="52" customWidth="1"/>
    <col min="16141" max="16141" width="12.7109375" style="52" customWidth="1"/>
    <col min="16142" max="16142" width="12.28515625" style="52" bestFit="1" customWidth="1"/>
    <col min="16143" max="16143" width="13.140625" style="52" customWidth="1"/>
    <col min="16144" max="16384" width="9.140625" style="52"/>
  </cols>
  <sheetData>
    <row r="1" spans="1:16" x14ac:dyDescent="0.2">
      <c r="F1" s="154"/>
      <c r="G1" s="155"/>
      <c r="H1" s="155"/>
      <c r="I1" s="155"/>
      <c r="J1" s="155"/>
      <c r="K1" s="155"/>
      <c r="L1" s="155"/>
      <c r="N1" s="152" t="s">
        <v>301</v>
      </c>
      <c r="O1" s="1092" t="str">
        <f>EBNUMBER</f>
        <v>EB-2016-0066</v>
      </c>
      <c r="P1" s="155"/>
    </row>
    <row r="2" spans="1:16" x14ac:dyDescent="0.2">
      <c r="F2" s="154"/>
      <c r="G2" s="155"/>
      <c r="H2" s="155"/>
      <c r="I2" s="155"/>
      <c r="J2" s="155"/>
      <c r="K2" s="155"/>
      <c r="L2" s="155"/>
      <c r="N2" s="152" t="s">
        <v>302</v>
      </c>
      <c r="O2" s="51"/>
      <c r="P2" s="155"/>
    </row>
    <row r="3" spans="1:16" x14ac:dyDescent="0.2">
      <c r="F3" s="154"/>
      <c r="G3" s="155"/>
      <c r="H3" s="155"/>
      <c r="I3" s="155"/>
      <c r="J3" s="155"/>
      <c r="K3" s="155"/>
      <c r="L3" s="155"/>
      <c r="N3" s="152" t="s">
        <v>303</v>
      </c>
      <c r="O3" s="51"/>
      <c r="P3" s="155"/>
    </row>
    <row r="4" spans="1:16" x14ac:dyDescent="0.2">
      <c r="F4" s="154"/>
      <c r="G4" s="155"/>
      <c r="H4" s="155"/>
      <c r="I4" s="155"/>
      <c r="J4" s="155"/>
      <c r="K4" s="155"/>
      <c r="L4" s="155"/>
      <c r="N4" s="152" t="s">
        <v>304</v>
      </c>
      <c r="O4" s="51"/>
      <c r="P4" s="155"/>
    </row>
    <row r="5" spans="1:16" x14ac:dyDescent="0.2">
      <c r="F5" s="154"/>
      <c r="G5" s="155"/>
      <c r="H5" s="155"/>
      <c r="I5" s="155"/>
      <c r="J5" s="155"/>
      <c r="K5" s="155"/>
      <c r="L5" s="155"/>
      <c r="N5" s="152" t="s">
        <v>305</v>
      </c>
      <c r="O5" s="1093"/>
      <c r="P5" s="155"/>
    </row>
    <row r="6" spans="1:16" x14ac:dyDescent="0.2">
      <c r="F6" s="154"/>
      <c r="G6" s="155"/>
      <c r="H6" s="155"/>
      <c r="I6" s="155"/>
      <c r="J6" s="155"/>
      <c r="K6" s="155"/>
      <c r="L6" s="155"/>
      <c r="N6" s="152"/>
      <c r="O6" s="1092"/>
      <c r="P6" s="155"/>
    </row>
    <row r="7" spans="1:16" x14ac:dyDescent="0.2">
      <c r="F7" s="154"/>
      <c r="G7" s="155"/>
      <c r="H7" s="155"/>
      <c r="I7" s="155"/>
      <c r="J7" s="155"/>
      <c r="K7" s="155"/>
      <c r="L7" s="239"/>
      <c r="N7" s="152" t="s">
        <v>306</v>
      </c>
      <c r="O7" s="1093"/>
      <c r="P7" s="239"/>
    </row>
    <row r="9" spans="1:16" ht="18" x14ac:dyDescent="0.25">
      <c r="A9" s="1591" t="s">
        <v>1441</v>
      </c>
      <c r="B9" s="1591"/>
      <c r="C9" s="1591"/>
      <c r="D9" s="1591"/>
      <c r="E9" s="1591"/>
      <c r="F9" s="1591"/>
      <c r="G9" s="1591"/>
      <c r="H9" s="1591"/>
      <c r="I9" s="1591"/>
      <c r="J9" s="1591"/>
      <c r="K9" s="1591"/>
      <c r="L9" s="1591"/>
      <c r="M9" s="1591"/>
      <c r="N9" s="1591"/>
      <c r="O9" s="1591"/>
    </row>
    <row r="10" spans="1:16" ht="18" x14ac:dyDescent="0.25">
      <c r="A10" s="1591" t="s">
        <v>2</v>
      </c>
      <c r="B10" s="1591"/>
      <c r="C10" s="1591"/>
      <c r="D10" s="1591"/>
      <c r="E10" s="1591"/>
      <c r="F10" s="1591"/>
      <c r="G10" s="1591"/>
      <c r="H10" s="1591"/>
      <c r="I10" s="1591"/>
      <c r="J10" s="1591"/>
      <c r="K10" s="1591"/>
      <c r="L10" s="1591"/>
      <c r="M10" s="1591"/>
      <c r="N10" s="1591"/>
      <c r="O10" s="1591"/>
    </row>
    <row r="11" spans="1:16" ht="18" x14ac:dyDescent="0.25">
      <c r="A11" s="1591" t="s">
        <v>1045</v>
      </c>
      <c r="B11" s="1591"/>
      <c r="C11" s="1591"/>
      <c r="D11" s="1591"/>
      <c r="E11" s="1591"/>
      <c r="F11" s="1591"/>
      <c r="G11" s="1591"/>
      <c r="H11" s="1591"/>
      <c r="I11" s="1591"/>
      <c r="J11" s="1591"/>
      <c r="K11" s="1591"/>
      <c r="L11" s="1591"/>
      <c r="M11" s="1591"/>
      <c r="N11" s="1591"/>
      <c r="O11" s="1591"/>
    </row>
    <row r="12" spans="1:16" ht="18" x14ac:dyDescent="0.25">
      <c r="A12" s="1102"/>
      <c r="B12" s="1102"/>
      <c r="C12" s="1102"/>
      <c r="D12" s="1102"/>
      <c r="E12" s="1102"/>
      <c r="F12" s="1102"/>
      <c r="G12" s="1102"/>
      <c r="H12" s="1102"/>
      <c r="I12" s="1102"/>
      <c r="J12" s="1102"/>
      <c r="K12" s="1102"/>
      <c r="L12" s="1102"/>
      <c r="M12" s="1102"/>
      <c r="N12" s="1102"/>
      <c r="O12" s="1102"/>
    </row>
    <row r="13" spans="1:16" ht="23.25" customHeight="1" x14ac:dyDescent="0.25">
      <c r="A13" s="1700" t="s">
        <v>1042</v>
      </c>
      <c r="B13" s="1701"/>
      <c r="C13" s="878"/>
      <c r="D13" s="1115"/>
      <c r="E13" s="1110"/>
      <c r="F13" s="1110"/>
      <c r="G13" s="1110"/>
      <c r="H13" s="1109"/>
      <c r="I13" s="1109"/>
      <c r="J13" s="1109"/>
      <c r="K13" s="1109"/>
      <c r="L13" s="1702" t="s">
        <v>1057</v>
      </c>
      <c r="M13" s="1703"/>
      <c r="N13" s="1116" t="s">
        <v>882</v>
      </c>
      <c r="O13" s="1120"/>
    </row>
    <row r="14" spans="1:16" ht="43.5" customHeight="1" x14ac:dyDescent="0.25">
      <c r="A14" s="1693" t="s">
        <v>1101</v>
      </c>
      <c r="B14" s="1694"/>
      <c r="C14" s="1682" t="s">
        <v>1076</v>
      </c>
      <c r="D14" s="1652"/>
      <c r="E14" s="1652"/>
      <c r="F14" s="1652"/>
      <c r="G14" s="1652"/>
      <c r="H14" s="1652"/>
      <c r="I14" s="1652"/>
      <c r="J14" s="1652"/>
      <c r="K14" s="1653"/>
      <c r="L14" s="1704">
        <v>2012</v>
      </c>
      <c r="M14" s="1705"/>
      <c r="N14" s="185" t="s">
        <v>891</v>
      </c>
      <c r="O14" s="1102"/>
    </row>
    <row r="15" spans="1:16" ht="42.75" customHeight="1" x14ac:dyDescent="0.2">
      <c r="A15" s="1693" t="s">
        <v>1102</v>
      </c>
      <c r="B15" s="1694"/>
      <c r="C15" s="1682" t="s">
        <v>1077</v>
      </c>
      <c r="D15" s="1652"/>
      <c r="E15" s="1652"/>
      <c r="F15" s="1652"/>
      <c r="G15" s="1652"/>
      <c r="H15" s="1652"/>
      <c r="I15" s="1652"/>
      <c r="J15" s="1652"/>
      <c r="K15" s="1653"/>
      <c r="L15" s="1704">
        <v>2013</v>
      </c>
      <c r="M15" s="1705"/>
      <c r="N15" s="185" t="s">
        <v>891</v>
      </c>
      <c r="O15" s="331"/>
    </row>
    <row r="16" spans="1:16" ht="23.25" customHeight="1" x14ac:dyDescent="0.2">
      <c r="A16" s="1067"/>
      <c r="B16" s="1067"/>
      <c r="C16" s="1067"/>
      <c r="D16" s="1067"/>
      <c r="E16" s="1067"/>
      <c r="F16" s="1067"/>
      <c r="G16" s="1067"/>
      <c r="H16" s="1067"/>
      <c r="I16" s="1067"/>
      <c r="J16" s="1067"/>
      <c r="K16" s="1067"/>
      <c r="L16" s="1067"/>
      <c r="M16" s="1067"/>
      <c r="N16" s="1067"/>
      <c r="O16" s="1067"/>
    </row>
    <row r="17" spans="1:15" ht="13.5" customHeight="1" thickBot="1" x14ac:dyDescent="0.3">
      <c r="A17" s="1046"/>
      <c r="B17" s="1046"/>
      <c r="C17" s="274"/>
      <c r="D17" s="241"/>
      <c r="E17" s="275"/>
      <c r="F17" s="1046"/>
      <c r="G17" s="1046"/>
      <c r="H17" s="1046"/>
      <c r="I17" s="1046"/>
      <c r="J17" s="1046"/>
      <c r="K17" s="1046"/>
      <c r="L17" s="1046"/>
    </row>
    <row r="18" spans="1:15" ht="61.5" customHeight="1" x14ac:dyDescent="0.2">
      <c r="A18" s="1685" t="s">
        <v>3</v>
      </c>
      <c r="B18" s="1687" t="s">
        <v>235</v>
      </c>
      <c r="C18" s="245" t="s">
        <v>1046</v>
      </c>
      <c r="D18" s="245" t="s">
        <v>237</v>
      </c>
      <c r="E18" s="245" t="s">
        <v>383</v>
      </c>
      <c r="F18" s="245" t="s">
        <v>384</v>
      </c>
      <c r="G18" s="245" t="s">
        <v>385</v>
      </c>
      <c r="H18" s="276" t="s">
        <v>386</v>
      </c>
      <c r="I18" s="277" t="s">
        <v>387</v>
      </c>
      <c r="J18" s="277" t="s">
        <v>1083</v>
      </c>
      <c r="K18" s="1697" t="s">
        <v>1044</v>
      </c>
      <c r="L18" s="277" t="s">
        <v>388</v>
      </c>
      <c r="M18" s="277" t="s">
        <v>1047</v>
      </c>
      <c r="N18" s="1697" t="s">
        <v>1088</v>
      </c>
      <c r="O18" s="277" t="s">
        <v>1048</v>
      </c>
    </row>
    <row r="19" spans="1:15" ht="19.5" customHeight="1" thickBot="1" x14ac:dyDescent="0.25">
      <c r="A19" s="1695"/>
      <c r="B19" s="1696"/>
      <c r="C19" s="278" t="s">
        <v>4</v>
      </c>
      <c r="D19" s="278" t="s">
        <v>5</v>
      </c>
      <c r="E19" s="279" t="s">
        <v>389</v>
      </c>
      <c r="F19" s="278" t="s">
        <v>7</v>
      </c>
      <c r="G19" s="278" t="s">
        <v>8</v>
      </c>
      <c r="H19" s="280" t="s">
        <v>390</v>
      </c>
      <c r="I19" s="281" t="s">
        <v>391</v>
      </c>
      <c r="J19" s="282" t="s">
        <v>392</v>
      </c>
      <c r="K19" s="1698"/>
      <c r="L19" s="281" t="s">
        <v>393</v>
      </c>
      <c r="M19" s="281" t="s">
        <v>394</v>
      </c>
      <c r="N19" s="1699"/>
      <c r="O19" s="282" t="s">
        <v>480</v>
      </c>
    </row>
    <row r="20" spans="1:15" ht="25.5" x14ac:dyDescent="0.2">
      <c r="A20" s="1063">
        <v>1611</v>
      </c>
      <c r="B20" s="283" t="s">
        <v>381</v>
      </c>
      <c r="C20" s="173"/>
      <c r="D20" s="173"/>
      <c r="E20" s="250"/>
      <c r="F20" s="250"/>
      <c r="G20" s="284">
        <f t="shared" ref="G20:G57" si="0">IF(F20=0,0,1/F20)</f>
        <v>0</v>
      </c>
      <c r="H20" s="191">
        <f t="shared" ref="H20:H57" si="1">IF(E20=0,0,+C20/E20)</f>
        <v>0</v>
      </c>
      <c r="I20" s="191">
        <f t="shared" ref="I20:I57" si="2">IF(F20=0,0,+(D20*0.5)/F20)</f>
        <v>0</v>
      </c>
      <c r="J20" s="191">
        <f t="shared" ref="J20:J57" si="3">IF(ISERROR(+H20+I20), 0, +H20+I20)</f>
        <v>0</v>
      </c>
      <c r="K20" s="173"/>
      <c r="L20" s="191">
        <f t="shared" ref="L20:L57" si="4">IF(ISERROR(+J20-K20), 0, +J20-K20)</f>
        <v>0</v>
      </c>
      <c r="M20" s="191">
        <f t="shared" ref="M20:M57" si="5">IF(F20=0,0,+(D20)/F20)</f>
        <v>0</v>
      </c>
      <c r="N20" s="173"/>
      <c r="O20" s="191">
        <f>IF(ISERROR(+M20+H20-N20), 0, +M20+H20-N20)</f>
        <v>0</v>
      </c>
    </row>
    <row r="21" spans="1:15" ht="25.5" x14ac:dyDescent="0.2">
      <c r="A21" s="1058">
        <v>1612</v>
      </c>
      <c r="B21" s="172" t="s">
        <v>442</v>
      </c>
      <c r="C21" s="173"/>
      <c r="D21" s="173"/>
      <c r="E21" s="250"/>
      <c r="F21" s="250"/>
      <c r="G21" s="252">
        <f t="shared" si="0"/>
        <v>0</v>
      </c>
      <c r="H21" s="191">
        <f t="shared" si="1"/>
        <v>0</v>
      </c>
      <c r="I21" s="191">
        <f t="shared" si="2"/>
        <v>0</v>
      </c>
      <c r="J21" s="191">
        <f t="shared" si="3"/>
        <v>0</v>
      </c>
      <c r="K21" s="173"/>
      <c r="L21" s="191">
        <f t="shared" si="4"/>
        <v>0</v>
      </c>
      <c r="M21" s="191">
        <f t="shared" si="5"/>
        <v>0</v>
      </c>
      <c r="N21" s="173"/>
      <c r="O21" s="191">
        <f t="shared" ref="O21:O57" si="6">IF(ISERROR(+M21+H21-N21), 0, +M21+H21-N21)</f>
        <v>0</v>
      </c>
    </row>
    <row r="22" spans="1:15" x14ac:dyDescent="0.2">
      <c r="A22" s="178">
        <v>1805</v>
      </c>
      <c r="B22" s="179" t="s">
        <v>267</v>
      </c>
      <c r="C22" s="173"/>
      <c r="D22" s="173"/>
      <c r="E22" s="250"/>
      <c r="F22" s="250"/>
      <c r="G22" s="252">
        <f t="shared" si="0"/>
        <v>0</v>
      </c>
      <c r="H22" s="191">
        <f t="shared" si="1"/>
        <v>0</v>
      </c>
      <c r="I22" s="191">
        <f t="shared" si="2"/>
        <v>0</v>
      </c>
      <c r="J22" s="191">
        <f t="shared" si="3"/>
        <v>0</v>
      </c>
      <c r="K22" s="173"/>
      <c r="L22" s="191">
        <f t="shared" si="4"/>
        <v>0</v>
      </c>
      <c r="M22" s="191">
        <f t="shared" si="5"/>
        <v>0</v>
      </c>
      <c r="N22" s="173"/>
      <c r="O22" s="191">
        <f t="shared" si="6"/>
        <v>0</v>
      </c>
    </row>
    <row r="23" spans="1:15" x14ac:dyDescent="0.2">
      <c r="A23" s="1058">
        <v>1808</v>
      </c>
      <c r="B23" s="180" t="s">
        <v>268</v>
      </c>
      <c r="C23" s="173"/>
      <c r="D23" s="173"/>
      <c r="E23" s="250"/>
      <c r="F23" s="250"/>
      <c r="G23" s="252">
        <f t="shared" si="0"/>
        <v>0</v>
      </c>
      <c r="H23" s="191">
        <f t="shared" si="1"/>
        <v>0</v>
      </c>
      <c r="I23" s="191">
        <f t="shared" si="2"/>
        <v>0</v>
      </c>
      <c r="J23" s="191">
        <f t="shared" si="3"/>
        <v>0</v>
      </c>
      <c r="K23" s="173"/>
      <c r="L23" s="191">
        <f t="shared" si="4"/>
        <v>0</v>
      </c>
      <c r="M23" s="191">
        <f t="shared" si="5"/>
        <v>0</v>
      </c>
      <c r="N23" s="173"/>
      <c r="O23" s="191">
        <f t="shared" si="6"/>
        <v>0</v>
      </c>
    </row>
    <row r="24" spans="1:15" x14ac:dyDescent="0.2">
      <c r="A24" s="1058">
        <v>1810</v>
      </c>
      <c r="B24" s="180" t="s">
        <v>299</v>
      </c>
      <c r="C24" s="173"/>
      <c r="D24" s="173"/>
      <c r="E24" s="250"/>
      <c r="F24" s="250"/>
      <c r="G24" s="252">
        <f t="shared" si="0"/>
        <v>0</v>
      </c>
      <c r="H24" s="191">
        <f t="shared" si="1"/>
        <v>0</v>
      </c>
      <c r="I24" s="191">
        <f t="shared" si="2"/>
        <v>0</v>
      </c>
      <c r="J24" s="191">
        <f t="shared" si="3"/>
        <v>0</v>
      </c>
      <c r="K24" s="173"/>
      <c r="L24" s="191">
        <f t="shared" si="4"/>
        <v>0</v>
      </c>
      <c r="M24" s="191">
        <f t="shared" si="5"/>
        <v>0</v>
      </c>
      <c r="N24" s="173"/>
      <c r="O24" s="191">
        <f t="shared" si="6"/>
        <v>0</v>
      </c>
    </row>
    <row r="25" spans="1:15" x14ac:dyDescent="0.2">
      <c r="A25" s="1058">
        <v>1815</v>
      </c>
      <c r="B25" s="180" t="s">
        <v>269</v>
      </c>
      <c r="C25" s="173"/>
      <c r="D25" s="173"/>
      <c r="E25" s="250"/>
      <c r="F25" s="250"/>
      <c r="G25" s="252">
        <f t="shared" si="0"/>
        <v>0</v>
      </c>
      <c r="H25" s="191">
        <f t="shared" si="1"/>
        <v>0</v>
      </c>
      <c r="I25" s="191">
        <f t="shared" si="2"/>
        <v>0</v>
      </c>
      <c r="J25" s="191">
        <f t="shared" si="3"/>
        <v>0</v>
      </c>
      <c r="K25" s="173"/>
      <c r="L25" s="191">
        <f t="shared" si="4"/>
        <v>0</v>
      </c>
      <c r="M25" s="191">
        <f t="shared" si="5"/>
        <v>0</v>
      </c>
      <c r="N25" s="173"/>
      <c r="O25" s="191">
        <f t="shared" si="6"/>
        <v>0</v>
      </c>
    </row>
    <row r="26" spans="1:15" x14ac:dyDescent="0.2">
      <c r="A26" s="1058">
        <v>1820</v>
      </c>
      <c r="B26" s="172" t="s">
        <v>207</v>
      </c>
      <c r="C26" s="173"/>
      <c r="D26" s="173"/>
      <c r="E26" s="250"/>
      <c r="F26" s="250"/>
      <c r="G26" s="252">
        <f t="shared" si="0"/>
        <v>0</v>
      </c>
      <c r="H26" s="191">
        <f t="shared" si="1"/>
        <v>0</v>
      </c>
      <c r="I26" s="191">
        <f t="shared" si="2"/>
        <v>0</v>
      </c>
      <c r="J26" s="191">
        <f t="shared" si="3"/>
        <v>0</v>
      </c>
      <c r="K26" s="173"/>
      <c r="L26" s="191">
        <f t="shared" si="4"/>
        <v>0</v>
      </c>
      <c r="M26" s="191">
        <f t="shared" si="5"/>
        <v>0</v>
      </c>
      <c r="N26" s="173"/>
      <c r="O26" s="191">
        <f t="shared" si="6"/>
        <v>0</v>
      </c>
    </row>
    <row r="27" spans="1:15" x14ac:dyDescent="0.2">
      <c r="A27" s="1058">
        <v>1825</v>
      </c>
      <c r="B27" s="180" t="s">
        <v>270</v>
      </c>
      <c r="C27" s="173"/>
      <c r="D27" s="173"/>
      <c r="E27" s="250"/>
      <c r="F27" s="250"/>
      <c r="G27" s="252">
        <f t="shared" si="0"/>
        <v>0</v>
      </c>
      <c r="H27" s="191">
        <f t="shared" si="1"/>
        <v>0</v>
      </c>
      <c r="I27" s="191">
        <f t="shared" si="2"/>
        <v>0</v>
      </c>
      <c r="J27" s="191">
        <f t="shared" si="3"/>
        <v>0</v>
      </c>
      <c r="K27" s="173"/>
      <c r="L27" s="191">
        <f t="shared" si="4"/>
        <v>0</v>
      </c>
      <c r="M27" s="191">
        <f t="shared" si="5"/>
        <v>0</v>
      </c>
      <c r="N27" s="173"/>
      <c r="O27" s="191">
        <f t="shared" si="6"/>
        <v>0</v>
      </c>
    </row>
    <row r="28" spans="1:15" x14ac:dyDescent="0.2">
      <c r="A28" s="1058">
        <v>1830</v>
      </c>
      <c r="B28" s="180" t="s">
        <v>271</v>
      </c>
      <c r="C28" s="173"/>
      <c r="D28" s="173"/>
      <c r="E28" s="250"/>
      <c r="F28" s="250"/>
      <c r="G28" s="252">
        <f t="shared" si="0"/>
        <v>0</v>
      </c>
      <c r="H28" s="191">
        <f t="shared" si="1"/>
        <v>0</v>
      </c>
      <c r="I28" s="191">
        <f t="shared" si="2"/>
        <v>0</v>
      </c>
      <c r="J28" s="191">
        <f t="shared" si="3"/>
        <v>0</v>
      </c>
      <c r="K28" s="173"/>
      <c r="L28" s="191">
        <f t="shared" si="4"/>
        <v>0</v>
      </c>
      <c r="M28" s="191">
        <f t="shared" si="5"/>
        <v>0</v>
      </c>
      <c r="N28" s="173"/>
      <c r="O28" s="191">
        <f t="shared" si="6"/>
        <v>0</v>
      </c>
    </row>
    <row r="29" spans="1:15" x14ac:dyDescent="0.2">
      <c r="A29" s="1058">
        <v>1835</v>
      </c>
      <c r="B29" s="180" t="s">
        <v>208</v>
      </c>
      <c r="C29" s="173"/>
      <c r="D29" s="173"/>
      <c r="E29" s="250"/>
      <c r="F29" s="250"/>
      <c r="G29" s="252">
        <f t="shared" si="0"/>
        <v>0</v>
      </c>
      <c r="H29" s="191">
        <f t="shared" si="1"/>
        <v>0</v>
      </c>
      <c r="I29" s="191">
        <f t="shared" si="2"/>
        <v>0</v>
      </c>
      <c r="J29" s="191">
        <f t="shared" si="3"/>
        <v>0</v>
      </c>
      <c r="K29" s="173"/>
      <c r="L29" s="191">
        <f t="shared" si="4"/>
        <v>0</v>
      </c>
      <c r="M29" s="191">
        <f t="shared" si="5"/>
        <v>0</v>
      </c>
      <c r="N29" s="173"/>
      <c r="O29" s="191">
        <f t="shared" si="6"/>
        <v>0</v>
      </c>
    </row>
    <row r="30" spans="1:15" x14ac:dyDescent="0.2">
      <c r="A30" s="1058">
        <v>1840</v>
      </c>
      <c r="B30" s="180" t="s">
        <v>209</v>
      </c>
      <c r="C30" s="173"/>
      <c r="D30" s="173"/>
      <c r="E30" s="250"/>
      <c r="F30" s="250"/>
      <c r="G30" s="252">
        <f t="shared" si="0"/>
        <v>0</v>
      </c>
      <c r="H30" s="191">
        <f t="shared" si="1"/>
        <v>0</v>
      </c>
      <c r="I30" s="191">
        <f t="shared" si="2"/>
        <v>0</v>
      </c>
      <c r="J30" s="191">
        <f t="shared" si="3"/>
        <v>0</v>
      </c>
      <c r="K30" s="173"/>
      <c r="L30" s="191">
        <f t="shared" si="4"/>
        <v>0</v>
      </c>
      <c r="M30" s="191">
        <f t="shared" si="5"/>
        <v>0</v>
      </c>
      <c r="N30" s="173"/>
      <c r="O30" s="191">
        <f t="shared" si="6"/>
        <v>0</v>
      </c>
    </row>
    <row r="31" spans="1:15" x14ac:dyDescent="0.2">
      <c r="A31" s="1058">
        <v>1845</v>
      </c>
      <c r="B31" s="180" t="s">
        <v>210</v>
      </c>
      <c r="C31" s="173"/>
      <c r="D31" s="173"/>
      <c r="E31" s="250"/>
      <c r="F31" s="250"/>
      <c r="G31" s="252">
        <f t="shared" si="0"/>
        <v>0</v>
      </c>
      <c r="H31" s="191">
        <f t="shared" si="1"/>
        <v>0</v>
      </c>
      <c r="I31" s="191">
        <f t="shared" si="2"/>
        <v>0</v>
      </c>
      <c r="J31" s="191">
        <f t="shared" si="3"/>
        <v>0</v>
      </c>
      <c r="K31" s="173"/>
      <c r="L31" s="191">
        <f t="shared" si="4"/>
        <v>0</v>
      </c>
      <c r="M31" s="191">
        <f t="shared" si="5"/>
        <v>0</v>
      </c>
      <c r="N31" s="173"/>
      <c r="O31" s="191">
        <f t="shared" si="6"/>
        <v>0</v>
      </c>
    </row>
    <row r="32" spans="1:15" x14ac:dyDescent="0.2">
      <c r="A32" s="1058">
        <v>1850</v>
      </c>
      <c r="B32" s="180" t="s">
        <v>272</v>
      </c>
      <c r="C32" s="173"/>
      <c r="D32" s="173"/>
      <c r="E32" s="250"/>
      <c r="F32" s="250"/>
      <c r="G32" s="252">
        <f t="shared" si="0"/>
        <v>0</v>
      </c>
      <c r="H32" s="191">
        <f t="shared" si="1"/>
        <v>0</v>
      </c>
      <c r="I32" s="191">
        <f t="shared" si="2"/>
        <v>0</v>
      </c>
      <c r="J32" s="191">
        <f t="shared" si="3"/>
        <v>0</v>
      </c>
      <c r="K32" s="173"/>
      <c r="L32" s="191">
        <f t="shared" si="4"/>
        <v>0</v>
      </c>
      <c r="M32" s="191">
        <f t="shared" si="5"/>
        <v>0</v>
      </c>
      <c r="N32" s="173"/>
      <c r="O32" s="191">
        <f t="shared" si="6"/>
        <v>0</v>
      </c>
    </row>
    <row r="33" spans="1:15" x14ac:dyDescent="0.2">
      <c r="A33" s="1058">
        <v>1855</v>
      </c>
      <c r="B33" s="180" t="s">
        <v>211</v>
      </c>
      <c r="C33" s="173"/>
      <c r="D33" s="173"/>
      <c r="E33" s="250"/>
      <c r="F33" s="250"/>
      <c r="G33" s="252">
        <f t="shared" si="0"/>
        <v>0</v>
      </c>
      <c r="H33" s="191">
        <f t="shared" si="1"/>
        <v>0</v>
      </c>
      <c r="I33" s="191">
        <f t="shared" si="2"/>
        <v>0</v>
      </c>
      <c r="J33" s="191">
        <f t="shared" si="3"/>
        <v>0</v>
      </c>
      <c r="K33" s="173"/>
      <c r="L33" s="191">
        <f t="shared" si="4"/>
        <v>0</v>
      </c>
      <c r="M33" s="191">
        <f t="shared" si="5"/>
        <v>0</v>
      </c>
      <c r="N33" s="173"/>
      <c r="O33" s="191">
        <f t="shared" si="6"/>
        <v>0</v>
      </c>
    </row>
    <row r="34" spans="1:15" x14ac:dyDescent="0.2">
      <c r="A34" s="1058">
        <v>1860</v>
      </c>
      <c r="B34" s="180" t="s">
        <v>273</v>
      </c>
      <c r="C34" s="173"/>
      <c r="D34" s="173"/>
      <c r="E34" s="250"/>
      <c r="F34" s="250"/>
      <c r="G34" s="252">
        <f t="shared" si="0"/>
        <v>0</v>
      </c>
      <c r="H34" s="191">
        <f t="shared" si="1"/>
        <v>0</v>
      </c>
      <c r="I34" s="191">
        <f t="shared" si="2"/>
        <v>0</v>
      </c>
      <c r="J34" s="191">
        <f t="shared" si="3"/>
        <v>0</v>
      </c>
      <c r="K34" s="173"/>
      <c r="L34" s="191">
        <f t="shared" si="4"/>
        <v>0</v>
      </c>
      <c r="M34" s="191">
        <f t="shared" si="5"/>
        <v>0</v>
      </c>
      <c r="N34" s="173"/>
      <c r="O34" s="191">
        <f t="shared" si="6"/>
        <v>0</v>
      </c>
    </row>
    <row r="35" spans="1:15" x14ac:dyDescent="0.2">
      <c r="A35" s="178">
        <v>1860</v>
      </c>
      <c r="B35" s="179" t="s">
        <v>212</v>
      </c>
      <c r="C35" s="173"/>
      <c r="D35" s="173"/>
      <c r="E35" s="250"/>
      <c r="F35" s="250"/>
      <c r="G35" s="252">
        <f t="shared" si="0"/>
        <v>0</v>
      </c>
      <c r="H35" s="191">
        <f t="shared" si="1"/>
        <v>0</v>
      </c>
      <c r="I35" s="191">
        <f t="shared" si="2"/>
        <v>0</v>
      </c>
      <c r="J35" s="191">
        <f t="shared" si="3"/>
        <v>0</v>
      </c>
      <c r="K35" s="173"/>
      <c r="L35" s="191">
        <f t="shared" si="4"/>
        <v>0</v>
      </c>
      <c r="M35" s="191">
        <f t="shared" si="5"/>
        <v>0</v>
      </c>
      <c r="N35" s="173"/>
      <c r="O35" s="191">
        <f t="shared" si="6"/>
        <v>0</v>
      </c>
    </row>
    <row r="36" spans="1:15" x14ac:dyDescent="0.2">
      <c r="A36" s="178">
        <v>1905</v>
      </c>
      <c r="B36" s="179" t="s">
        <v>267</v>
      </c>
      <c r="C36" s="173"/>
      <c r="D36" s="173"/>
      <c r="E36" s="250"/>
      <c r="F36" s="250"/>
      <c r="G36" s="252">
        <f t="shared" si="0"/>
        <v>0</v>
      </c>
      <c r="H36" s="191">
        <f t="shared" si="1"/>
        <v>0</v>
      </c>
      <c r="I36" s="191">
        <f t="shared" si="2"/>
        <v>0</v>
      </c>
      <c r="J36" s="191">
        <f t="shared" si="3"/>
        <v>0</v>
      </c>
      <c r="K36" s="173"/>
      <c r="L36" s="191">
        <f t="shared" si="4"/>
        <v>0</v>
      </c>
      <c r="M36" s="191">
        <f t="shared" si="5"/>
        <v>0</v>
      </c>
      <c r="N36" s="173"/>
      <c r="O36" s="191">
        <f t="shared" si="6"/>
        <v>0</v>
      </c>
    </row>
    <row r="37" spans="1:15" x14ac:dyDescent="0.2">
      <c r="A37" s="1058">
        <v>1908</v>
      </c>
      <c r="B37" s="180" t="s">
        <v>275</v>
      </c>
      <c r="C37" s="173"/>
      <c r="D37" s="173"/>
      <c r="E37" s="250"/>
      <c r="F37" s="250"/>
      <c r="G37" s="252">
        <f t="shared" si="0"/>
        <v>0</v>
      </c>
      <c r="H37" s="191">
        <f t="shared" si="1"/>
        <v>0</v>
      </c>
      <c r="I37" s="191">
        <f t="shared" si="2"/>
        <v>0</v>
      </c>
      <c r="J37" s="191">
        <f t="shared" si="3"/>
        <v>0</v>
      </c>
      <c r="K37" s="173"/>
      <c r="L37" s="191">
        <f t="shared" si="4"/>
        <v>0</v>
      </c>
      <c r="M37" s="191">
        <f t="shared" si="5"/>
        <v>0</v>
      </c>
      <c r="N37" s="173"/>
      <c r="O37" s="191">
        <f t="shared" si="6"/>
        <v>0</v>
      </c>
    </row>
    <row r="38" spans="1:15" x14ac:dyDescent="0.2">
      <c r="A38" s="1058">
        <v>1910</v>
      </c>
      <c r="B38" s="180" t="s">
        <v>299</v>
      </c>
      <c r="C38" s="173"/>
      <c r="D38" s="173"/>
      <c r="E38" s="250"/>
      <c r="F38" s="250"/>
      <c r="G38" s="252">
        <f t="shared" si="0"/>
        <v>0</v>
      </c>
      <c r="H38" s="191">
        <f t="shared" si="1"/>
        <v>0</v>
      </c>
      <c r="I38" s="191">
        <f t="shared" si="2"/>
        <v>0</v>
      </c>
      <c r="J38" s="191">
        <f t="shared" si="3"/>
        <v>0</v>
      </c>
      <c r="K38" s="173"/>
      <c r="L38" s="191">
        <f t="shared" si="4"/>
        <v>0</v>
      </c>
      <c r="M38" s="191">
        <f t="shared" si="5"/>
        <v>0</v>
      </c>
      <c r="N38" s="173"/>
      <c r="O38" s="191">
        <f t="shared" si="6"/>
        <v>0</v>
      </c>
    </row>
    <row r="39" spans="1:15" x14ac:dyDescent="0.2">
      <c r="A39" s="1058">
        <v>1915</v>
      </c>
      <c r="B39" s="180" t="s">
        <v>213</v>
      </c>
      <c r="C39" s="173"/>
      <c r="D39" s="173"/>
      <c r="E39" s="250"/>
      <c r="F39" s="250"/>
      <c r="G39" s="252">
        <f t="shared" si="0"/>
        <v>0</v>
      </c>
      <c r="H39" s="191">
        <f t="shared" si="1"/>
        <v>0</v>
      </c>
      <c r="I39" s="191">
        <f t="shared" si="2"/>
        <v>0</v>
      </c>
      <c r="J39" s="191">
        <f t="shared" si="3"/>
        <v>0</v>
      </c>
      <c r="K39" s="173"/>
      <c r="L39" s="191">
        <f t="shared" si="4"/>
        <v>0</v>
      </c>
      <c r="M39" s="191">
        <f t="shared" si="5"/>
        <v>0</v>
      </c>
      <c r="N39" s="173"/>
      <c r="O39" s="191">
        <f t="shared" si="6"/>
        <v>0</v>
      </c>
    </row>
    <row r="40" spans="1:15" x14ac:dyDescent="0.2">
      <c r="A40" s="1058">
        <v>1915</v>
      </c>
      <c r="B40" s="180" t="s">
        <v>214</v>
      </c>
      <c r="C40" s="173"/>
      <c r="D40" s="173"/>
      <c r="E40" s="250"/>
      <c r="F40" s="250"/>
      <c r="G40" s="252">
        <f t="shared" si="0"/>
        <v>0</v>
      </c>
      <c r="H40" s="191">
        <f t="shared" si="1"/>
        <v>0</v>
      </c>
      <c r="I40" s="191">
        <f t="shared" si="2"/>
        <v>0</v>
      </c>
      <c r="J40" s="191">
        <f t="shared" si="3"/>
        <v>0</v>
      </c>
      <c r="K40" s="173"/>
      <c r="L40" s="191">
        <f t="shared" si="4"/>
        <v>0</v>
      </c>
      <c r="M40" s="191">
        <f t="shared" si="5"/>
        <v>0</v>
      </c>
      <c r="N40" s="173"/>
      <c r="O40" s="191">
        <f t="shared" si="6"/>
        <v>0</v>
      </c>
    </row>
    <row r="41" spans="1:15" x14ac:dyDescent="0.2">
      <c r="A41" s="1058">
        <v>1920</v>
      </c>
      <c r="B41" s="180" t="s">
        <v>215</v>
      </c>
      <c r="C41" s="173"/>
      <c r="D41" s="173"/>
      <c r="E41" s="250"/>
      <c r="F41" s="250"/>
      <c r="G41" s="252">
        <f t="shared" si="0"/>
        <v>0</v>
      </c>
      <c r="H41" s="191">
        <f t="shared" si="1"/>
        <v>0</v>
      </c>
      <c r="I41" s="191">
        <f t="shared" si="2"/>
        <v>0</v>
      </c>
      <c r="J41" s="191">
        <f t="shared" si="3"/>
        <v>0</v>
      </c>
      <c r="K41" s="173"/>
      <c r="L41" s="191">
        <f t="shared" si="4"/>
        <v>0</v>
      </c>
      <c r="M41" s="191">
        <f t="shared" si="5"/>
        <v>0</v>
      </c>
      <c r="N41" s="173"/>
      <c r="O41" s="191">
        <f t="shared" si="6"/>
        <v>0</v>
      </c>
    </row>
    <row r="42" spans="1:15" x14ac:dyDescent="0.2">
      <c r="A42" s="185">
        <v>1920</v>
      </c>
      <c r="B42" s="172" t="s">
        <v>217</v>
      </c>
      <c r="C42" s="173"/>
      <c r="D42" s="173"/>
      <c r="E42" s="250"/>
      <c r="F42" s="250"/>
      <c r="G42" s="252">
        <f t="shared" si="0"/>
        <v>0</v>
      </c>
      <c r="H42" s="191">
        <f t="shared" si="1"/>
        <v>0</v>
      </c>
      <c r="I42" s="191">
        <f t="shared" si="2"/>
        <v>0</v>
      </c>
      <c r="J42" s="191">
        <f t="shared" si="3"/>
        <v>0</v>
      </c>
      <c r="K42" s="173"/>
      <c r="L42" s="191">
        <f t="shared" si="4"/>
        <v>0</v>
      </c>
      <c r="M42" s="191">
        <f t="shared" si="5"/>
        <v>0</v>
      </c>
      <c r="N42" s="173"/>
      <c r="O42" s="191">
        <f t="shared" si="6"/>
        <v>0</v>
      </c>
    </row>
    <row r="43" spans="1:15" x14ac:dyDescent="0.2">
      <c r="A43" s="185">
        <v>1920</v>
      </c>
      <c r="B43" s="172" t="s">
        <v>216</v>
      </c>
      <c r="C43" s="173"/>
      <c r="D43" s="173"/>
      <c r="E43" s="250"/>
      <c r="F43" s="250"/>
      <c r="G43" s="252">
        <f t="shared" si="0"/>
        <v>0</v>
      </c>
      <c r="H43" s="191">
        <f t="shared" si="1"/>
        <v>0</v>
      </c>
      <c r="I43" s="191">
        <f t="shared" si="2"/>
        <v>0</v>
      </c>
      <c r="J43" s="191">
        <f t="shared" si="3"/>
        <v>0</v>
      </c>
      <c r="K43" s="173"/>
      <c r="L43" s="191">
        <f t="shared" si="4"/>
        <v>0</v>
      </c>
      <c r="M43" s="191">
        <f t="shared" si="5"/>
        <v>0</v>
      </c>
      <c r="N43" s="173"/>
      <c r="O43" s="191">
        <f t="shared" si="6"/>
        <v>0</v>
      </c>
    </row>
    <row r="44" spans="1:15" x14ac:dyDescent="0.2">
      <c r="A44" s="1058">
        <v>1930</v>
      </c>
      <c r="B44" s="180" t="s">
        <v>286</v>
      </c>
      <c r="C44" s="173"/>
      <c r="D44" s="173"/>
      <c r="E44" s="250"/>
      <c r="F44" s="250"/>
      <c r="G44" s="252">
        <f t="shared" si="0"/>
        <v>0</v>
      </c>
      <c r="H44" s="191">
        <f t="shared" si="1"/>
        <v>0</v>
      </c>
      <c r="I44" s="191">
        <f t="shared" si="2"/>
        <v>0</v>
      </c>
      <c r="J44" s="191">
        <f t="shared" si="3"/>
        <v>0</v>
      </c>
      <c r="K44" s="173"/>
      <c r="L44" s="191">
        <f t="shared" si="4"/>
        <v>0</v>
      </c>
      <c r="M44" s="191">
        <f t="shared" si="5"/>
        <v>0</v>
      </c>
      <c r="N44" s="173"/>
      <c r="O44" s="191">
        <f t="shared" si="6"/>
        <v>0</v>
      </c>
    </row>
    <row r="45" spans="1:15" x14ac:dyDescent="0.2">
      <c r="A45" s="1058">
        <v>1935</v>
      </c>
      <c r="B45" s="180" t="s">
        <v>287</v>
      </c>
      <c r="C45" s="173"/>
      <c r="D45" s="173"/>
      <c r="E45" s="250"/>
      <c r="F45" s="250"/>
      <c r="G45" s="252">
        <f t="shared" si="0"/>
        <v>0</v>
      </c>
      <c r="H45" s="191">
        <f t="shared" si="1"/>
        <v>0</v>
      </c>
      <c r="I45" s="191">
        <f t="shared" si="2"/>
        <v>0</v>
      </c>
      <c r="J45" s="191">
        <f t="shared" si="3"/>
        <v>0</v>
      </c>
      <c r="K45" s="173"/>
      <c r="L45" s="191">
        <f t="shared" si="4"/>
        <v>0</v>
      </c>
      <c r="M45" s="191">
        <f t="shared" si="5"/>
        <v>0</v>
      </c>
      <c r="N45" s="173"/>
      <c r="O45" s="191">
        <f t="shared" si="6"/>
        <v>0</v>
      </c>
    </row>
    <row r="46" spans="1:15" x14ac:dyDescent="0.2">
      <c r="A46" s="1058">
        <v>1940</v>
      </c>
      <c r="B46" s="180" t="s">
        <v>288</v>
      </c>
      <c r="C46" s="173"/>
      <c r="D46" s="173"/>
      <c r="E46" s="250"/>
      <c r="F46" s="250"/>
      <c r="G46" s="252">
        <f t="shared" si="0"/>
        <v>0</v>
      </c>
      <c r="H46" s="191">
        <f t="shared" si="1"/>
        <v>0</v>
      </c>
      <c r="I46" s="191">
        <f t="shared" si="2"/>
        <v>0</v>
      </c>
      <c r="J46" s="191">
        <f t="shared" si="3"/>
        <v>0</v>
      </c>
      <c r="K46" s="173"/>
      <c r="L46" s="191">
        <f t="shared" si="4"/>
        <v>0</v>
      </c>
      <c r="M46" s="191">
        <f t="shared" si="5"/>
        <v>0</v>
      </c>
      <c r="N46" s="173"/>
      <c r="O46" s="191">
        <f t="shared" si="6"/>
        <v>0</v>
      </c>
    </row>
    <row r="47" spans="1:15" x14ac:dyDescent="0.2">
      <c r="A47" s="1058">
        <v>1945</v>
      </c>
      <c r="B47" s="180" t="s">
        <v>289</v>
      </c>
      <c r="C47" s="173"/>
      <c r="D47" s="173"/>
      <c r="E47" s="250"/>
      <c r="F47" s="250"/>
      <c r="G47" s="252">
        <f t="shared" si="0"/>
        <v>0</v>
      </c>
      <c r="H47" s="191">
        <f t="shared" si="1"/>
        <v>0</v>
      </c>
      <c r="I47" s="191">
        <f t="shared" si="2"/>
        <v>0</v>
      </c>
      <c r="J47" s="191">
        <f t="shared" si="3"/>
        <v>0</v>
      </c>
      <c r="K47" s="173"/>
      <c r="L47" s="191">
        <f t="shared" si="4"/>
        <v>0</v>
      </c>
      <c r="M47" s="191">
        <f t="shared" si="5"/>
        <v>0</v>
      </c>
      <c r="N47" s="173"/>
      <c r="O47" s="191">
        <f t="shared" si="6"/>
        <v>0</v>
      </c>
    </row>
    <row r="48" spans="1:15" x14ac:dyDescent="0.2">
      <c r="A48" s="1058">
        <v>1950</v>
      </c>
      <c r="B48" s="180" t="s">
        <v>218</v>
      </c>
      <c r="C48" s="173"/>
      <c r="D48" s="173"/>
      <c r="E48" s="250"/>
      <c r="F48" s="250"/>
      <c r="G48" s="252">
        <f t="shared" si="0"/>
        <v>0</v>
      </c>
      <c r="H48" s="191">
        <f t="shared" si="1"/>
        <v>0</v>
      </c>
      <c r="I48" s="191">
        <f t="shared" si="2"/>
        <v>0</v>
      </c>
      <c r="J48" s="191">
        <f t="shared" si="3"/>
        <v>0</v>
      </c>
      <c r="K48" s="173"/>
      <c r="L48" s="191">
        <f t="shared" si="4"/>
        <v>0</v>
      </c>
      <c r="M48" s="191">
        <f t="shared" si="5"/>
        <v>0</v>
      </c>
      <c r="N48" s="173"/>
      <c r="O48" s="191">
        <f t="shared" si="6"/>
        <v>0</v>
      </c>
    </row>
    <row r="49" spans="1:15" x14ac:dyDescent="0.2">
      <c r="A49" s="1058">
        <v>1955</v>
      </c>
      <c r="B49" s="180" t="s">
        <v>290</v>
      </c>
      <c r="C49" s="173"/>
      <c r="D49" s="173"/>
      <c r="E49" s="250"/>
      <c r="F49" s="250"/>
      <c r="G49" s="252">
        <f t="shared" si="0"/>
        <v>0</v>
      </c>
      <c r="H49" s="191">
        <f t="shared" si="1"/>
        <v>0</v>
      </c>
      <c r="I49" s="191">
        <f t="shared" si="2"/>
        <v>0</v>
      </c>
      <c r="J49" s="191">
        <f t="shared" si="3"/>
        <v>0</v>
      </c>
      <c r="K49" s="173"/>
      <c r="L49" s="191">
        <f t="shared" si="4"/>
        <v>0</v>
      </c>
      <c r="M49" s="191">
        <f t="shared" si="5"/>
        <v>0</v>
      </c>
      <c r="N49" s="173"/>
      <c r="O49" s="191">
        <f t="shared" si="6"/>
        <v>0</v>
      </c>
    </row>
    <row r="50" spans="1:15" x14ac:dyDescent="0.2">
      <c r="A50" s="181">
        <v>1955</v>
      </c>
      <c r="B50" s="184" t="s">
        <v>219</v>
      </c>
      <c r="C50" s="173"/>
      <c r="D50" s="173"/>
      <c r="E50" s="250"/>
      <c r="F50" s="250"/>
      <c r="G50" s="252">
        <f t="shared" si="0"/>
        <v>0</v>
      </c>
      <c r="H50" s="191">
        <f t="shared" si="1"/>
        <v>0</v>
      </c>
      <c r="I50" s="191">
        <f t="shared" si="2"/>
        <v>0</v>
      </c>
      <c r="J50" s="191">
        <f t="shared" si="3"/>
        <v>0</v>
      </c>
      <c r="K50" s="173"/>
      <c r="L50" s="191">
        <f t="shared" si="4"/>
        <v>0</v>
      </c>
      <c r="M50" s="191">
        <f t="shared" si="5"/>
        <v>0</v>
      </c>
      <c r="N50" s="173"/>
      <c r="O50" s="191">
        <f t="shared" si="6"/>
        <v>0</v>
      </c>
    </row>
    <row r="51" spans="1:15" x14ac:dyDescent="0.2">
      <c r="A51" s="185">
        <v>1960</v>
      </c>
      <c r="B51" s="172" t="s">
        <v>220</v>
      </c>
      <c r="C51" s="173"/>
      <c r="D51" s="173"/>
      <c r="E51" s="250"/>
      <c r="F51" s="250"/>
      <c r="G51" s="252">
        <f t="shared" si="0"/>
        <v>0</v>
      </c>
      <c r="H51" s="191">
        <f t="shared" si="1"/>
        <v>0</v>
      </c>
      <c r="I51" s="191">
        <f t="shared" si="2"/>
        <v>0</v>
      </c>
      <c r="J51" s="191">
        <f t="shared" si="3"/>
        <v>0</v>
      </c>
      <c r="K51" s="173"/>
      <c r="L51" s="191">
        <f t="shared" si="4"/>
        <v>0</v>
      </c>
      <c r="M51" s="191">
        <f t="shared" si="5"/>
        <v>0</v>
      </c>
      <c r="N51" s="173"/>
      <c r="O51" s="191">
        <f t="shared" si="6"/>
        <v>0</v>
      </c>
    </row>
    <row r="52" spans="1:15" x14ac:dyDescent="0.2">
      <c r="A52" s="181">
        <v>1970</v>
      </c>
      <c r="B52" s="256" t="s">
        <v>501</v>
      </c>
      <c r="C52" s="173"/>
      <c r="D52" s="173"/>
      <c r="E52" s="250"/>
      <c r="F52" s="250"/>
      <c r="G52" s="252">
        <f t="shared" si="0"/>
        <v>0</v>
      </c>
      <c r="H52" s="191">
        <f t="shared" si="1"/>
        <v>0</v>
      </c>
      <c r="I52" s="191">
        <f t="shared" si="2"/>
        <v>0</v>
      </c>
      <c r="J52" s="191">
        <f t="shared" si="3"/>
        <v>0</v>
      </c>
      <c r="K52" s="173"/>
      <c r="L52" s="191">
        <f t="shared" si="4"/>
        <v>0</v>
      </c>
      <c r="M52" s="191">
        <f t="shared" si="5"/>
        <v>0</v>
      </c>
      <c r="N52" s="173"/>
      <c r="O52" s="191">
        <f t="shared" si="6"/>
        <v>0</v>
      </c>
    </row>
    <row r="53" spans="1:15" x14ac:dyDescent="0.2">
      <c r="A53" s="1058">
        <v>1975</v>
      </c>
      <c r="B53" s="180" t="s">
        <v>291</v>
      </c>
      <c r="C53" s="173"/>
      <c r="D53" s="173"/>
      <c r="E53" s="250"/>
      <c r="F53" s="250"/>
      <c r="G53" s="252">
        <f t="shared" si="0"/>
        <v>0</v>
      </c>
      <c r="H53" s="191">
        <f t="shared" si="1"/>
        <v>0</v>
      </c>
      <c r="I53" s="191">
        <f t="shared" si="2"/>
        <v>0</v>
      </c>
      <c r="J53" s="191">
        <f t="shared" si="3"/>
        <v>0</v>
      </c>
      <c r="K53" s="173"/>
      <c r="L53" s="191">
        <f t="shared" si="4"/>
        <v>0</v>
      </c>
      <c r="M53" s="191">
        <f t="shared" si="5"/>
        <v>0</v>
      </c>
      <c r="N53" s="173"/>
      <c r="O53" s="191">
        <f t="shared" si="6"/>
        <v>0</v>
      </c>
    </row>
    <row r="54" spans="1:15" x14ac:dyDescent="0.2">
      <c r="A54" s="1058">
        <v>1980</v>
      </c>
      <c r="B54" s="180" t="s">
        <v>292</v>
      </c>
      <c r="C54" s="173"/>
      <c r="D54" s="173"/>
      <c r="E54" s="250"/>
      <c r="F54" s="250"/>
      <c r="G54" s="252">
        <f t="shared" si="0"/>
        <v>0</v>
      </c>
      <c r="H54" s="191">
        <f t="shared" si="1"/>
        <v>0</v>
      </c>
      <c r="I54" s="191">
        <f t="shared" si="2"/>
        <v>0</v>
      </c>
      <c r="J54" s="191">
        <f t="shared" si="3"/>
        <v>0</v>
      </c>
      <c r="K54" s="173"/>
      <c r="L54" s="191">
        <f t="shared" si="4"/>
        <v>0</v>
      </c>
      <c r="M54" s="191">
        <f t="shared" si="5"/>
        <v>0</v>
      </c>
      <c r="N54" s="173"/>
      <c r="O54" s="191">
        <f t="shared" si="6"/>
        <v>0</v>
      </c>
    </row>
    <row r="55" spans="1:15" x14ac:dyDescent="0.2">
      <c r="A55" s="1058">
        <v>1985</v>
      </c>
      <c r="B55" s="180" t="s">
        <v>293</v>
      </c>
      <c r="C55" s="173"/>
      <c r="D55" s="173"/>
      <c r="E55" s="250"/>
      <c r="F55" s="250"/>
      <c r="G55" s="252">
        <f t="shared" si="0"/>
        <v>0</v>
      </c>
      <c r="H55" s="191">
        <f t="shared" si="1"/>
        <v>0</v>
      </c>
      <c r="I55" s="191">
        <f t="shared" si="2"/>
        <v>0</v>
      </c>
      <c r="J55" s="191">
        <f t="shared" si="3"/>
        <v>0</v>
      </c>
      <c r="K55" s="173"/>
      <c r="L55" s="191">
        <f t="shared" si="4"/>
        <v>0</v>
      </c>
      <c r="M55" s="191">
        <f t="shared" si="5"/>
        <v>0</v>
      </c>
      <c r="N55" s="173"/>
      <c r="O55" s="191">
        <f t="shared" si="6"/>
        <v>0</v>
      </c>
    </row>
    <row r="56" spans="1:15" x14ac:dyDescent="0.2">
      <c r="A56" s="1058">
        <v>1990</v>
      </c>
      <c r="B56" s="1061" t="s">
        <v>502</v>
      </c>
      <c r="C56" s="173"/>
      <c r="D56" s="173"/>
      <c r="E56" s="250"/>
      <c r="F56" s="250"/>
      <c r="G56" s="252">
        <f t="shared" si="0"/>
        <v>0</v>
      </c>
      <c r="H56" s="191">
        <f t="shared" si="1"/>
        <v>0</v>
      </c>
      <c r="I56" s="191">
        <f t="shared" si="2"/>
        <v>0</v>
      </c>
      <c r="J56" s="191">
        <f t="shared" si="3"/>
        <v>0</v>
      </c>
      <c r="K56" s="173"/>
      <c r="L56" s="191">
        <f t="shared" si="4"/>
        <v>0</v>
      </c>
      <c r="M56" s="191">
        <f t="shared" si="5"/>
        <v>0</v>
      </c>
      <c r="N56" s="173"/>
      <c r="O56" s="191">
        <f t="shared" si="6"/>
        <v>0</v>
      </c>
    </row>
    <row r="57" spans="1:15" ht="13.5" thickBot="1" x14ac:dyDescent="0.25">
      <c r="A57" s="1058">
        <v>1995</v>
      </c>
      <c r="B57" s="180" t="s">
        <v>294</v>
      </c>
      <c r="C57" s="257"/>
      <c r="D57" s="257"/>
      <c r="E57" s="259"/>
      <c r="F57" s="259"/>
      <c r="G57" s="260">
        <f t="shared" si="0"/>
        <v>0</v>
      </c>
      <c r="H57" s="285">
        <f t="shared" si="1"/>
        <v>0</v>
      </c>
      <c r="I57" s="285">
        <f t="shared" si="2"/>
        <v>0</v>
      </c>
      <c r="J57" s="285">
        <f t="shared" si="3"/>
        <v>0</v>
      </c>
      <c r="K57" s="257"/>
      <c r="L57" s="285">
        <f t="shared" si="4"/>
        <v>0</v>
      </c>
      <c r="M57" s="285">
        <f t="shared" si="5"/>
        <v>0</v>
      </c>
      <c r="N57" s="257"/>
      <c r="O57" s="285">
        <f t="shared" si="6"/>
        <v>0</v>
      </c>
    </row>
    <row r="58" spans="1:15" ht="14.25" thickTop="1" thickBot="1" x14ac:dyDescent="0.25">
      <c r="A58" s="261"/>
      <c r="B58" s="262" t="s">
        <v>295</v>
      </c>
      <c r="C58" s="286">
        <f>SUM(C20:C57)</f>
        <v>0</v>
      </c>
      <c r="D58" s="286">
        <f>SUM(D20:D57)</f>
        <v>0</v>
      </c>
      <c r="E58" s="286"/>
      <c r="F58" s="287"/>
      <c r="G58" s="288"/>
      <c r="H58" s="286">
        <f t="shared" ref="H58:O58" si="7">SUM(H20:H57)</f>
        <v>0</v>
      </c>
      <c r="I58" s="286">
        <f t="shared" si="7"/>
        <v>0</v>
      </c>
      <c r="J58" s="286">
        <f t="shared" si="7"/>
        <v>0</v>
      </c>
      <c r="K58" s="286">
        <f t="shared" si="7"/>
        <v>0</v>
      </c>
      <c r="L58" s="286">
        <f t="shared" si="7"/>
        <v>0</v>
      </c>
      <c r="M58" s="286">
        <f t="shared" si="7"/>
        <v>0</v>
      </c>
      <c r="N58" s="286">
        <f t="shared" si="7"/>
        <v>0</v>
      </c>
      <c r="O58" s="286">
        <f t="shared" si="7"/>
        <v>0</v>
      </c>
    </row>
    <row r="59" spans="1:15" x14ac:dyDescent="0.2">
      <c r="A59" s="289"/>
      <c r="B59" s="290"/>
      <c r="C59" s="291"/>
      <c r="D59" s="291"/>
      <c r="E59" s="291"/>
      <c r="F59" s="292"/>
      <c r="G59" s="293"/>
      <c r="H59" s="291"/>
      <c r="I59" s="291"/>
      <c r="J59" s="291"/>
      <c r="K59" s="291"/>
      <c r="L59" s="291"/>
      <c r="M59" s="291"/>
      <c r="N59" s="291"/>
      <c r="O59" s="291"/>
    </row>
    <row r="60" spans="1:15" x14ac:dyDescent="0.2">
      <c r="A60" s="152" t="s">
        <v>11</v>
      </c>
      <c r="B60" s="56"/>
      <c r="C60" s="56"/>
      <c r="D60" s="56"/>
      <c r="E60" s="56"/>
      <c r="F60" s="56"/>
      <c r="G60" s="56"/>
      <c r="H60" s="56"/>
      <c r="I60" s="56"/>
      <c r="J60" s="56"/>
      <c r="K60" s="56"/>
      <c r="L60" s="56"/>
    </row>
    <row r="61" spans="1:15" ht="7.5" customHeight="1" x14ac:dyDescent="0.2">
      <c r="A61" s="56"/>
      <c r="B61" s="56"/>
      <c r="C61" s="56"/>
      <c r="D61" s="56"/>
      <c r="E61" s="56"/>
      <c r="F61" s="56"/>
      <c r="G61" s="56"/>
      <c r="H61" s="56"/>
      <c r="I61" s="56"/>
      <c r="J61" s="56"/>
      <c r="K61" s="56"/>
      <c r="L61" s="56"/>
    </row>
    <row r="62" spans="1:15" x14ac:dyDescent="0.2">
      <c r="A62" s="294">
        <v>1</v>
      </c>
      <c r="B62" s="1590" t="s">
        <v>424</v>
      </c>
      <c r="C62" s="1590"/>
      <c r="D62" s="1590"/>
      <c r="E62" s="1590"/>
      <c r="F62" s="1590"/>
      <c r="G62" s="1590"/>
      <c r="H62" s="1590"/>
      <c r="I62" s="1590"/>
      <c r="J62" s="1590"/>
      <c r="K62" s="1590"/>
      <c r="L62" s="1590"/>
      <c r="M62" s="1590"/>
      <c r="N62" s="1590"/>
      <c r="O62" s="1590"/>
    </row>
    <row r="63" spans="1:15" x14ac:dyDescent="0.2">
      <c r="A63" s="294">
        <v>2</v>
      </c>
      <c r="B63" s="1590" t="s">
        <v>865</v>
      </c>
      <c r="C63" s="1590"/>
      <c r="D63" s="1590"/>
      <c r="E63" s="1590"/>
      <c r="F63" s="1590"/>
      <c r="G63" s="1590"/>
      <c r="H63" s="1590"/>
      <c r="I63" s="1590"/>
      <c r="J63" s="1590"/>
      <c r="K63" s="1590"/>
      <c r="L63" s="1590"/>
      <c r="M63" s="1590"/>
      <c r="N63" s="1590"/>
      <c r="O63" s="1590"/>
    </row>
    <row r="64" spans="1:15" ht="42.75" customHeight="1" x14ac:dyDescent="0.2">
      <c r="A64" s="294">
        <v>3</v>
      </c>
      <c r="B64" s="1590" t="s">
        <v>536</v>
      </c>
      <c r="C64" s="1590"/>
      <c r="D64" s="1590"/>
      <c r="E64" s="1590"/>
      <c r="F64" s="1590"/>
      <c r="G64" s="1590"/>
      <c r="H64" s="1590"/>
      <c r="I64" s="1590"/>
      <c r="J64" s="1590"/>
      <c r="K64" s="1590"/>
      <c r="L64" s="1590"/>
      <c r="M64" s="1590"/>
      <c r="N64" s="1590"/>
      <c r="O64" s="1590"/>
    </row>
    <row r="65" spans="1:15" ht="54" customHeight="1" x14ac:dyDescent="0.2">
      <c r="A65" s="270">
        <v>4</v>
      </c>
      <c r="B65" s="1590" t="s">
        <v>1049</v>
      </c>
      <c r="C65" s="1590"/>
      <c r="D65" s="1590"/>
      <c r="E65" s="1590"/>
      <c r="F65" s="1590"/>
      <c r="G65" s="1590"/>
      <c r="H65" s="1590"/>
      <c r="I65" s="1590"/>
      <c r="J65" s="1590"/>
      <c r="K65" s="1590"/>
      <c r="L65" s="1590"/>
      <c r="M65" s="1590"/>
      <c r="N65" s="1590"/>
      <c r="O65" s="1590"/>
    </row>
    <row r="66" spans="1:15" ht="16.5" customHeight="1" x14ac:dyDescent="0.2">
      <c r="A66" s="270">
        <v>5</v>
      </c>
      <c r="B66" s="1706" t="s">
        <v>425</v>
      </c>
      <c r="C66" s="1706"/>
      <c r="D66" s="1706"/>
      <c r="E66" s="1706"/>
      <c r="F66" s="1706"/>
      <c r="G66" s="1706"/>
      <c r="H66" s="1706"/>
      <c r="I66" s="1706"/>
      <c r="J66" s="1706"/>
      <c r="K66" s="1706"/>
      <c r="L66" s="1706"/>
      <c r="M66" s="1706"/>
      <c r="N66" s="1706"/>
      <c r="O66" s="1706"/>
    </row>
    <row r="67" spans="1:15" ht="14.25" customHeight="1" x14ac:dyDescent="0.2">
      <c r="A67" s="270">
        <v>6</v>
      </c>
      <c r="B67" s="1590" t="s">
        <v>481</v>
      </c>
      <c r="C67" s="1590"/>
      <c r="D67" s="1590"/>
      <c r="E67" s="1590"/>
      <c r="F67" s="1590"/>
      <c r="G67" s="1590"/>
      <c r="H67" s="1590"/>
      <c r="I67" s="1590"/>
      <c r="J67" s="1590"/>
      <c r="K67" s="1590"/>
      <c r="L67" s="1590"/>
      <c r="M67" s="1590"/>
      <c r="N67" s="1590"/>
      <c r="O67" s="1590"/>
    </row>
    <row r="68" spans="1:15" ht="14.25" customHeight="1" x14ac:dyDescent="0.2">
      <c r="A68" s="270"/>
      <c r="B68" s="1051"/>
      <c r="C68" s="1051"/>
      <c r="D68" s="1051"/>
      <c r="E68" s="1051"/>
      <c r="F68" s="1051"/>
      <c r="G68" s="1051"/>
      <c r="H68" s="1051"/>
      <c r="I68" s="1051"/>
      <c r="J68" s="1051"/>
      <c r="K68" s="1051"/>
      <c r="L68" s="1051"/>
      <c r="M68" s="1051"/>
      <c r="N68" s="1051"/>
      <c r="O68" s="1051"/>
    </row>
    <row r="69" spans="1:15" ht="12.75" customHeight="1" x14ac:dyDescent="0.2">
      <c r="A69" s="152" t="s">
        <v>226</v>
      </c>
      <c r="B69" s="1684" t="s">
        <v>190</v>
      </c>
      <c r="C69" s="1684"/>
      <c r="D69" s="1684"/>
      <c r="E69" s="1684"/>
      <c r="F69" s="1684"/>
      <c r="G69" s="1684"/>
      <c r="H69" s="1684"/>
      <c r="I69" s="1684"/>
      <c r="J69" s="1684"/>
      <c r="K69" s="1684"/>
      <c r="L69" s="1684"/>
      <c r="M69" s="1684"/>
      <c r="N69" s="1684"/>
      <c r="O69" s="1684"/>
    </row>
    <row r="70" spans="1:15" x14ac:dyDescent="0.2">
      <c r="B70" s="1684"/>
      <c r="C70" s="1684"/>
      <c r="D70" s="1684"/>
      <c r="E70" s="1684"/>
      <c r="F70" s="1684"/>
      <c r="G70" s="1684"/>
      <c r="H70" s="1684"/>
      <c r="I70" s="1684"/>
      <c r="J70" s="1684"/>
      <c r="K70" s="1684"/>
      <c r="L70" s="1684"/>
      <c r="M70" s="1684"/>
      <c r="N70" s="1684"/>
      <c r="O70" s="1684"/>
    </row>
    <row r="71" spans="1:15" x14ac:dyDescent="0.2">
      <c r="B71" s="271"/>
      <c r="C71" s="271"/>
      <c r="D71" s="271"/>
      <c r="E71" s="271"/>
      <c r="F71" s="271"/>
      <c r="G71" s="271"/>
      <c r="H71" s="271"/>
      <c r="I71" s="271"/>
      <c r="J71" s="271"/>
      <c r="K71" s="271"/>
      <c r="L71" s="271"/>
      <c r="M71" s="56"/>
      <c r="N71" s="56"/>
    </row>
    <row r="73" spans="1:15" x14ac:dyDescent="0.2">
      <c r="B73" s="56"/>
    </row>
    <row r="74" spans="1:15" x14ac:dyDescent="0.2">
      <c r="B74" s="56"/>
    </row>
  </sheetData>
  <mergeCells count="22">
    <mergeCell ref="B69:O70"/>
    <mergeCell ref="B62:O62"/>
    <mergeCell ref="B63:O63"/>
    <mergeCell ref="B64:O64"/>
    <mergeCell ref="B65:O65"/>
    <mergeCell ref="B66:O66"/>
    <mergeCell ref="B67:O67"/>
    <mergeCell ref="A9:O9"/>
    <mergeCell ref="A10:O10"/>
    <mergeCell ref="A18:A19"/>
    <mergeCell ref="B18:B19"/>
    <mergeCell ref="K18:K19"/>
    <mergeCell ref="N18:N19"/>
    <mergeCell ref="A11:O11"/>
    <mergeCell ref="A13:B13"/>
    <mergeCell ref="L13:M13"/>
    <mergeCell ref="A14:B14"/>
    <mergeCell ref="C14:K14"/>
    <mergeCell ref="L14:M14"/>
    <mergeCell ref="A15:B15"/>
    <mergeCell ref="C15:K15"/>
    <mergeCell ref="L15:M15"/>
  </mergeCells>
  <dataValidations count="1">
    <dataValidation allowBlank="1" showInputMessage="1" showErrorMessage="1" promptTitle="Date Format" prompt="E.g:  &quot;August 1, 2011&quot;" sqref="L7 JI7 TE7 ADA7 AMW7 AWS7 BGO7 BQK7 CAG7 CKC7 CTY7 DDU7 DNQ7 DXM7 EHI7 ERE7 FBA7 FKW7 FUS7 GEO7 GOK7 GYG7 HIC7 HRY7 IBU7 ILQ7 IVM7 JFI7 JPE7 JZA7 KIW7 KSS7 LCO7 LMK7 LWG7 MGC7 MPY7 MZU7 NJQ7 NTM7 ODI7 ONE7 OXA7 PGW7 PQS7 QAO7 QKK7 QUG7 REC7 RNY7 RXU7 SHQ7 SRM7 TBI7 TLE7 TVA7 UEW7 UOS7 UYO7 VIK7 VSG7 WCC7 WLY7 WVU7 L65548 JI65548 TE65548 ADA65548 AMW65548 AWS65548 BGO65548 BQK65548 CAG65548 CKC65548 CTY65548 DDU65548 DNQ65548 DXM65548 EHI65548 ERE65548 FBA65548 FKW65548 FUS65548 GEO65548 GOK65548 GYG65548 HIC65548 HRY65548 IBU65548 ILQ65548 IVM65548 JFI65548 JPE65548 JZA65548 KIW65548 KSS65548 LCO65548 LMK65548 LWG65548 MGC65548 MPY65548 MZU65548 NJQ65548 NTM65548 ODI65548 ONE65548 OXA65548 PGW65548 PQS65548 QAO65548 QKK65548 QUG65548 REC65548 RNY65548 RXU65548 SHQ65548 SRM65548 TBI65548 TLE65548 TVA65548 UEW65548 UOS65548 UYO65548 VIK65548 VSG65548 WCC65548 WLY65548 WVU65548 L131084 JI131084 TE131084 ADA131084 AMW131084 AWS131084 BGO131084 BQK131084 CAG131084 CKC131084 CTY131084 DDU131084 DNQ131084 DXM131084 EHI131084 ERE131084 FBA131084 FKW131084 FUS131084 GEO131084 GOK131084 GYG131084 HIC131084 HRY131084 IBU131084 ILQ131084 IVM131084 JFI131084 JPE131084 JZA131084 KIW131084 KSS131084 LCO131084 LMK131084 LWG131084 MGC131084 MPY131084 MZU131084 NJQ131084 NTM131084 ODI131084 ONE131084 OXA131084 PGW131084 PQS131084 QAO131084 QKK131084 QUG131084 REC131084 RNY131084 RXU131084 SHQ131084 SRM131084 TBI131084 TLE131084 TVA131084 UEW131084 UOS131084 UYO131084 VIK131084 VSG131084 WCC131084 WLY131084 WVU131084 L196620 JI196620 TE196620 ADA196620 AMW196620 AWS196620 BGO196620 BQK196620 CAG196620 CKC196620 CTY196620 DDU196620 DNQ196620 DXM196620 EHI196620 ERE196620 FBA196620 FKW196620 FUS196620 GEO196620 GOK196620 GYG196620 HIC196620 HRY196620 IBU196620 ILQ196620 IVM196620 JFI196620 JPE196620 JZA196620 KIW196620 KSS196620 LCO196620 LMK196620 LWG196620 MGC196620 MPY196620 MZU196620 NJQ196620 NTM196620 ODI196620 ONE196620 OXA196620 PGW196620 PQS196620 QAO196620 QKK196620 QUG196620 REC196620 RNY196620 RXU196620 SHQ196620 SRM196620 TBI196620 TLE196620 TVA196620 UEW196620 UOS196620 UYO196620 VIK196620 VSG196620 WCC196620 WLY196620 WVU196620 L262156 JI262156 TE262156 ADA262156 AMW262156 AWS262156 BGO262156 BQK262156 CAG262156 CKC262156 CTY262156 DDU262156 DNQ262156 DXM262156 EHI262156 ERE262156 FBA262156 FKW262156 FUS262156 GEO262156 GOK262156 GYG262156 HIC262156 HRY262156 IBU262156 ILQ262156 IVM262156 JFI262156 JPE262156 JZA262156 KIW262156 KSS262156 LCO262156 LMK262156 LWG262156 MGC262156 MPY262156 MZU262156 NJQ262156 NTM262156 ODI262156 ONE262156 OXA262156 PGW262156 PQS262156 QAO262156 QKK262156 QUG262156 REC262156 RNY262156 RXU262156 SHQ262156 SRM262156 TBI262156 TLE262156 TVA262156 UEW262156 UOS262156 UYO262156 VIK262156 VSG262156 WCC262156 WLY262156 WVU262156 L327692 JI327692 TE327692 ADA327692 AMW327692 AWS327692 BGO327692 BQK327692 CAG327692 CKC327692 CTY327692 DDU327692 DNQ327692 DXM327692 EHI327692 ERE327692 FBA327692 FKW327692 FUS327692 GEO327692 GOK327692 GYG327692 HIC327692 HRY327692 IBU327692 ILQ327692 IVM327692 JFI327692 JPE327692 JZA327692 KIW327692 KSS327692 LCO327692 LMK327692 LWG327692 MGC327692 MPY327692 MZU327692 NJQ327692 NTM327692 ODI327692 ONE327692 OXA327692 PGW327692 PQS327692 QAO327692 QKK327692 QUG327692 REC327692 RNY327692 RXU327692 SHQ327692 SRM327692 TBI327692 TLE327692 TVA327692 UEW327692 UOS327692 UYO327692 VIK327692 VSG327692 WCC327692 WLY327692 WVU327692 L393228 JI393228 TE393228 ADA393228 AMW393228 AWS393228 BGO393228 BQK393228 CAG393228 CKC393228 CTY393228 DDU393228 DNQ393228 DXM393228 EHI393228 ERE393228 FBA393228 FKW393228 FUS393228 GEO393228 GOK393228 GYG393228 HIC393228 HRY393228 IBU393228 ILQ393228 IVM393228 JFI393228 JPE393228 JZA393228 KIW393228 KSS393228 LCO393228 LMK393228 LWG393228 MGC393228 MPY393228 MZU393228 NJQ393228 NTM393228 ODI393228 ONE393228 OXA393228 PGW393228 PQS393228 QAO393228 QKK393228 QUG393228 REC393228 RNY393228 RXU393228 SHQ393228 SRM393228 TBI393228 TLE393228 TVA393228 UEW393228 UOS393228 UYO393228 VIK393228 VSG393228 WCC393228 WLY393228 WVU393228 L458764 JI458764 TE458764 ADA458764 AMW458764 AWS458764 BGO458764 BQK458764 CAG458764 CKC458764 CTY458764 DDU458764 DNQ458764 DXM458764 EHI458764 ERE458764 FBA458764 FKW458764 FUS458764 GEO458764 GOK458764 GYG458764 HIC458764 HRY458764 IBU458764 ILQ458764 IVM458764 JFI458764 JPE458764 JZA458764 KIW458764 KSS458764 LCO458764 LMK458764 LWG458764 MGC458764 MPY458764 MZU458764 NJQ458764 NTM458764 ODI458764 ONE458764 OXA458764 PGW458764 PQS458764 QAO458764 QKK458764 QUG458764 REC458764 RNY458764 RXU458764 SHQ458764 SRM458764 TBI458764 TLE458764 TVA458764 UEW458764 UOS458764 UYO458764 VIK458764 VSG458764 WCC458764 WLY458764 WVU458764 L524300 JI524300 TE524300 ADA524300 AMW524300 AWS524300 BGO524300 BQK524300 CAG524300 CKC524300 CTY524300 DDU524300 DNQ524300 DXM524300 EHI524300 ERE524300 FBA524300 FKW524300 FUS524300 GEO524300 GOK524300 GYG524300 HIC524300 HRY524300 IBU524300 ILQ524300 IVM524300 JFI524300 JPE524300 JZA524300 KIW524300 KSS524300 LCO524300 LMK524300 LWG524300 MGC524300 MPY524300 MZU524300 NJQ524300 NTM524300 ODI524300 ONE524300 OXA524300 PGW524300 PQS524300 QAO524300 QKK524300 QUG524300 REC524300 RNY524300 RXU524300 SHQ524300 SRM524300 TBI524300 TLE524300 TVA524300 UEW524300 UOS524300 UYO524300 VIK524300 VSG524300 WCC524300 WLY524300 WVU524300 L589836 JI589836 TE589836 ADA589836 AMW589836 AWS589836 BGO589836 BQK589836 CAG589836 CKC589836 CTY589836 DDU589836 DNQ589836 DXM589836 EHI589836 ERE589836 FBA589836 FKW589836 FUS589836 GEO589836 GOK589836 GYG589836 HIC589836 HRY589836 IBU589836 ILQ589836 IVM589836 JFI589836 JPE589836 JZA589836 KIW589836 KSS589836 LCO589836 LMK589836 LWG589836 MGC589836 MPY589836 MZU589836 NJQ589836 NTM589836 ODI589836 ONE589836 OXA589836 PGW589836 PQS589836 QAO589836 QKK589836 QUG589836 REC589836 RNY589836 RXU589836 SHQ589836 SRM589836 TBI589836 TLE589836 TVA589836 UEW589836 UOS589836 UYO589836 VIK589836 VSG589836 WCC589836 WLY589836 WVU589836 L655372 JI655372 TE655372 ADA655372 AMW655372 AWS655372 BGO655372 BQK655372 CAG655372 CKC655372 CTY655372 DDU655372 DNQ655372 DXM655372 EHI655372 ERE655372 FBA655372 FKW655372 FUS655372 GEO655372 GOK655372 GYG655372 HIC655372 HRY655372 IBU655372 ILQ655372 IVM655372 JFI655372 JPE655372 JZA655372 KIW655372 KSS655372 LCO655372 LMK655372 LWG655372 MGC655372 MPY655372 MZU655372 NJQ655372 NTM655372 ODI655372 ONE655372 OXA655372 PGW655372 PQS655372 QAO655372 QKK655372 QUG655372 REC655372 RNY655372 RXU655372 SHQ655372 SRM655372 TBI655372 TLE655372 TVA655372 UEW655372 UOS655372 UYO655372 VIK655372 VSG655372 WCC655372 WLY655372 WVU655372 L720908 JI720908 TE720908 ADA720908 AMW720908 AWS720908 BGO720908 BQK720908 CAG720908 CKC720908 CTY720908 DDU720908 DNQ720908 DXM720908 EHI720908 ERE720908 FBA720908 FKW720908 FUS720908 GEO720908 GOK720908 GYG720908 HIC720908 HRY720908 IBU720908 ILQ720908 IVM720908 JFI720908 JPE720908 JZA720908 KIW720908 KSS720908 LCO720908 LMK720908 LWG720908 MGC720908 MPY720908 MZU720908 NJQ720908 NTM720908 ODI720908 ONE720908 OXA720908 PGW720908 PQS720908 QAO720908 QKK720908 QUG720908 REC720908 RNY720908 RXU720908 SHQ720908 SRM720908 TBI720908 TLE720908 TVA720908 UEW720908 UOS720908 UYO720908 VIK720908 VSG720908 WCC720908 WLY720908 WVU720908 L786444 JI786444 TE786444 ADA786444 AMW786444 AWS786444 BGO786444 BQK786444 CAG786444 CKC786444 CTY786444 DDU786444 DNQ786444 DXM786444 EHI786444 ERE786444 FBA786444 FKW786444 FUS786444 GEO786444 GOK786444 GYG786444 HIC786444 HRY786444 IBU786444 ILQ786444 IVM786444 JFI786444 JPE786444 JZA786444 KIW786444 KSS786444 LCO786444 LMK786444 LWG786444 MGC786444 MPY786444 MZU786444 NJQ786444 NTM786444 ODI786444 ONE786444 OXA786444 PGW786444 PQS786444 QAO786444 QKK786444 QUG786444 REC786444 RNY786444 RXU786444 SHQ786444 SRM786444 TBI786444 TLE786444 TVA786444 UEW786444 UOS786444 UYO786444 VIK786444 VSG786444 WCC786444 WLY786444 WVU786444 L851980 JI851980 TE851980 ADA851980 AMW851980 AWS851980 BGO851980 BQK851980 CAG851980 CKC851980 CTY851980 DDU851980 DNQ851980 DXM851980 EHI851980 ERE851980 FBA851980 FKW851980 FUS851980 GEO851980 GOK851980 GYG851980 HIC851980 HRY851980 IBU851980 ILQ851980 IVM851980 JFI851980 JPE851980 JZA851980 KIW851980 KSS851980 LCO851980 LMK851980 LWG851980 MGC851980 MPY851980 MZU851980 NJQ851980 NTM851980 ODI851980 ONE851980 OXA851980 PGW851980 PQS851980 QAO851980 QKK851980 QUG851980 REC851980 RNY851980 RXU851980 SHQ851980 SRM851980 TBI851980 TLE851980 TVA851980 UEW851980 UOS851980 UYO851980 VIK851980 VSG851980 WCC851980 WLY851980 WVU851980 L917516 JI917516 TE917516 ADA917516 AMW917516 AWS917516 BGO917516 BQK917516 CAG917516 CKC917516 CTY917516 DDU917516 DNQ917516 DXM917516 EHI917516 ERE917516 FBA917516 FKW917516 FUS917516 GEO917516 GOK917516 GYG917516 HIC917516 HRY917516 IBU917516 ILQ917516 IVM917516 JFI917516 JPE917516 JZA917516 KIW917516 KSS917516 LCO917516 LMK917516 LWG917516 MGC917516 MPY917516 MZU917516 NJQ917516 NTM917516 ODI917516 ONE917516 OXA917516 PGW917516 PQS917516 QAO917516 QKK917516 QUG917516 REC917516 RNY917516 RXU917516 SHQ917516 SRM917516 TBI917516 TLE917516 TVA917516 UEW917516 UOS917516 UYO917516 VIK917516 VSG917516 WCC917516 WLY917516 WVU917516 L983052 JI983052 TE983052 ADA983052 AMW983052 AWS983052 BGO983052 BQK983052 CAG983052 CKC983052 CTY983052 DDU983052 DNQ983052 DXM983052 EHI983052 ERE983052 FBA983052 FKW983052 FUS983052 GEO983052 GOK983052 GYG983052 HIC983052 HRY983052 IBU983052 ILQ983052 IVM983052 JFI983052 JPE983052 JZA983052 KIW983052 KSS983052 LCO983052 LMK983052 LWG983052 MGC983052 MPY983052 MZU983052 NJQ983052 NTM983052 ODI983052 ONE983052 OXA983052 PGW983052 PQS983052 QAO983052 QKK983052 QUG983052 REC983052 RNY983052 RXU983052 SHQ983052 SRM983052 TBI983052 TLE983052 TVA983052 UEW983052 UOS983052 UYO983052 VIK983052 VSG983052 WCC983052 WLY983052 WVU983052"/>
  </dataValidations>
  <printOptions horizontalCentered="1"/>
  <pageMargins left="0.74803149606299213" right="0.74803149606299213" top="0.70866141732283472" bottom="0.39370078740157483" header="0.39370078740157483" footer="0.27559055118110237"/>
  <pageSetup scale="47" orientation="landscape"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00711" r:id="rId4" name="Check Box 7">
              <controlPr defaultSize="0" autoFill="0" autoLine="0" autoPict="0">
                <anchor moveWithCells="1">
                  <from>
                    <xdr:col>0</xdr:col>
                    <xdr:colOff>323850</xdr:colOff>
                    <xdr:row>13</xdr:row>
                    <xdr:rowOff>76200</xdr:rowOff>
                  </from>
                  <to>
                    <xdr:col>0</xdr:col>
                    <xdr:colOff>590550</xdr:colOff>
                    <xdr:row>13</xdr:row>
                    <xdr:rowOff>495300</xdr:rowOff>
                  </to>
                </anchor>
              </controlPr>
            </control>
          </mc:Choice>
        </mc:AlternateContent>
        <mc:AlternateContent xmlns:mc="http://schemas.openxmlformats.org/markup-compatibility/2006">
          <mc:Choice Requires="x14">
            <control shapeId="200712" r:id="rId5" name="Check Box 8">
              <controlPr defaultSize="0" autoFill="0" autoLine="0" autoPict="0">
                <anchor moveWithCells="1">
                  <from>
                    <xdr:col>0</xdr:col>
                    <xdr:colOff>304800</xdr:colOff>
                    <xdr:row>14</xdr:row>
                    <xdr:rowOff>47625</xdr:rowOff>
                  </from>
                  <to>
                    <xdr:col>0</xdr:col>
                    <xdr:colOff>571500</xdr:colOff>
                    <xdr:row>14</xdr:row>
                    <xdr:rowOff>466725</xdr:rowOff>
                  </to>
                </anchor>
              </controlPr>
            </control>
          </mc:Choice>
        </mc:AlternateContent>
      </controls>
    </mc:Choice>
  </mc:AlternateContent>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41">
    <tabColor rgb="FF00B0F0"/>
    <pageSetUpPr fitToPage="1"/>
  </sheetPr>
  <dimension ref="A1:O81"/>
  <sheetViews>
    <sheetView showGridLines="0" view="pageBreakPreview" zoomScale="60" zoomScaleNormal="100" workbookViewId="0">
      <selection activeCell="A9" sqref="A9:K9"/>
    </sheetView>
  </sheetViews>
  <sheetFormatPr defaultRowHeight="12.75" x14ac:dyDescent="0.2"/>
  <cols>
    <col min="1" max="1" width="9.140625" style="52"/>
    <col min="2" max="2" width="40.28515625" style="52" bestFit="1" customWidth="1"/>
    <col min="3" max="3" width="10" style="52" customWidth="1"/>
    <col min="4" max="4" width="10.140625" style="52" customWidth="1"/>
    <col min="5" max="5" width="12.28515625" style="52" customWidth="1"/>
    <col min="6" max="6" width="16.28515625" style="52" customWidth="1"/>
    <col min="7" max="7" width="16.140625" style="52" customWidth="1"/>
    <col min="8" max="8" width="12.7109375" style="52" customWidth="1"/>
    <col min="9" max="10" width="14.42578125" style="52" customWidth="1"/>
    <col min="11" max="11" width="15.5703125" style="52" customWidth="1"/>
    <col min="12" max="12" width="9.140625" style="52"/>
    <col min="13" max="13" width="18.5703125" style="52" customWidth="1"/>
    <col min="14" max="256" width="9.140625" style="52"/>
    <col min="257" max="257" width="2.7109375" style="52" customWidth="1"/>
    <col min="258" max="258" width="9.140625" style="52"/>
    <col min="259" max="259" width="40.28515625" style="52" bestFit="1" customWidth="1"/>
    <col min="260" max="260" width="10" style="52" customWidth="1"/>
    <col min="261" max="261" width="10.140625" style="52" customWidth="1"/>
    <col min="262" max="262" width="12.28515625" style="52" customWidth="1"/>
    <col min="263" max="263" width="16.28515625" style="52" customWidth="1"/>
    <col min="264" max="264" width="12.85546875" style="52" customWidth="1"/>
    <col min="265" max="265" width="12.7109375" style="52" customWidth="1"/>
    <col min="266" max="266" width="14.42578125" style="52" customWidth="1"/>
    <col min="267" max="267" width="13.5703125" style="52" customWidth="1"/>
    <col min="268" max="512" width="9.140625" style="52"/>
    <col min="513" max="513" width="2.7109375" style="52" customWidth="1"/>
    <col min="514" max="514" width="9.140625" style="52"/>
    <col min="515" max="515" width="40.28515625" style="52" bestFit="1" customWidth="1"/>
    <col min="516" max="516" width="10" style="52" customWidth="1"/>
    <col min="517" max="517" width="10.140625" style="52" customWidth="1"/>
    <col min="518" max="518" width="12.28515625" style="52" customWidth="1"/>
    <col min="519" max="519" width="16.28515625" style="52" customWidth="1"/>
    <col min="520" max="520" width="12.85546875" style="52" customWidth="1"/>
    <col min="521" max="521" width="12.7109375" style="52" customWidth="1"/>
    <col min="522" max="522" width="14.42578125" style="52" customWidth="1"/>
    <col min="523" max="523" width="13.5703125" style="52" customWidth="1"/>
    <col min="524" max="768" width="9.140625" style="52"/>
    <col min="769" max="769" width="2.7109375" style="52" customWidth="1"/>
    <col min="770" max="770" width="9.140625" style="52"/>
    <col min="771" max="771" width="40.28515625" style="52" bestFit="1" customWidth="1"/>
    <col min="772" max="772" width="10" style="52" customWidth="1"/>
    <col min="773" max="773" width="10.140625" style="52" customWidth="1"/>
    <col min="774" max="774" width="12.28515625" style="52" customWidth="1"/>
    <col min="775" max="775" width="16.28515625" style="52" customWidth="1"/>
    <col min="776" max="776" width="12.85546875" style="52" customWidth="1"/>
    <col min="777" max="777" width="12.7109375" style="52" customWidth="1"/>
    <col min="778" max="778" width="14.42578125" style="52" customWidth="1"/>
    <col min="779" max="779" width="13.5703125" style="52" customWidth="1"/>
    <col min="780" max="1024" width="9.140625" style="52"/>
    <col min="1025" max="1025" width="2.7109375" style="52" customWidth="1"/>
    <col min="1026" max="1026" width="9.140625" style="52"/>
    <col min="1027" max="1027" width="40.28515625" style="52" bestFit="1" customWidth="1"/>
    <col min="1028" max="1028" width="10" style="52" customWidth="1"/>
    <col min="1029" max="1029" width="10.140625" style="52" customWidth="1"/>
    <col min="1030" max="1030" width="12.28515625" style="52" customWidth="1"/>
    <col min="1031" max="1031" width="16.28515625" style="52" customWidth="1"/>
    <col min="1032" max="1032" width="12.85546875" style="52" customWidth="1"/>
    <col min="1033" max="1033" width="12.7109375" style="52" customWidth="1"/>
    <col min="1034" max="1034" width="14.42578125" style="52" customWidth="1"/>
    <col min="1035" max="1035" width="13.5703125" style="52" customWidth="1"/>
    <col min="1036" max="1280" width="9.140625" style="52"/>
    <col min="1281" max="1281" width="2.7109375" style="52" customWidth="1"/>
    <col min="1282" max="1282" width="9.140625" style="52"/>
    <col min="1283" max="1283" width="40.28515625" style="52" bestFit="1" customWidth="1"/>
    <col min="1284" max="1284" width="10" style="52" customWidth="1"/>
    <col min="1285" max="1285" width="10.140625" style="52" customWidth="1"/>
    <col min="1286" max="1286" width="12.28515625" style="52" customWidth="1"/>
    <col min="1287" max="1287" width="16.28515625" style="52" customWidth="1"/>
    <col min="1288" max="1288" width="12.85546875" style="52" customWidth="1"/>
    <col min="1289" max="1289" width="12.7109375" style="52" customWidth="1"/>
    <col min="1290" max="1290" width="14.42578125" style="52" customWidth="1"/>
    <col min="1291" max="1291" width="13.5703125" style="52" customWidth="1"/>
    <col min="1292" max="1536" width="9.140625" style="52"/>
    <col min="1537" max="1537" width="2.7109375" style="52" customWidth="1"/>
    <col min="1538" max="1538" width="9.140625" style="52"/>
    <col min="1539" max="1539" width="40.28515625" style="52" bestFit="1" customWidth="1"/>
    <col min="1540" max="1540" width="10" style="52" customWidth="1"/>
    <col min="1541" max="1541" width="10.140625" style="52" customWidth="1"/>
    <col min="1542" max="1542" width="12.28515625" style="52" customWidth="1"/>
    <col min="1543" max="1543" width="16.28515625" style="52" customWidth="1"/>
    <col min="1544" max="1544" width="12.85546875" style="52" customWidth="1"/>
    <col min="1545" max="1545" width="12.7109375" style="52" customWidth="1"/>
    <col min="1546" max="1546" width="14.42578125" style="52" customWidth="1"/>
    <col min="1547" max="1547" width="13.5703125" style="52" customWidth="1"/>
    <col min="1548" max="1792" width="9.140625" style="52"/>
    <col min="1793" max="1793" width="2.7109375" style="52" customWidth="1"/>
    <col min="1794" max="1794" width="9.140625" style="52"/>
    <col min="1795" max="1795" width="40.28515625" style="52" bestFit="1" customWidth="1"/>
    <col min="1796" max="1796" width="10" style="52" customWidth="1"/>
    <col min="1797" max="1797" width="10.140625" style="52" customWidth="1"/>
    <col min="1798" max="1798" width="12.28515625" style="52" customWidth="1"/>
    <col min="1799" max="1799" width="16.28515625" style="52" customWidth="1"/>
    <col min="1800" max="1800" width="12.85546875" style="52" customWidth="1"/>
    <col min="1801" max="1801" width="12.7109375" style="52" customWidth="1"/>
    <col min="1802" max="1802" width="14.42578125" style="52" customWidth="1"/>
    <col min="1803" max="1803" width="13.5703125" style="52" customWidth="1"/>
    <col min="1804" max="2048" width="9.140625" style="52"/>
    <col min="2049" max="2049" width="2.7109375" style="52" customWidth="1"/>
    <col min="2050" max="2050" width="9.140625" style="52"/>
    <col min="2051" max="2051" width="40.28515625" style="52" bestFit="1" customWidth="1"/>
    <col min="2052" max="2052" width="10" style="52" customWidth="1"/>
    <col min="2053" max="2053" width="10.140625" style="52" customWidth="1"/>
    <col min="2054" max="2054" width="12.28515625" style="52" customWidth="1"/>
    <col min="2055" max="2055" width="16.28515625" style="52" customWidth="1"/>
    <col min="2056" max="2056" width="12.85546875" style="52" customWidth="1"/>
    <col min="2057" max="2057" width="12.7109375" style="52" customWidth="1"/>
    <col min="2058" max="2058" width="14.42578125" style="52" customWidth="1"/>
    <col min="2059" max="2059" width="13.5703125" style="52" customWidth="1"/>
    <col min="2060" max="2304" width="9.140625" style="52"/>
    <col min="2305" max="2305" width="2.7109375" style="52" customWidth="1"/>
    <col min="2306" max="2306" width="9.140625" style="52"/>
    <col min="2307" max="2307" width="40.28515625" style="52" bestFit="1" customWidth="1"/>
    <col min="2308" max="2308" width="10" style="52" customWidth="1"/>
    <col min="2309" max="2309" width="10.140625" style="52" customWidth="1"/>
    <col min="2310" max="2310" width="12.28515625" style="52" customWidth="1"/>
    <col min="2311" max="2311" width="16.28515625" style="52" customWidth="1"/>
    <col min="2312" max="2312" width="12.85546875" style="52" customWidth="1"/>
    <col min="2313" max="2313" width="12.7109375" style="52" customWidth="1"/>
    <col min="2314" max="2314" width="14.42578125" style="52" customWidth="1"/>
    <col min="2315" max="2315" width="13.5703125" style="52" customWidth="1"/>
    <col min="2316" max="2560" width="9.140625" style="52"/>
    <col min="2561" max="2561" width="2.7109375" style="52" customWidth="1"/>
    <col min="2562" max="2562" width="9.140625" style="52"/>
    <col min="2563" max="2563" width="40.28515625" style="52" bestFit="1" customWidth="1"/>
    <col min="2564" max="2564" width="10" style="52" customWidth="1"/>
    <col min="2565" max="2565" width="10.140625" style="52" customWidth="1"/>
    <col min="2566" max="2566" width="12.28515625" style="52" customWidth="1"/>
    <col min="2567" max="2567" width="16.28515625" style="52" customWidth="1"/>
    <col min="2568" max="2568" width="12.85546875" style="52" customWidth="1"/>
    <col min="2569" max="2569" width="12.7109375" style="52" customWidth="1"/>
    <col min="2570" max="2570" width="14.42578125" style="52" customWidth="1"/>
    <col min="2571" max="2571" width="13.5703125" style="52" customWidth="1"/>
    <col min="2572" max="2816" width="9.140625" style="52"/>
    <col min="2817" max="2817" width="2.7109375" style="52" customWidth="1"/>
    <col min="2818" max="2818" width="9.140625" style="52"/>
    <col min="2819" max="2819" width="40.28515625" style="52" bestFit="1" customWidth="1"/>
    <col min="2820" max="2820" width="10" style="52" customWidth="1"/>
    <col min="2821" max="2821" width="10.140625" style="52" customWidth="1"/>
    <col min="2822" max="2822" width="12.28515625" style="52" customWidth="1"/>
    <col min="2823" max="2823" width="16.28515625" style="52" customWidth="1"/>
    <col min="2824" max="2824" width="12.85546875" style="52" customWidth="1"/>
    <col min="2825" max="2825" width="12.7109375" style="52" customWidth="1"/>
    <col min="2826" max="2826" width="14.42578125" style="52" customWidth="1"/>
    <col min="2827" max="2827" width="13.5703125" style="52" customWidth="1"/>
    <col min="2828" max="3072" width="9.140625" style="52"/>
    <col min="3073" max="3073" width="2.7109375" style="52" customWidth="1"/>
    <col min="3074" max="3074" width="9.140625" style="52"/>
    <col min="3075" max="3075" width="40.28515625" style="52" bestFit="1" customWidth="1"/>
    <col min="3076" max="3076" width="10" style="52" customWidth="1"/>
    <col min="3077" max="3077" width="10.140625" style="52" customWidth="1"/>
    <col min="3078" max="3078" width="12.28515625" style="52" customWidth="1"/>
    <col min="3079" max="3079" width="16.28515625" style="52" customWidth="1"/>
    <col min="3080" max="3080" width="12.85546875" style="52" customWidth="1"/>
    <col min="3081" max="3081" width="12.7109375" style="52" customWidth="1"/>
    <col min="3082" max="3082" width="14.42578125" style="52" customWidth="1"/>
    <col min="3083" max="3083" width="13.5703125" style="52" customWidth="1"/>
    <col min="3084" max="3328" width="9.140625" style="52"/>
    <col min="3329" max="3329" width="2.7109375" style="52" customWidth="1"/>
    <col min="3330" max="3330" width="9.140625" style="52"/>
    <col min="3331" max="3331" width="40.28515625" style="52" bestFit="1" customWidth="1"/>
    <col min="3332" max="3332" width="10" style="52" customWidth="1"/>
    <col min="3333" max="3333" width="10.140625" style="52" customWidth="1"/>
    <col min="3334" max="3334" width="12.28515625" style="52" customWidth="1"/>
    <col min="3335" max="3335" width="16.28515625" style="52" customWidth="1"/>
    <col min="3336" max="3336" width="12.85546875" style="52" customWidth="1"/>
    <col min="3337" max="3337" width="12.7109375" style="52" customWidth="1"/>
    <col min="3338" max="3338" width="14.42578125" style="52" customWidth="1"/>
    <col min="3339" max="3339" width="13.5703125" style="52" customWidth="1"/>
    <col min="3340" max="3584" width="9.140625" style="52"/>
    <col min="3585" max="3585" width="2.7109375" style="52" customWidth="1"/>
    <col min="3586" max="3586" width="9.140625" style="52"/>
    <col min="3587" max="3587" width="40.28515625" style="52" bestFit="1" customWidth="1"/>
    <col min="3588" max="3588" width="10" style="52" customWidth="1"/>
    <col min="3589" max="3589" width="10.140625" style="52" customWidth="1"/>
    <col min="3590" max="3590" width="12.28515625" style="52" customWidth="1"/>
    <col min="3591" max="3591" width="16.28515625" style="52" customWidth="1"/>
    <col min="3592" max="3592" width="12.85546875" style="52" customWidth="1"/>
    <col min="3593" max="3593" width="12.7109375" style="52" customWidth="1"/>
    <col min="3594" max="3594" width="14.42578125" style="52" customWidth="1"/>
    <col min="3595" max="3595" width="13.5703125" style="52" customWidth="1"/>
    <col min="3596" max="3840" width="9.140625" style="52"/>
    <col min="3841" max="3841" width="2.7109375" style="52" customWidth="1"/>
    <col min="3842" max="3842" width="9.140625" style="52"/>
    <col min="3843" max="3843" width="40.28515625" style="52" bestFit="1" customWidth="1"/>
    <col min="3844" max="3844" width="10" style="52" customWidth="1"/>
    <col min="3845" max="3845" width="10.140625" style="52" customWidth="1"/>
    <col min="3846" max="3846" width="12.28515625" style="52" customWidth="1"/>
    <col min="3847" max="3847" width="16.28515625" style="52" customWidth="1"/>
    <col min="3848" max="3848" width="12.85546875" style="52" customWidth="1"/>
    <col min="3849" max="3849" width="12.7109375" style="52" customWidth="1"/>
    <col min="3850" max="3850" width="14.42578125" style="52" customWidth="1"/>
    <col min="3851" max="3851" width="13.5703125" style="52" customWidth="1"/>
    <col min="3852" max="4096" width="9.140625" style="52"/>
    <col min="4097" max="4097" width="2.7109375" style="52" customWidth="1"/>
    <col min="4098" max="4098" width="9.140625" style="52"/>
    <col min="4099" max="4099" width="40.28515625" style="52" bestFit="1" customWidth="1"/>
    <col min="4100" max="4100" width="10" style="52" customWidth="1"/>
    <col min="4101" max="4101" width="10.140625" style="52" customWidth="1"/>
    <col min="4102" max="4102" width="12.28515625" style="52" customWidth="1"/>
    <col min="4103" max="4103" width="16.28515625" style="52" customWidth="1"/>
    <col min="4104" max="4104" width="12.85546875" style="52" customWidth="1"/>
    <col min="4105" max="4105" width="12.7109375" style="52" customWidth="1"/>
    <col min="4106" max="4106" width="14.42578125" style="52" customWidth="1"/>
    <col min="4107" max="4107" width="13.5703125" style="52" customWidth="1"/>
    <col min="4108" max="4352" width="9.140625" style="52"/>
    <col min="4353" max="4353" width="2.7109375" style="52" customWidth="1"/>
    <col min="4354" max="4354" width="9.140625" style="52"/>
    <col min="4355" max="4355" width="40.28515625" style="52" bestFit="1" customWidth="1"/>
    <col min="4356" max="4356" width="10" style="52" customWidth="1"/>
    <col min="4357" max="4357" width="10.140625" style="52" customWidth="1"/>
    <col min="4358" max="4358" width="12.28515625" style="52" customWidth="1"/>
    <col min="4359" max="4359" width="16.28515625" style="52" customWidth="1"/>
    <col min="4360" max="4360" width="12.85546875" style="52" customWidth="1"/>
    <col min="4361" max="4361" width="12.7109375" style="52" customWidth="1"/>
    <col min="4362" max="4362" width="14.42578125" style="52" customWidth="1"/>
    <col min="4363" max="4363" width="13.5703125" style="52" customWidth="1"/>
    <col min="4364" max="4608" width="9.140625" style="52"/>
    <col min="4609" max="4609" width="2.7109375" style="52" customWidth="1"/>
    <col min="4610" max="4610" width="9.140625" style="52"/>
    <col min="4611" max="4611" width="40.28515625" style="52" bestFit="1" customWidth="1"/>
    <col min="4612" max="4612" width="10" style="52" customWidth="1"/>
    <col min="4613" max="4613" width="10.140625" style="52" customWidth="1"/>
    <col min="4614" max="4614" width="12.28515625" style="52" customWidth="1"/>
    <col min="4615" max="4615" width="16.28515625" style="52" customWidth="1"/>
    <col min="4616" max="4616" width="12.85546875" style="52" customWidth="1"/>
    <col min="4617" max="4617" width="12.7109375" style="52" customWidth="1"/>
    <col min="4618" max="4618" width="14.42578125" style="52" customWidth="1"/>
    <col min="4619" max="4619" width="13.5703125" style="52" customWidth="1"/>
    <col min="4620" max="4864" width="9.140625" style="52"/>
    <col min="4865" max="4865" width="2.7109375" style="52" customWidth="1"/>
    <col min="4866" max="4866" width="9.140625" style="52"/>
    <col min="4867" max="4867" width="40.28515625" style="52" bestFit="1" customWidth="1"/>
    <col min="4868" max="4868" width="10" style="52" customWidth="1"/>
    <col min="4869" max="4869" width="10.140625" style="52" customWidth="1"/>
    <col min="4870" max="4870" width="12.28515625" style="52" customWidth="1"/>
    <col min="4871" max="4871" width="16.28515625" style="52" customWidth="1"/>
    <col min="4872" max="4872" width="12.85546875" style="52" customWidth="1"/>
    <col min="4873" max="4873" width="12.7109375" style="52" customWidth="1"/>
    <col min="4874" max="4874" width="14.42578125" style="52" customWidth="1"/>
    <col min="4875" max="4875" width="13.5703125" style="52" customWidth="1"/>
    <col min="4876" max="5120" width="9.140625" style="52"/>
    <col min="5121" max="5121" width="2.7109375" style="52" customWidth="1"/>
    <col min="5122" max="5122" width="9.140625" style="52"/>
    <col min="5123" max="5123" width="40.28515625" style="52" bestFit="1" customWidth="1"/>
    <col min="5124" max="5124" width="10" style="52" customWidth="1"/>
    <col min="5125" max="5125" width="10.140625" style="52" customWidth="1"/>
    <col min="5126" max="5126" width="12.28515625" style="52" customWidth="1"/>
    <col min="5127" max="5127" width="16.28515625" style="52" customWidth="1"/>
    <col min="5128" max="5128" width="12.85546875" style="52" customWidth="1"/>
    <col min="5129" max="5129" width="12.7109375" style="52" customWidth="1"/>
    <col min="5130" max="5130" width="14.42578125" style="52" customWidth="1"/>
    <col min="5131" max="5131" width="13.5703125" style="52" customWidth="1"/>
    <col min="5132" max="5376" width="9.140625" style="52"/>
    <col min="5377" max="5377" width="2.7109375" style="52" customWidth="1"/>
    <col min="5378" max="5378" width="9.140625" style="52"/>
    <col min="5379" max="5379" width="40.28515625" style="52" bestFit="1" customWidth="1"/>
    <col min="5380" max="5380" width="10" style="52" customWidth="1"/>
    <col min="5381" max="5381" width="10.140625" style="52" customWidth="1"/>
    <col min="5382" max="5382" width="12.28515625" style="52" customWidth="1"/>
    <col min="5383" max="5383" width="16.28515625" style="52" customWidth="1"/>
    <col min="5384" max="5384" width="12.85546875" style="52" customWidth="1"/>
    <col min="5385" max="5385" width="12.7109375" style="52" customWidth="1"/>
    <col min="5386" max="5386" width="14.42578125" style="52" customWidth="1"/>
    <col min="5387" max="5387" width="13.5703125" style="52" customWidth="1"/>
    <col min="5388" max="5632" width="9.140625" style="52"/>
    <col min="5633" max="5633" width="2.7109375" style="52" customWidth="1"/>
    <col min="5634" max="5634" width="9.140625" style="52"/>
    <col min="5635" max="5635" width="40.28515625" style="52" bestFit="1" customWidth="1"/>
    <col min="5636" max="5636" width="10" style="52" customWidth="1"/>
    <col min="5637" max="5637" width="10.140625" style="52" customWidth="1"/>
    <col min="5638" max="5638" width="12.28515625" style="52" customWidth="1"/>
    <col min="5639" max="5639" width="16.28515625" style="52" customWidth="1"/>
    <col min="5640" max="5640" width="12.85546875" style="52" customWidth="1"/>
    <col min="5641" max="5641" width="12.7109375" style="52" customWidth="1"/>
    <col min="5642" max="5642" width="14.42578125" style="52" customWidth="1"/>
    <col min="5643" max="5643" width="13.5703125" style="52" customWidth="1"/>
    <col min="5644" max="5888" width="9.140625" style="52"/>
    <col min="5889" max="5889" width="2.7109375" style="52" customWidth="1"/>
    <col min="5890" max="5890" width="9.140625" style="52"/>
    <col min="5891" max="5891" width="40.28515625" style="52" bestFit="1" customWidth="1"/>
    <col min="5892" max="5892" width="10" style="52" customWidth="1"/>
    <col min="5893" max="5893" width="10.140625" style="52" customWidth="1"/>
    <col min="5894" max="5894" width="12.28515625" style="52" customWidth="1"/>
    <col min="5895" max="5895" width="16.28515625" style="52" customWidth="1"/>
    <col min="5896" max="5896" width="12.85546875" style="52" customWidth="1"/>
    <col min="5897" max="5897" width="12.7109375" style="52" customWidth="1"/>
    <col min="5898" max="5898" width="14.42578125" style="52" customWidth="1"/>
    <col min="5899" max="5899" width="13.5703125" style="52" customWidth="1"/>
    <col min="5900" max="6144" width="9.140625" style="52"/>
    <col min="6145" max="6145" width="2.7109375" style="52" customWidth="1"/>
    <col min="6146" max="6146" width="9.140625" style="52"/>
    <col min="6147" max="6147" width="40.28515625" style="52" bestFit="1" customWidth="1"/>
    <col min="6148" max="6148" width="10" style="52" customWidth="1"/>
    <col min="6149" max="6149" width="10.140625" style="52" customWidth="1"/>
    <col min="6150" max="6150" width="12.28515625" style="52" customWidth="1"/>
    <col min="6151" max="6151" width="16.28515625" style="52" customWidth="1"/>
    <col min="6152" max="6152" width="12.85546875" style="52" customWidth="1"/>
    <col min="6153" max="6153" width="12.7109375" style="52" customWidth="1"/>
    <col min="6154" max="6154" width="14.42578125" style="52" customWidth="1"/>
    <col min="6155" max="6155" width="13.5703125" style="52" customWidth="1"/>
    <col min="6156" max="6400" width="9.140625" style="52"/>
    <col min="6401" max="6401" width="2.7109375" style="52" customWidth="1"/>
    <col min="6402" max="6402" width="9.140625" style="52"/>
    <col min="6403" max="6403" width="40.28515625" style="52" bestFit="1" customWidth="1"/>
    <col min="6404" max="6404" width="10" style="52" customWidth="1"/>
    <col min="6405" max="6405" width="10.140625" style="52" customWidth="1"/>
    <col min="6406" max="6406" width="12.28515625" style="52" customWidth="1"/>
    <col min="6407" max="6407" width="16.28515625" style="52" customWidth="1"/>
    <col min="6408" max="6408" width="12.85546875" style="52" customWidth="1"/>
    <col min="6409" max="6409" width="12.7109375" style="52" customWidth="1"/>
    <col min="6410" max="6410" width="14.42578125" style="52" customWidth="1"/>
    <col min="6411" max="6411" width="13.5703125" style="52" customWidth="1"/>
    <col min="6412" max="6656" width="9.140625" style="52"/>
    <col min="6657" max="6657" width="2.7109375" style="52" customWidth="1"/>
    <col min="6658" max="6658" width="9.140625" style="52"/>
    <col min="6659" max="6659" width="40.28515625" style="52" bestFit="1" customWidth="1"/>
    <col min="6660" max="6660" width="10" style="52" customWidth="1"/>
    <col min="6661" max="6661" width="10.140625" style="52" customWidth="1"/>
    <col min="6662" max="6662" width="12.28515625" style="52" customWidth="1"/>
    <col min="6663" max="6663" width="16.28515625" style="52" customWidth="1"/>
    <col min="6664" max="6664" width="12.85546875" style="52" customWidth="1"/>
    <col min="6665" max="6665" width="12.7109375" style="52" customWidth="1"/>
    <col min="6666" max="6666" width="14.42578125" style="52" customWidth="1"/>
    <col min="6667" max="6667" width="13.5703125" style="52" customWidth="1"/>
    <col min="6668" max="6912" width="9.140625" style="52"/>
    <col min="6913" max="6913" width="2.7109375" style="52" customWidth="1"/>
    <col min="6914" max="6914" width="9.140625" style="52"/>
    <col min="6915" max="6915" width="40.28515625" style="52" bestFit="1" customWidth="1"/>
    <col min="6916" max="6916" width="10" style="52" customWidth="1"/>
    <col min="6917" max="6917" width="10.140625" style="52" customWidth="1"/>
    <col min="6918" max="6918" width="12.28515625" style="52" customWidth="1"/>
    <col min="6919" max="6919" width="16.28515625" style="52" customWidth="1"/>
    <col min="6920" max="6920" width="12.85546875" style="52" customWidth="1"/>
    <col min="6921" max="6921" width="12.7109375" style="52" customWidth="1"/>
    <col min="6922" max="6922" width="14.42578125" style="52" customWidth="1"/>
    <col min="6923" max="6923" width="13.5703125" style="52" customWidth="1"/>
    <col min="6924" max="7168" width="9.140625" style="52"/>
    <col min="7169" max="7169" width="2.7109375" style="52" customWidth="1"/>
    <col min="7170" max="7170" width="9.140625" style="52"/>
    <col min="7171" max="7171" width="40.28515625" style="52" bestFit="1" customWidth="1"/>
    <col min="7172" max="7172" width="10" style="52" customWidth="1"/>
    <col min="7173" max="7173" width="10.140625" style="52" customWidth="1"/>
    <col min="7174" max="7174" width="12.28515625" style="52" customWidth="1"/>
    <col min="7175" max="7175" width="16.28515625" style="52" customWidth="1"/>
    <col min="7176" max="7176" width="12.85546875" style="52" customWidth="1"/>
    <col min="7177" max="7177" width="12.7109375" style="52" customWidth="1"/>
    <col min="7178" max="7178" width="14.42578125" style="52" customWidth="1"/>
    <col min="7179" max="7179" width="13.5703125" style="52" customWidth="1"/>
    <col min="7180" max="7424" width="9.140625" style="52"/>
    <col min="7425" max="7425" width="2.7109375" style="52" customWidth="1"/>
    <col min="7426" max="7426" width="9.140625" style="52"/>
    <col min="7427" max="7427" width="40.28515625" style="52" bestFit="1" customWidth="1"/>
    <col min="7428" max="7428" width="10" style="52" customWidth="1"/>
    <col min="7429" max="7429" width="10.140625" style="52" customWidth="1"/>
    <col min="7430" max="7430" width="12.28515625" style="52" customWidth="1"/>
    <col min="7431" max="7431" width="16.28515625" style="52" customWidth="1"/>
    <col min="7432" max="7432" width="12.85546875" style="52" customWidth="1"/>
    <col min="7433" max="7433" width="12.7109375" style="52" customWidth="1"/>
    <col min="7434" max="7434" width="14.42578125" style="52" customWidth="1"/>
    <col min="7435" max="7435" width="13.5703125" style="52" customWidth="1"/>
    <col min="7436" max="7680" width="9.140625" style="52"/>
    <col min="7681" max="7681" width="2.7109375" style="52" customWidth="1"/>
    <col min="7682" max="7682" width="9.140625" style="52"/>
    <col min="7683" max="7683" width="40.28515625" style="52" bestFit="1" customWidth="1"/>
    <col min="7684" max="7684" width="10" style="52" customWidth="1"/>
    <col min="7685" max="7685" width="10.140625" style="52" customWidth="1"/>
    <col min="7686" max="7686" width="12.28515625" style="52" customWidth="1"/>
    <col min="7687" max="7687" width="16.28515625" style="52" customWidth="1"/>
    <col min="7688" max="7688" width="12.85546875" style="52" customWidth="1"/>
    <col min="7689" max="7689" width="12.7109375" style="52" customWidth="1"/>
    <col min="7690" max="7690" width="14.42578125" style="52" customWidth="1"/>
    <col min="7691" max="7691" width="13.5703125" style="52" customWidth="1"/>
    <col min="7692" max="7936" width="9.140625" style="52"/>
    <col min="7937" max="7937" width="2.7109375" style="52" customWidth="1"/>
    <col min="7938" max="7938" width="9.140625" style="52"/>
    <col min="7939" max="7939" width="40.28515625" style="52" bestFit="1" customWidth="1"/>
    <col min="7940" max="7940" width="10" style="52" customWidth="1"/>
    <col min="7941" max="7941" width="10.140625" style="52" customWidth="1"/>
    <col min="7942" max="7942" width="12.28515625" style="52" customWidth="1"/>
    <col min="7943" max="7943" width="16.28515625" style="52" customWidth="1"/>
    <col min="7944" max="7944" width="12.85546875" style="52" customWidth="1"/>
    <col min="7945" max="7945" width="12.7109375" style="52" customWidth="1"/>
    <col min="7946" max="7946" width="14.42578125" style="52" customWidth="1"/>
    <col min="7947" max="7947" width="13.5703125" style="52" customWidth="1"/>
    <col min="7948" max="8192" width="9.140625" style="52"/>
    <col min="8193" max="8193" width="2.7109375" style="52" customWidth="1"/>
    <col min="8194" max="8194" width="9.140625" style="52"/>
    <col min="8195" max="8195" width="40.28515625" style="52" bestFit="1" customWidth="1"/>
    <col min="8196" max="8196" width="10" style="52" customWidth="1"/>
    <col min="8197" max="8197" width="10.140625" style="52" customWidth="1"/>
    <col min="8198" max="8198" width="12.28515625" style="52" customWidth="1"/>
    <col min="8199" max="8199" width="16.28515625" style="52" customWidth="1"/>
    <col min="8200" max="8200" width="12.85546875" style="52" customWidth="1"/>
    <col min="8201" max="8201" width="12.7109375" style="52" customWidth="1"/>
    <col min="8202" max="8202" width="14.42578125" style="52" customWidth="1"/>
    <col min="8203" max="8203" width="13.5703125" style="52" customWidth="1"/>
    <col min="8204" max="8448" width="9.140625" style="52"/>
    <col min="8449" max="8449" width="2.7109375" style="52" customWidth="1"/>
    <col min="8450" max="8450" width="9.140625" style="52"/>
    <col min="8451" max="8451" width="40.28515625" style="52" bestFit="1" customWidth="1"/>
    <col min="8452" max="8452" width="10" style="52" customWidth="1"/>
    <col min="8453" max="8453" width="10.140625" style="52" customWidth="1"/>
    <col min="8454" max="8454" width="12.28515625" style="52" customWidth="1"/>
    <col min="8455" max="8455" width="16.28515625" style="52" customWidth="1"/>
    <col min="8456" max="8456" width="12.85546875" style="52" customWidth="1"/>
    <col min="8457" max="8457" width="12.7109375" style="52" customWidth="1"/>
    <col min="8458" max="8458" width="14.42578125" style="52" customWidth="1"/>
    <col min="8459" max="8459" width="13.5703125" style="52" customWidth="1"/>
    <col min="8460" max="8704" width="9.140625" style="52"/>
    <col min="8705" max="8705" width="2.7109375" style="52" customWidth="1"/>
    <col min="8706" max="8706" width="9.140625" style="52"/>
    <col min="8707" max="8707" width="40.28515625" style="52" bestFit="1" customWidth="1"/>
    <col min="8708" max="8708" width="10" style="52" customWidth="1"/>
    <col min="8709" max="8709" width="10.140625" style="52" customWidth="1"/>
    <col min="8710" max="8710" width="12.28515625" style="52" customWidth="1"/>
    <col min="8711" max="8711" width="16.28515625" style="52" customWidth="1"/>
    <col min="8712" max="8712" width="12.85546875" style="52" customWidth="1"/>
    <col min="8713" max="8713" width="12.7109375" style="52" customWidth="1"/>
    <col min="8714" max="8714" width="14.42578125" style="52" customWidth="1"/>
    <col min="8715" max="8715" width="13.5703125" style="52" customWidth="1"/>
    <col min="8716" max="8960" width="9.140625" style="52"/>
    <col min="8961" max="8961" width="2.7109375" style="52" customWidth="1"/>
    <col min="8962" max="8962" width="9.140625" style="52"/>
    <col min="8963" max="8963" width="40.28515625" style="52" bestFit="1" customWidth="1"/>
    <col min="8964" max="8964" width="10" style="52" customWidth="1"/>
    <col min="8965" max="8965" width="10.140625" style="52" customWidth="1"/>
    <col min="8966" max="8966" width="12.28515625" style="52" customWidth="1"/>
    <col min="8967" max="8967" width="16.28515625" style="52" customWidth="1"/>
    <col min="8968" max="8968" width="12.85546875" style="52" customWidth="1"/>
    <col min="8969" max="8969" width="12.7109375" style="52" customWidth="1"/>
    <col min="8970" max="8970" width="14.42578125" style="52" customWidth="1"/>
    <col min="8971" max="8971" width="13.5703125" style="52" customWidth="1"/>
    <col min="8972" max="9216" width="9.140625" style="52"/>
    <col min="9217" max="9217" width="2.7109375" style="52" customWidth="1"/>
    <col min="9218" max="9218" width="9.140625" style="52"/>
    <col min="9219" max="9219" width="40.28515625" style="52" bestFit="1" customWidth="1"/>
    <col min="9220" max="9220" width="10" style="52" customWidth="1"/>
    <col min="9221" max="9221" width="10.140625" style="52" customWidth="1"/>
    <col min="9222" max="9222" width="12.28515625" style="52" customWidth="1"/>
    <col min="9223" max="9223" width="16.28515625" style="52" customWidth="1"/>
    <col min="9224" max="9224" width="12.85546875" style="52" customWidth="1"/>
    <col min="9225" max="9225" width="12.7109375" style="52" customWidth="1"/>
    <col min="9226" max="9226" width="14.42578125" style="52" customWidth="1"/>
    <col min="9227" max="9227" width="13.5703125" style="52" customWidth="1"/>
    <col min="9228" max="9472" width="9.140625" style="52"/>
    <col min="9473" max="9473" width="2.7109375" style="52" customWidth="1"/>
    <col min="9474" max="9474" width="9.140625" style="52"/>
    <col min="9475" max="9475" width="40.28515625" style="52" bestFit="1" customWidth="1"/>
    <col min="9476" max="9476" width="10" style="52" customWidth="1"/>
    <col min="9477" max="9477" width="10.140625" style="52" customWidth="1"/>
    <col min="9478" max="9478" width="12.28515625" style="52" customWidth="1"/>
    <col min="9479" max="9479" width="16.28515625" style="52" customWidth="1"/>
    <col min="9480" max="9480" width="12.85546875" style="52" customWidth="1"/>
    <col min="9481" max="9481" width="12.7109375" style="52" customWidth="1"/>
    <col min="9482" max="9482" width="14.42578125" style="52" customWidth="1"/>
    <col min="9483" max="9483" width="13.5703125" style="52" customWidth="1"/>
    <col min="9484" max="9728" width="9.140625" style="52"/>
    <col min="9729" max="9729" width="2.7109375" style="52" customWidth="1"/>
    <col min="9730" max="9730" width="9.140625" style="52"/>
    <col min="9731" max="9731" width="40.28515625" style="52" bestFit="1" customWidth="1"/>
    <col min="9732" max="9732" width="10" style="52" customWidth="1"/>
    <col min="9733" max="9733" width="10.140625" style="52" customWidth="1"/>
    <col min="9734" max="9734" width="12.28515625" style="52" customWidth="1"/>
    <col min="9735" max="9735" width="16.28515625" style="52" customWidth="1"/>
    <col min="9736" max="9736" width="12.85546875" style="52" customWidth="1"/>
    <col min="9737" max="9737" width="12.7109375" style="52" customWidth="1"/>
    <col min="9738" max="9738" width="14.42578125" style="52" customWidth="1"/>
    <col min="9739" max="9739" width="13.5703125" style="52" customWidth="1"/>
    <col min="9740" max="9984" width="9.140625" style="52"/>
    <col min="9985" max="9985" width="2.7109375" style="52" customWidth="1"/>
    <col min="9986" max="9986" width="9.140625" style="52"/>
    <col min="9987" max="9987" width="40.28515625" style="52" bestFit="1" customWidth="1"/>
    <col min="9988" max="9988" width="10" style="52" customWidth="1"/>
    <col min="9989" max="9989" width="10.140625" style="52" customWidth="1"/>
    <col min="9990" max="9990" width="12.28515625" style="52" customWidth="1"/>
    <col min="9991" max="9991" width="16.28515625" style="52" customWidth="1"/>
    <col min="9992" max="9992" width="12.85546875" style="52" customWidth="1"/>
    <col min="9993" max="9993" width="12.7109375" style="52" customWidth="1"/>
    <col min="9994" max="9994" width="14.42578125" style="52" customWidth="1"/>
    <col min="9995" max="9995" width="13.5703125" style="52" customWidth="1"/>
    <col min="9996" max="10240" width="9.140625" style="52"/>
    <col min="10241" max="10241" width="2.7109375" style="52" customWidth="1"/>
    <col min="10242" max="10242" width="9.140625" style="52"/>
    <col min="10243" max="10243" width="40.28515625" style="52" bestFit="1" customWidth="1"/>
    <col min="10244" max="10244" width="10" style="52" customWidth="1"/>
    <col min="10245" max="10245" width="10.140625" style="52" customWidth="1"/>
    <col min="10246" max="10246" width="12.28515625" style="52" customWidth="1"/>
    <col min="10247" max="10247" width="16.28515625" style="52" customWidth="1"/>
    <col min="10248" max="10248" width="12.85546875" style="52" customWidth="1"/>
    <col min="10249" max="10249" width="12.7109375" style="52" customWidth="1"/>
    <col min="10250" max="10250" width="14.42578125" style="52" customWidth="1"/>
    <col min="10251" max="10251" width="13.5703125" style="52" customWidth="1"/>
    <col min="10252" max="10496" width="9.140625" style="52"/>
    <col min="10497" max="10497" width="2.7109375" style="52" customWidth="1"/>
    <col min="10498" max="10498" width="9.140625" style="52"/>
    <col min="10499" max="10499" width="40.28515625" style="52" bestFit="1" customWidth="1"/>
    <col min="10500" max="10500" width="10" style="52" customWidth="1"/>
    <col min="10501" max="10501" width="10.140625" style="52" customWidth="1"/>
    <col min="10502" max="10502" width="12.28515625" style="52" customWidth="1"/>
    <col min="10503" max="10503" width="16.28515625" style="52" customWidth="1"/>
    <col min="10504" max="10504" width="12.85546875" style="52" customWidth="1"/>
    <col min="10505" max="10505" width="12.7109375" style="52" customWidth="1"/>
    <col min="10506" max="10506" width="14.42578125" style="52" customWidth="1"/>
    <col min="10507" max="10507" width="13.5703125" style="52" customWidth="1"/>
    <col min="10508" max="10752" width="9.140625" style="52"/>
    <col min="10753" max="10753" width="2.7109375" style="52" customWidth="1"/>
    <col min="10754" max="10754" width="9.140625" style="52"/>
    <col min="10755" max="10755" width="40.28515625" style="52" bestFit="1" customWidth="1"/>
    <col min="10756" max="10756" width="10" style="52" customWidth="1"/>
    <col min="10757" max="10757" width="10.140625" style="52" customWidth="1"/>
    <col min="10758" max="10758" width="12.28515625" style="52" customWidth="1"/>
    <col min="10759" max="10759" width="16.28515625" style="52" customWidth="1"/>
    <col min="10760" max="10760" width="12.85546875" style="52" customWidth="1"/>
    <col min="10761" max="10761" width="12.7109375" style="52" customWidth="1"/>
    <col min="10762" max="10762" width="14.42578125" style="52" customWidth="1"/>
    <col min="10763" max="10763" width="13.5703125" style="52" customWidth="1"/>
    <col min="10764" max="11008" width="9.140625" style="52"/>
    <col min="11009" max="11009" width="2.7109375" style="52" customWidth="1"/>
    <col min="11010" max="11010" width="9.140625" style="52"/>
    <col min="11011" max="11011" width="40.28515625" style="52" bestFit="1" customWidth="1"/>
    <col min="11012" max="11012" width="10" style="52" customWidth="1"/>
    <col min="11013" max="11013" width="10.140625" style="52" customWidth="1"/>
    <col min="11014" max="11014" width="12.28515625" style="52" customWidth="1"/>
    <col min="11015" max="11015" width="16.28515625" style="52" customWidth="1"/>
    <col min="11016" max="11016" width="12.85546875" style="52" customWidth="1"/>
    <col min="11017" max="11017" width="12.7109375" style="52" customWidth="1"/>
    <col min="11018" max="11018" width="14.42578125" style="52" customWidth="1"/>
    <col min="11019" max="11019" width="13.5703125" style="52" customWidth="1"/>
    <col min="11020" max="11264" width="9.140625" style="52"/>
    <col min="11265" max="11265" width="2.7109375" style="52" customWidth="1"/>
    <col min="11266" max="11266" width="9.140625" style="52"/>
    <col min="11267" max="11267" width="40.28515625" style="52" bestFit="1" customWidth="1"/>
    <col min="11268" max="11268" width="10" style="52" customWidth="1"/>
    <col min="11269" max="11269" width="10.140625" style="52" customWidth="1"/>
    <col min="11270" max="11270" width="12.28515625" style="52" customWidth="1"/>
    <col min="11271" max="11271" width="16.28515625" style="52" customWidth="1"/>
    <col min="11272" max="11272" width="12.85546875" style="52" customWidth="1"/>
    <col min="11273" max="11273" width="12.7109375" style="52" customWidth="1"/>
    <col min="11274" max="11274" width="14.42578125" style="52" customWidth="1"/>
    <col min="11275" max="11275" width="13.5703125" style="52" customWidth="1"/>
    <col min="11276" max="11520" width="9.140625" style="52"/>
    <col min="11521" max="11521" width="2.7109375" style="52" customWidth="1"/>
    <col min="11522" max="11522" width="9.140625" style="52"/>
    <col min="11523" max="11523" width="40.28515625" style="52" bestFit="1" customWidth="1"/>
    <col min="11524" max="11524" width="10" style="52" customWidth="1"/>
    <col min="11525" max="11525" width="10.140625" style="52" customWidth="1"/>
    <col min="11526" max="11526" width="12.28515625" style="52" customWidth="1"/>
    <col min="11527" max="11527" width="16.28515625" style="52" customWidth="1"/>
    <col min="11528" max="11528" width="12.85546875" style="52" customWidth="1"/>
    <col min="11529" max="11529" width="12.7109375" style="52" customWidth="1"/>
    <col min="11530" max="11530" width="14.42578125" style="52" customWidth="1"/>
    <col min="11531" max="11531" width="13.5703125" style="52" customWidth="1"/>
    <col min="11532" max="11776" width="9.140625" style="52"/>
    <col min="11777" max="11777" width="2.7109375" style="52" customWidth="1"/>
    <col min="11778" max="11778" width="9.140625" style="52"/>
    <col min="11779" max="11779" width="40.28515625" style="52" bestFit="1" customWidth="1"/>
    <col min="11780" max="11780" width="10" style="52" customWidth="1"/>
    <col min="11781" max="11781" width="10.140625" style="52" customWidth="1"/>
    <col min="11782" max="11782" width="12.28515625" style="52" customWidth="1"/>
    <col min="11783" max="11783" width="16.28515625" style="52" customWidth="1"/>
    <col min="11784" max="11784" width="12.85546875" style="52" customWidth="1"/>
    <col min="11785" max="11785" width="12.7109375" style="52" customWidth="1"/>
    <col min="11786" max="11786" width="14.42578125" style="52" customWidth="1"/>
    <col min="11787" max="11787" width="13.5703125" style="52" customWidth="1"/>
    <col min="11788" max="12032" width="9.140625" style="52"/>
    <col min="12033" max="12033" width="2.7109375" style="52" customWidth="1"/>
    <col min="12034" max="12034" width="9.140625" style="52"/>
    <col min="12035" max="12035" width="40.28515625" style="52" bestFit="1" customWidth="1"/>
    <col min="12036" max="12036" width="10" style="52" customWidth="1"/>
    <col min="12037" max="12037" width="10.140625" style="52" customWidth="1"/>
    <col min="12038" max="12038" width="12.28515625" style="52" customWidth="1"/>
    <col min="12039" max="12039" width="16.28515625" style="52" customWidth="1"/>
    <col min="12040" max="12040" width="12.85546875" style="52" customWidth="1"/>
    <col min="12041" max="12041" width="12.7109375" style="52" customWidth="1"/>
    <col min="12042" max="12042" width="14.42578125" style="52" customWidth="1"/>
    <col min="12043" max="12043" width="13.5703125" style="52" customWidth="1"/>
    <col min="12044" max="12288" width="9.140625" style="52"/>
    <col min="12289" max="12289" width="2.7109375" style="52" customWidth="1"/>
    <col min="12290" max="12290" width="9.140625" style="52"/>
    <col min="12291" max="12291" width="40.28515625" style="52" bestFit="1" customWidth="1"/>
    <col min="12292" max="12292" width="10" style="52" customWidth="1"/>
    <col min="12293" max="12293" width="10.140625" style="52" customWidth="1"/>
    <col min="12294" max="12294" width="12.28515625" style="52" customWidth="1"/>
    <col min="12295" max="12295" width="16.28515625" style="52" customWidth="1"/>
    <col min="12296" max="12296" width="12.85546875" style="52" customWidth="1"/>
    <col min="12297" max="12297" width="12.7109375" style="52" customWidth="1"/>
    <col min="12298" max="12298" width="14.42578125" style="52" customWidth="1"/>
    <col min="12299" max="12299" width="13.5703125" style="52" customWidth="1"/>
    <col min="12300" max="12544" width="9.140625" style="52"/>
    <col min="12545" max="12545" width="2.7109375" style="52" customWidth="1"/>
    <col min="12546" max="12546" width="9.140625" style="52"/>
    <col min="12547" max="12547" width="40.28515625" style="52" bestFit="1" customWidth="1"/>
    <col min="12548" max="12548" width="10" style="52" customWidth="1"/>
    <col min="12549" max="12549" width="10.140625" style="52" customWidth="1"/>
    <col min="12550" max="12550" width="12.28515625" style="52" customWidth="1"/>
    <col min="12551" max="12551" width="16.28515625" style="52" customWidth="1"/>
    <col min="12552" max="12552" width="12.85546875" style="52" customWidth="1"/>
    <col min="12553" max="12553" width="12.7109375" style="52" customWidth="1"/>
    <col min="12554" max="12554" width="14.42578125" style="52" customWidth="1"/>
    <col min="12555" max="12555" width="13.5703125" style="52" customWidth="1"/>
    <col min="12556" max="12800" width="9.140625" style="52"/>
    <col min="12801" max="12801" width="2.7109375" style="52" customWidth="1"/>
    <col min="12802" max="12802" width="9.140625" style="52"/>
    <col min="12803" max="12803" width="40.28515625" style="52" bestFit="1" customWidth="1"/>
    <col min="12804" max="12804" width="10" style="52" customWidth="1"/>
    <col min="12805" max="12805" width="10.140625" style="52" customWidth="1"/>
    <col min="12806" max="12806" width="12.28515625" style="52" customWidth="1"/>
    <col min="12807" max="12807" width="16.28515625" style="52" customWidth="1"/>
    <col min="12808" max="12808" width="12.85546875" style="52" customWidth="1"/>
    <col min="12809" max="12809" width="12.7109375" style="52" customWidth="1"/>
    <col min="12810" max="12810" width="14.42578125" style="52" customWidth="1"/>
    <col min="12811" max="12811" width="13.5703125" style="52" customWidth="1"/>
    <col min="12812" max="13056" width="9.140625" style="52"/>
    <col min="13057" max="13057" width="2.7109375" style="52" customWidth="1"/>
    <col min="13058" max="13058" width="9.140625" style="52"/>
    <col min="13059" max="13059" width="40.28515625" style="52" bestFit="1" customWidth="1"/>
    <col min="13060" max="13060" width="10" style="52" customWidth="1"/>
    <col min="13061" max="13061" width="10.140625" style="52" customWidth="1"/>
    <col min="13062" max="13062" width="12.28515625" style="52" customWidth="1"/>
    <col min="13063" max="13063" width="16.28515625" style="52" customWidth="1"/>
    <col min="13064" max="13064" width="12.85546875" style="52" customWidth="1"/>
    <col min="13065" max="13065" width="12.7109375" style="52" customWidth="1"/>
    <col min="13066" max="13066" width="14.42578125" style="52" customWidth="1"/>
    <col min="13067" max="13067" width="13.5703125" style="52" customWidth="1"/>
    <col min="13068" max="13312" width="9.140625" style="52"/>
    <col min="13313" max="13313" width="2.7109375" style="52" customWidth="1"/>
    <col min="13314" max="13314" width="9.140625" style="52"/>
    <col min="13315" max="13315" width="40.28515625" style="52" bestFit="1" customWidth="1"/>
    <col min="13316" max="13316" width="10" style="52" customWidth="1"/>
    <col min="13317" max="13317" width="10.140625" style="52" customWidth="1"/>
    <col min="13318" max="13318" width="12.28515625" style="52" customWidth="1"/>
    <col min="13319" max="13319" width="16.28515625" style="52" customWidth="1"/>
    <col min="13320" max="13320" width="12.85546875" style="52" customWidth="1"/>
    <col min="13321" max="13321" width="12.7109375" style="52" customWidth="1"/>
    <col min="13322" max="13322" width="14.42578125" style="52" customWidth="1"/>
    <col min="13323" max="13323" width="13.5703125" style="52" customWidth="1"/>
    <col min="13324" max="13568" width="9.140625" style="52"/>
    <col min="13569" max="13569" width="2.7109375" style="52" customWidth="1"/>
    <col min="13570" max="13570" width="9.140625" style="52"/>
    <col min="13571" max="13571" width="40.28515625" style="52" bestFit="1" customWidth="1"/>
    <col min="13572" max="13572" width="10" style="52" customWidth="1"/>
    <col min="13573" max="13573" width="10.140625" style="52" customWidth="1"/>
    <col min="13574" max="13574" width="12.28515625" style="52" customWidth="1"/>
    <col min="13575" max="13575" width="16.28515625" style="52" customWidth="1"/>
    <col min="13576" max="13576" width="12.85546875" style="52" customWidth="1"/>
    <col min="13577" max="13577" width="12.7109375" style="52" customWidth="1"/>
    <col min="13578" max="13578" width="14.42578125" style="52" customWidth="1"/>
    <col min="13579" max="13579" width="13.5703125" style="52" customWidth="1"/>
    <col min="13580" max="13824" width="9.140625" style="52"/>
    <col min="13825" max="13825" width="2.7109375" style="52" customWidth="1"/>
    <col min="13826" max="13826" width="9.140625" style="52"/>
    <col min="13827" max="13827" width="40.28515625" style="52" bestFit="1" customWidth="1"/>
    <col min="13828" max="13828" width="10" style="52" customWidth="1"/>
    <col min="13829" max="13829" width="10.140625" style="52" customWidth="1"/>
    <col min="13830" max="13830" width="12.28515625" style="52" customWidth="1"/>
    <col min="13831" max="13831" width="16.28515625" style="52" customWidth="1"/>
    <col min="13832" max="13832" width="12.85546875" style="52" customWidth="1"/>
    <col min="13833" max="13833" width="12.7109375" style="52" customWidth="1"/>
    <col min="13834" max="13834" width="14.42578125" style="52" customWidth="1"/>
    <col min="13835" max="13835" width="13.5703125" style="52" customWidth="1"/>
    <col min="13836" max="14080" width="9.140625" style="52"/>
    <col min="14081" max="14081" width="2.7109375" style="52" customWidth="1"/>
    <col min="14082" max="14082" width="9.140625" style="52"/>
    <col min="14083" max="14083" width="40.28515625" style="52" bestFit="1" customWidth="1"/>
    <col min="14084" max="14084" width="10" style="52" customWidth="1"/>
    <col min="14085" max="14085" width="10.140625" style="52" customWidth="1"/>
    <col min="14086" max="14086" width="12.28515625" style="52" customWidth="1"/>
    <col min="14087" max="14087" width="16.28515625" style="52" customWidth="1"/>
    <col min="14088" max="14088" width="12.85546875" style="52" customWidth="1"/>
    <col min="14089" max="14089" width="12.7109375" style="52" customWidth="1"/>
    <col min="14090" max="14090" width="14.42578125" style="52" customWidth="1"/>
    <col min="14091" max="14091" width="13.5703125" style="52" customWidth="1"/>
    <col min="14092" max="14336" width="9.140625" style="52"/>
    <col min="14337" max="14337" width="2.7109375" style="52" customWidth="1"/>
    <col min="14338" max="14338" width="9.140625" style="52"/>
    <col min="14339" max="14339" width="40.28515625" style="52" bestFit="1" customWidth="1"/>
    <col min="14340" max="14340" width="10" style="52" customWidth="1"/>
    <col min="14341" max="14341" width="10.140625" style="52" customWidth="1"/>
    <col min="14342" max="14342" width="12.28515625" style="52" customWidth="1"/>
    <col min="14343" max="14343" width="16.28515625" style="52" customWidth="1"/>
    <col min="14344" max="14344" width="12.85546875" style="52" customWidth="1"/>
    <col min="14345" max="14345" width="12.7109375" style="52" customWidth="1"/>
    <col min="14346" max="14346" width="14.42578125" style="52" customWidth="1"/>
    <col min="14347" max="14347" width="13.5703125" style="52" customWidth="1"/>
    <col min="14348" max="14592" width="9.140625" style="52"/>
    <col min="14593" max="14593" width="2.7109375" style="52" customWidth="1"/>
    <col min="14594" max="14594" width="9.140625" style="52"/>
    <col min="14595" max="14595" width="40.28515625" style="52" bestFit="1" customWidth="1"/>
    <col min="14596" max="14596" width="10" style="52" customWidth="1"/>
    <col min="14597" max="14597" width="10.140625" style="52" customWidth="1"/>
    <col min="14598" max="14598" width="12.28515625" style="52" customWidth="1"/>
    <col min="14599" max="14599" width="16.28515625" style="52" customWidth="1"/>
    <col min="14600" max="14600" width="12.85546875" style="52" customWidth="1"/>
    <col min="14601" max="14601" width="12.7109375" style="52" customWidth="1"/>
    <col min="14602" max="14602" width="14.42578125" style="52" customWidth="1"/>
    <col min="14603" max="14603" width="13.5703125" style="52" customWidth="1"/>
    <col min="14604" max="14848" width="9.140625" style="52"/>
    <col min="14849" max="14849" width="2.7109375" style="52" customWidth="1"/>
    <col min="14850" max="14850" width="9.140625" style="52"/>
    <col min="14851" max="14851" width="40.28515625" style="52" bestFit="1" customWidth="1"/>
    <col min="14852" max="14852" width="10" style="52" customWidth="1"/>
    <col min="14853" max="14853" width="10.140625" style="52" customWidth="1"/>
    <col min="14854" max="14854" width="12.28515625" style="52" customWidth="1"/>
    <col min="14855" max="14855" width="16.28515625" style="52" customWidth="1"/>
    <col min="14856" max="14856" width="12.85546875" style="52" customWidth="1"/>
    <col min="14857" max="14857" width="12.7109375" style="52" customWidth="1"/>
    <col min="14858" max="14858" width="14.42578125" style="52" customWidth="1"/>
    <col min="14859" max="14859" width="13.5703125" style="52" customWidth="1"/>
    <col min="14860" max="15104" width="9.140625" style="52"/>
    <col min="15105" max="15105" width="2.7109375" style="52" customWidth="1"/>
    <col min="15106" max="15106" width="9.140625" style="52"/>
    <col min="15107" max="15107" width="40.28515625" style="52" bestFit="1" customWidth="1"/>
    <col min="15108" max="15108" width="10" style="52" customWidth="1"/>
    <col min="15109" max="15109" width="10.140625" style="52" customWidth="1"/>
    <col min="15110" max="15110" width="12.28515625" style="52" customWidth="1"/>
    <col min="15111" max="15111" width="16.28515625" style="52" customWidth="1"/>
    <col min="15112" max="15112" width="12.85546875" style="52" customWidth="1"/>
    <col min="15113" max="15113" width="12.7109375" style="52" customWidth="1"/>
    <col min="15114" max="15114" width="14.42578125" style="52" customWidth="1"/>
    <col min="15115" max="15115" width="13.5703125" style="52" customWidth="1"/>
    <col min="15116" max="15360" width="9.140625" style="52"/>
    <col min="15361" max="15361" width="2.7109375" style="52" customWidth="1"/>
    <col min="15362" max="15362" width="9.140625" style="52"/>
    <col min="15363" max="15363" width="40.28515625" style="52" bestFit="1" customWidth="1"/>
    <col min="15364" max="15364" width="10" style="52" customWidth="1"/>
    <col min="15365" max="15365" width="10.140625" style="52" customWidth="1"/>
    <col min="15366" max="15366" width="12.28515625" style="52" customWidth="1"/>
    <col min="15367" max="15367" width="16.28515625" style="52" customWidth="1"/>
    <col min="15368" max="15368" width="12.85546875" style="52" customWidth="1"/>
    <col min="15369" max="15369" width="12.7109375" style="52" customWidth="1"/>
    <col min="15370" max="15370" width="14.42578125" style="52" customWidth="1"/>
    <col min="15371" max="15371" width="13.5703125" style="52" customWidth="1"/>
    <col min="15372" max="15616" width="9.140625" style="52"/>
    <col min="15617" max="15617" width="2.7109375" style="52" customWidth="1"/>
    <col min="15618" max="15618" width="9.140625" style="52"/>
    <col min="15619" max="15619" width="40.28515625" style="52" bestFit="1" customWidth="1"/>
    <col min="15620" max="15620" width="10" style="52" customWidth="1"/>
    <col min="15621" max="15621" width="10.140625" style="52" customWidth="1"/>
    <col min="15622" max="15622" width="12.28515625" style="52" customWidth="1"/>
    <col min="15623" max="15623" width="16.28515625" style="52" customWidth="1"/>
    <col min="15624" max="15624" width="12.85546875" style="52" customWidth="1"/>
    <col min="15625" max="15625" width="12.7109375" style="52" customWidth="1"/>
    <col min="15626" max="15626" width="14.42578125" style="52" customWidth="1"/>
    <col min="15627" max="15627" width="13.5703125" style="52" customWidth="1"/>
    <col min="15628" max="15872" width="9.140625" style="52"/>
    <col min="15873" max="15873" width="2.7109375" style="52" customWidth="1"/>
    <col min="15874" max="15874" width="9.140625" style="52"/>
    <col min="15875" max="15875" width="40.28515625" style="52" bestFit="1" customWidth="1"/>
    <col min="15876" max="15876" width="10" style="52" customWidth="1"/>
    <col min="15877" max="15877" width="10.140625" style="52" customWidth="1"/>
    <col min="15878" max="15878" width="12.28515625" style="52" customWidth="1"/>
    <col min="15879" max="15879" width="16.28515625" style="52" customWidth="1"/>
    <col min="15880" max="15880" width="12.85546875" style="52" customWidth="1"/>
    <col min="15881" max="15881" width="12.7109375" style="52" customWidth="1"/>
    <col min="15882" max="15882" width="14.42578125" style="52" customWidth="1"/>
    <col min="15883" max="15883" width="13.5703125" style="52" customWidth="1"/>
    <col min="15884" max="16128" width="9.140625" style="52"/>
    <col min="16129" max="16129" width="2.7109375" style="52" customWidth="1"/>
    <col min="16130" max="16130" width="9.140625" style="52"/>
    <col min="16131" max="16131" width="40.28515625" style="52" bestFit="1" customWidth="1"/>
    <col min="16132" max="16132" width="10" style="52" customWidth="1"/>
    <col min="16133" max="16133" width="10.140625" style="52" customWidth="1"/>
    <col min="16134" max="16134" width="12.28515625" style="52" customWidth="1"/>
    <col min="16135" max="16135" width="16.28515625" style="52" customWidth="1"/>
    <col min="16136" max="16136" width="12.85546875" style="52" customWidth="1"/>
    <col min="16137" max="16137" width="12.7109375" style="52" customWidth="1"/>
    <col min="16138" max="16138" width="14.42578125" style="52" customWidth="1"/>
    <col min="16139" max="16139" width="13.5703125" style="52" customWidth="1"/>
    <col min="16140" max="16384" width="9.140625" style="52"/>
  </cols>
  <sheetData>
    <row r="1" spans="1:15" x14ac:dyDescent="0.2">
      <c r="D1" s="154"/>
      <c r="E1" s="155"/>
      <c r="F1" s="155"/>
      <c r="G1" s="155"/>
      <c r="H1" s="155"/>
      <c r="J1" s="152" t="s">
        <v>301</v>
      </c>
      <c r="K1" s="1092" t="str">
        <f>EBNUMBER</f>
        <v>EB-2016-0066</v>
      </c>
      <c r="L1" s="155"/>
    </row>
    <row r="2" spans="1:15" x14ac:dyDescent="0.2">
      <c r="D2" s="154"/>
      <c r="E2" s="155"/>
      <c r="F2" s="155"/>
      <c r="G2" s="155"/>
      <c r="H2" s="155"/>
      <c r="J2" s="152" t="s">
        <v>302</v>
      </c>
      <c r="K2" s="51"/>
      <c r="L2" s="155"/>
    </row>
    <row r="3" spans="1:15" x14ac:dyDescent="0.2">
      <c r="D3" s="154"/>
      <c r="E3" s="155"/>
      <c r="F3" s="155"/>
      <c r="G3" s="155"/>
      <c r="H3" s="155"/>
      <c r="J3" s="152" t="s">
        <v>303</v>
      </c>
      <c r="K3" s="51"/>
      <c r="L3" s="155"/>
    </row>
    <row r="4" spans="1:15" x14ac:dyDescent="0.2">
      <c r="D4" s="154"/>
      <c r="E4" s="155"/>
      <c r="F4" s="155"/>
      <c r="G4" s="155"/>
      <c r="H4" s="155"/>
      <c r="J4" s="152" t="s">
        <v>304</v>
      </c>
      <c r="K4" s="51"/>
      <c r="L4" s="155"/>
    </row>
    <row r="5" spans="1:15" x14ac:dyDescent="0.2">
      <c r="D5" s="154"/>
      <c r="E5" s="155"/>
      <c r="F5" s="155"/>
      <c r="G5" s="155"/>
      <c r="H5" s="155"/>
      <c r="J5" s="152" t="s">
        <v>305</v>
      </c>
      <c r="K5" s="1093"/>
      <c r="L5" s="155"/>
    </row>
    <row r="6" spans="1:15" x14ac:dyDescent="0.2">
      <c r="D6" s="154"/>
      <c r="E6" s="155"/>
      <c r="F6" s="155"/>
      <c r="G6" s="155"/>
      <c r="H6" s="155"/>
      <c r="J6" s="152"/>
      <c r="K6" s="1092"/>
      <c r="L6" s="155"/>
    </row>
    <row r="7" spans="1:15" x14ac:dyDescent="0.2">
      <c r="D7" s="154"/>
      <c r="E7" s="155"/>
      <c r="F7" s="155"/>
      <c r="G7" s="155"/>
      <c r="H7" s="239"/>
      <c r="J7" s="152" t="s">
        <v>306</v>
      </c>
      <c r="K7" s="1093"/>
      <c r="L7" s="239"/>
    </row>
    <row r="9" spans="1:15" ht="18" x14ac:dyDescent="0.2">
      <c r="A9" s="1609" t="s">
        <v>1442</v>
      </c>
      <c r="B9" s="1609"/>
      <c r="C9" s="1609"/>
      <c r="D9" s="1609"/>
      <c r="E9" s="1609"/>
      <c r="F9" s="1609"/>
      <c r="G9" s="1609"/>
      <c r="H9" s="1609"/>
      <c r="I9" s="1609"/>
      <c r="J9" s="1609"/>
      <c r="K9" s="1609"/>
    </row>
    <row r="10" spans="1:15" ht="18" x14ac:dyDescent="0.2">
      <c r="A10" s="1609" t="s">
        <v>2</v>
      </c>
      <c r="B10" s="1609"/>
      <c r="C10" s="1609"/>
      <c r="D10" s="1609"/>
      <c r="E10" s="1609"/>
      <c r="F10" s="1609"/>
      <c r="G10" s="1609"/>
      <c r="H10" s="1609"/>
      <c r="I10" s="1609"/>
      <c r="J10" s="1609"/>
      <c r="K10" s="1609"/>
    </row>
    <row r="11" spans="1:15" ht="24" customHeight="1" x14ac:dyDescent="0.2">
      <c r="A11" s="1680" t="s">
        <v>1051</v>
      </c>
      <c r="B11" s="1680"/>
      <c r="C11" s="1680"/>
      <c r="D11" s="1680"/>
      <c r="E11" s="1680"/>
      <c r="F11" s="1680"/>
      <c r="G11" s="1680"/>
      <c r="H11" s="1680"/>
      <c r="I11" s="1680"/>
      <c r="J11" s="1680"/>
      <c r="K11" s="1680"/>
      <c r="L11" s="295"/>
      <c r="M11" s="295"/>
      <c r="N11" s="295"/>
      <c r="O11" s="295"/>
    </row>
    <row r="12" spans="1:15" ht="24" customHeight="1" x14ac:dyDescent="0.2">
      <c r="A12" s="1108"/>
      <c r="B12" s="1108"/>
      <c r="C12" s="1108"/>
      <c r="D12" s="1108"/>
      <c r="E12" s="1108"/>
      <c r="F12" s="1108"/>
      <c r="G12" s="1108"/>
      <c r="H12" s="1108"/>
      <c r="I12" s="1108"/>
      <c r="J12" s="1108"/>
      <c r="K12" s="1108"/>
      <c r="L12" s="295"/>
      <c r="M12" s="295"/>
      <c r="N12" s="295"/>
      <c r="O12" s="295"/>
    </row>
    <row r="13" spans="1:15" ht="39.75" customHeight="1" x14ac:dyDescent="0.25">
      <c r="A13" s="1700" t="s">
        <v>1042</v>
      </c>
      <c r="B13" s="1701"/>
      <c r="C13" s="878"/>
      <c r="D13" s="1115"/>
      <c r="E13" s="1110"/>
      <c r="F13" s="1110"/>
      <c r="G13" s="1110"/>
      <c r="H13" s="1109"/>
      <c r="I13" s="1109"/>
      <c r="J13" s="1122" t="s">
        <v>1057</v>
      </c>
      <c r="K13" s="1116" t="s">
        <v>882</v>
      </c>
      <c r="M13" s="1120"/>
      <c r="N13" s="1102"/>
      <c r="O13" s="1102"/>
    </row>
    <row r="14" spans="1:15" ht="39.75" customHeight="1" x14ac:dyDescent="0.25">
      <c r="A14" s="1693" t="s">
        <v>1101</v>
      </c>
      <c r="B14" s="1694"/>
      <c r="C14" s="1682" t="s">
        <v>1076</v>
      </c>
      <c r="D14" s="1652"/>
      <c r="E14" s="1652"/>
      <c r="F14" s="1652"/>
      <c r="G14" s="1652"/>
      <c r="H14" s="1652"/>
      <c r="I14" s="1652"/>
      <c r="J14" s="1118">
        <v>2013</v>
      </c>
      <c r="K14" s="185" t="s">
        <v>891</v>
      </c>
      <c r="L14" s="159"/>
      <c r="M14" s="1121"/>
      <c r="N14" s="1102"/>
      <c r="O14" s="1102"/>
    </row>
    <row r="15" spans="1:15" ht="39" customHeight="1" x14ac:dyDescent="0.2">
      <c r="A15" s="1693" t="s">
        <v>1102</v>
      </c>
      <c r="B15" s="1694"/>
      <c r="C15" s="1682" t="s">
        <v>1077</v>
      </c>
      <c r="D15" s="1652"/>
      <c r="E15" s="1652"/>
      <c r="F15" s="1652"/>
      <c r="G15" s="1652"/>
      <c r="H15" s="1652"/>
      <c r="I15" s="1652"/>
      <c r="J15" s="1118">
        <v>2014</v>
      </c>
      <c r="K15" s="185" t="s">
        <v>891</v>
      </c>
      <c r="L15" s="159"/>
      <c r="M15" s="1121"/>
      <c r="N15" s="331"/>
      <c r="O15" s="331"/>
    </row>
    <row r="16" spans="1:15" ht="15" x14ac:dyDescent="0.2">
      <c r="A16" s="859"/>
      <c r="B16" s="859"/>
      <c r="C16" s="1111"/>
      <c r="D16" s="1111"/>
      <c r="E16" s="1111"/>
      <c r="F16" s="1111"/>
      <c r="G16" s="1111"/>
      <c r="H16" s="1111"/>
      <c r="I16" s="1111"/>
      <c r="J16" s="1111"/>
      <c r="K16" s="1119"/>
      <c r="L16" s="159"/>
      <c r="M16" s="1121"/>
      <c r="N16" s="331"/>
      <c r="O16" s="331"/>
    </row>
    <row r="17" spans="1:11" ht="13.5" thickBot="1" x14ac:dyDescent="0.25"/>
    <row r="18" spans="1:11" ht="52.5" customHeight="1" x14ac:dyDescent="0.2">
      <c r="A18" s="1685" t="s">
        <v>3</v>
      </c>
      <c r="B18" s="1687" t="s">
        <v>235</v>
      </c>
      <c r="C18" s="245" t="s">
        <v>237</v>
      </c>
      <c r="D18" s="245" t="s">
        <v>395</v>
      </c>
      <c r="E18" s="245" t="s">
        <v>385</v>
      </c>
      <c r="F18" s="277" t="s">
        <v>1052</v>
      </c>
      <c r="G18" s="1697" t="s">
        <v>1054</v>
      </c>
      <c r="H18" s="277" t="s">
        <v>388</v>
      </c>
      <c r="I18" s="277" t="s">
        <v>1047</v>
      </c>
      <c r="J18" s="1697" t="s">
        <v>1088</v>
      </c>
      <c r="K18" s="277" t="s">
        <v>1055</v>
      </c>
    </row>
    <row r="19" spans="1:11" ht="54" customHeight="1" thickBot="1" x14ac:dyDescent="0.25">
      <c r="A19" s="1695"/>
      <c r="B19" s="1696"/>
      <c r="C19" s="278" t="s">
        <v>5</v>
      </c>
      <c r="D19" s="278" t="s">
        <v>7</v>
      </c>
      <c r="E19" s="278" t="s">
        <v>8</v>
      </c>
      <c r="F19" s="296" t="s">
        <v>1053</v>
      </c>
      <c r="G19" s="1698"/>
      <c r="H19" s="281" t="s">
        <v>382</v>
      </c>
      <c r="I19" s="281" t="s">
        <v>396</v>
      </c>
      <c r="J19" s="1699"/>
      <c r="K19" s="297" t="s">
        <v>1056</v>
      </c>
    </row>
    <row r="20" spans="1:11" ht="25.5" x14ac:dyDescent="0.2">
      <c r="A20" s="1058">
        <v>1611</v>
      </c>
      <c r="B20" s="172" t="s">
        <v>381</v>
      </c>
      <c r="C20" s="173"/>
      <c r="D20" s="298"/>
      <c r="E20" s="299">
        <f t="shared" ref="E20:E57" si="0">IF(D20=0,0,1/D20)</f>
        <v>0</v>
      </c>
      <c r="F20" s="191">
        <f>IF(D20=0,+'App.2-CB_NewCGAAP_DepExp_Yr1'!O20,+'App.2-CB_NewCGAAP_DepExp_Yr1'!O20+((C20*0.5)/D20))</f>
        <v>0</v>
      </c>
      <c r="G20" s="173"/>
      <c r="H20" s="191">
        <f t="shared" ref="H20:H57" si="1">IF(ISERROR(+F20-G20), 0, +F20-G20)</f>
        <v>0</v>
      </c>
      <c r="I20" s="191">
        <f t="shared" ref="I20:I57" si="2">IF(D20=0,0,+(C20)/D20)</f>
        <v>0</v>
      </c>
      <c r="J20" s="173"/>
      <c r="K20" s="191">
        <f>IF(ISERROR(+I20+'App.2-CB_NewCGAAP_DepExp_Yr1'!O20-J20), 0, +I20+'App.2-CB_NewCGAAP_DepExp_Yr1'!O20-J20)</f>
        <v>0</v>
      </c>
    </row>
    <row r="21" spans="1:11" ht="25.5" x14ac:dyDescent="0.2">
      <c r="A21" s="1058">
        <v>1612</v>
      </c>
      <c r="B21" s="172" t="s">
        <v>442</v>
      </c>
      <c r="C21" s="173"/>
      <c r="D21" s="250"/>
      <c r="E21" s="251">
        <f t="shared" si="0"/>
        <v>0</v>
      </c>
      <c r="F21" s="191">
        <f>IF(D21=0,+'App.2-CB_NewCGAAP_DepExp_Yr1'!O21,+'App.2-CB_NewCGAAP_DepExp_Yr1'!O21+((C21*0.5)/D21))</f>
        <v>0</v>
      </c>
      <c r="G21" s="173"/>
      <c r="H21" s="191">
        <f t="shared" si="1"/>
        <v>0</v>
      </c>
      <c r="I21" s="191">
        <f t="shared" si="2"/>
        <v>0</v>
      </c>
      <c r="J21" s="173"/>
      <c r="K21" s="191">
        <f>IF(ISERROR(+I21+'App.2-CB_NewCGAAP_DepExp_Yr1'!O21-J21), 0, +I21+'App.2-CB_NewCGAAP_DepExp_Yr1'!O21-J21)</f>
        <v>0</v>
      </c>
    </row>
    <row r="22" spans="1:11" x14ac:dyDescent="0.2">
      <c r="A22" s="178">
        <v>1805</v>
      </c>
      <c r="B22" s="179" t="s">
        <v>267</v>
      </c>
      <c r="C22" s="173"/>
      <c r="D22" s="250"/>
      <c r="E22" s="251">
        <f t="shared" si="0"/>
        <v>0</v>
      </c>
      <c r="F22" s="191">
        <f>IF(D22=0,+'App.2-CB_NewCGAAP_DepExp_Yr1'!O22,+'App.2-CB_NewCGAAP_DepExp_Yr1'!O22+((C22*0.5)/D22))</f>
        <v>0</v>
      </c>
      <c r="G22" s="173"/>
      <c r="H22" s="191">
        <f t="shared" si="1"/>
        <v>0</v>
      </c>
      <c r="I22" s="191">
        <f t="shared" si="2"/>
        <v>0</v>
      </c>
      <c r="J22" s="173"/>
      <c r="K22" s="191">
        <f>IF(ISERROR(+I22+'App.2-CB_NewCGAAP_DepExp_Yr1'!O22-J22), 0, +I22+'App.2-CB_NewCGAAP_DepExp_Yr1'!O22-J22)</f>
        <v>0</v>
      </c>
    </row>
    <row r="23" spans="1:11" x14ac:dyDescent="0.2">
      <c r="A23" s="1058">
        <v>1808</v>
      </c>
      <c r="B23" s="180" t="s">
        <v>268</v>
      </c>
      <c r="C23" s="173"/>
      <c r="D23" s="250"/>
      <c r="E23" s="251">
        <f t="shared" si="0"/>
        <v>0</v>
      </c>
      <c r="F23" s="191">
        <f>IF(D23=0,+'App.2-CB_NewCGAAP_DepExp_Yr1'!O23,+'App.2-CB_NewCGAAP_DepExp_Yr1'!O23+((C23*0.5)/D23))</f>
        <v>0</v>
      </c>
      <c r="G23" s="173"/>
      <c r="H23" s="191">
        <f t="shared" si="1"/>
        <v>0</v>
      </c>
      <c r="I23" s="191">
        <f t="shared" si="2"/>
        <v>0</v>
      </c>
      <c r="J23" s="173"/>
      <c r="K23" s="191">
        <f>IF(ISERROR(+I23+'App.2-CB_NewCGAAP_DepExp_Yr1'!O23-J23), 0, +I23+'App.2-CB_NewCGAAP_DepExp_Yr1'!O23-J23)</f>
        <v>0</v>
      </c>
    </row>
    <row r="24" spans="1:11" x14ac:dyDescent="0.2">
      <c r="A24" s="1058">
        <v>1810</v>
      </c>
      <c r="B24" s="180" t="s">
        <v>299</v>
      </c>
      <c r="C24" s="173"/>
      <c r="D24" s="250"/>
      <c r="E24" s="251">
        <f t="shared" si="0"/>
        <v>0</v>
      </c>
      <c r="F24" s="191">
        <f>IF(D24=0,+'App.2-CB_NewCGAAP_DepExp_Yr1'!O24,+'App.2-CB_NewCGAAP_DepExp_Yr1'!O24+((C24*0.5)/D24))</f>
        <v>0</v>
      </c>
      <c r="G24" s="173"/>
      <c r="H24" s="191">
        <f t="shared" si="1"/>
        <v>0</v>
      </c>
      <c r="I24" s="191">
        <f t="shared" si="2"/>
        <v>0</v>
      </c>
      <c r="J24" s="173"/>
      <c r="K24" s="191">
        <f>IF(ISERROR(+I24+'App.2-CB_NewCGAAP_DepExp_Yr1'!O24-J24), 0, +I24+'App.2-CB_NewCGAAP_DepExp_Yr1'!O24-J24)</f>
        <v>0</v>
      </c>
    </row>
    <row r="25" spans="1:11" x14ac:dyDescent="0.2">
      <c r="A25" s="1058">
        <v>1815</v>
      </c>
      <c r="B25" s="180" t="s">
        <v>269</v>
      </c>
      <c r="C25" s="173"/>
      <c r="D25" s="250"/>
      <c r="E25" s="251">
        <f t="shared" si="0"/>
        <v>0</v>
      </c>
      <c r="F25" s="191">
        <f>IF(D25=0,+'App.2-CB_NewCGAAP_DepExp_Yr1'!O25,+'App.2-CB_NewCGAAP_DepExp_Yr1'!O25+((C25*0.5)/D25))</f>
        <v>0</v>
      </c>
      <c r="G25" s="173"/>
      <c r="H25" s="191">
        <f t="shared" si="1"/>
        <v>0</v>
      </c>
      <c r="I25" s="191">
        <f t="shared" si="2"/>
        <v>0</v>
      </c>
      <c r="J25" s="173"/>
      <c r="K25" s="191">
        <f>IF(ISERROR(+I25+'App.2-CB_NewCGAAP_DepExp_Yr1'!O25-J25), 0, +I25+'App.2-CB_NewCGAAP_DepExp_Yr1'!O25-J25)</f>
        <v>0</v>
      </c>
    </row>
    <row r="26" spans="1:11" x14ac:dyDescent="0.2">
      <c r="A26" s="1058">
        <v>1820</v>
      </c>
      <c r="B26" s="172" t="s">
        <v>207</v>
      </c>
      <c r="C26" s="173"/>
      <c r="D26" s="250"/>
      <c r="E26" s="251">
        <f t="shared" si="0"/>
        <v>0</v>
      </c>
      <c r="F26" s="191">
        <f>IF(D26=0,+'App.2-CB_NewCGAAP_DepExp_Yr1'!O26,+'App.2-CB_NewCGAAP_DepExp_Yr1'!O26+((C26*0.5)/D26))</f>
        <v>0</v>
      </c>
      <c r="G26" s="173"/>
      <c r="H26" s="191">
        <f t="shared" si="1"/>
        <v>0</v>
      </c>
      <c r="I26" s="191">
        <f t="shared" si="2"/>
        <v>0</v>
      </c>
      <c r="J26" s="173"/>
      <c r="K26" s="191">
        <f>IF(ISERROR(+I26+'App.2-CB_NewCGAAP_DepExp_Yr1'!O26-J26), 0, +I26+'App.2-CB_NewCGAAP_DepExp_Yr1'!O26-J26)</f>
        <v>0</v>
      </c>
    </row>
    <row r="27" spans="1:11" x14ac:dyDescent="0.2">
      <c r="A27" s="1058">
        <v>1825</v>
      </c>
      <c r="B27" s="180" t="s">
        <v>270</v>
      </c>
      <c r="C27" s="173"/>
      <c r="D27" s="250"/>
      <c r="E27" s="251">
        <f t="shared" si="0"/>
        <v>0</v>
      </c>
      <c r="F27" s="191">
        <f>IF(D27=0,+'App.2-CB_NewCGAAP_DepExp_Yr1'!O27,+'App.2-CB_NewCGAAP_DepExp_Yr1'!O27+((C27*0.5)/D27))</f>
        <v>0</v>
      </c>
      <c r="G27" s="173"/>
      <c r="H27" s="191">
        <f t="shared" si="1"/>
        <v>0</v>
      </c>
      <c r="I27" s="191">
        <f t="shared" si="2"/>
        <v>0</v>
      </c>
      <c r="J27" s="173"/>
      <c r="K27" s="191">
        <f>IF(ISERROR(+I27+'App.2-CB_NewCGAAP_DepExp_Yr1'!O27-J27), 0, +I27+'App.2-CB_NewCGAAP_DepExp_Yr1'!O27-J27)</f>
        <v>0</v>
      </c>
    </row>
    <row r="28" spans="1:11" x14ac:dyDescent="0.2">
      <c r="A28" s="1058">
        <v>1830</v>
      </c>
      <c r="B28" s="180" t="s">
        <v>271</v>
      </c>
      <c r="C28" s="173"/>
      <c r="D28" s="250"/>
      <c r="E28" s="251">
        <f t="shared" si="0"/>
        <v>0</v>
      </c>
      <c r="F28" s="191">
        <f>IF(D28=0,+'App.2-CB_NewCGAAP_DepExp_Yr1'!O28,+'App.2-CB_NewCGAAP_DepExp_Yr1'!O28+((C28*0.5)/D28))</f>
        <v>0</v>
      </c>
      <c r="G28" s="173"/>
      <c r="H28" s="191">
        <f t="shared" si="1"/>
        <v>0</v>
      </c>
      <c r="I28" s="191">
        <f t="shared" si="2"/>
        <v>0</v>
      </c>
      <c r="J28" s="173"/>
      <c r="K28" s="191">
        <f>IF(ISERROR(+I28+'App.2-CB_NewCGAAP_DepExp_Yr1'!O28-J28), 0, +I28+'App.2-CB_NewCGAAP_DepExp_Yr1'!O28-J28)</f>
        <v>0</v>
      </c>
    </row>
    <row r="29" spans="1:11" x14ac:dyDescent="0.2">
      <c r="A29" s="1058">
        <v>1835</v>
      </c>
      <c r="B29" s="180" t="s">
        <v>208</v>
      </c>
      <c r="C29" s="173"/>
      <c r="D29" s="250"/>
      <c r="E29" s="251">
        <f t="shared" si="0"/>
        <v>0</v>
      </c>
      <c r="F29" s="191">
        <f>IF(D29=0,+'App.2-CB_NewCGAAP_DepExp_Yr1'!O29,+'App.2-CB_NewCGAAP_DepExp_Yr1'!O29+((C29*0.5)/D29))</f>
        <v>0</v>
      </c>
      <c r="G29" s="173"/>
      <c r="H29" s="191">
        <f t="shared" si="1"/>
        <v>0</v>
      </c>
      <c r="I29" s="191">
        <f t="shared" si="2"/>
        <v>0</v>
      </c>
      <c r="J29" s="173"/>
      <c r="K29" s="191">
        <f>IF(ISERROR(+I29+'App.2-CB_NewCGAAP_DepExp_Yr1'!O29-J29), 0, +I29+'App.2-CB_NewCGAAP_DepExp_Yr1'!O29-J29)</f>
        <v>0</v>
      </c>
    </row>
    <row r="30" spans="1:11" x14ac:dyDescent="0.2">
      <c r="A30" s="1058">
        <v>1840</v>
      </c>
      <c r="B30" s="180" t="s">
        <v>209</v>
      </c>
      <c r="C30" s="173"/>
      <c r="D30" s="250"/>
      <c r="E30" s="251">
        <f t="shared" si="0"/>
        <v>0</v>
      </c>
      <c r="F30" s="191">
        <f>IF(D30=0,+'App.2-CB_NewCGAAP_DepExp_Yr1'!O30,+'App.2-CB_NewCGAAP_DepExp_Yr1'!O30+((C30*0.5)/D30))</f>
        <v>0</v>
      </c>
      <c r="G30" s="173"/>
      <c r="H30" s="191">
        <f t="shared" si="1"/>
        <v>0</v>
      </c>
      <c r="I30" s="191">
        <f t="shared" si="2"/>
        <v>0</v>
      </c>
      <c r="J30" s="173"/>
      <c r="K30" s="191">
        <f>IF(ISERROR(+I30+'App.2-CB_NewCGAAP_DepExp_Yr1'!O30-J30), 0, +I30+'App.2-CB_NewCGAAP_DepExp_Yr1'!O30-J30)</f>
        <v>0</v>
      </c>
    </row>
    <row r="31" spans="1:11" x14ac:dyDescent="0.2">
      <c r="A31" s="1058">
        <v>1845</v>
      </c>
      <c r="B31" s="180" t="s">
        <v>210</v>
      </c>
      <c r="C31" s="173"/>
      <c r="D31" s="250"/>
      <c r="E31" s="251">
        <f t="shared" si="0"/>
        <v>0</v>
      </c>
      <c r="F31" s="191">
        <f>IF(D31=0,+'App.2-CB_NewCGAAP_DepExp_Yr1'!O31,+'App.2-CB_NewCGAAP_DepExp_Yr1'!O31+((C31*0.5)/D31))</f>
        <v>0</v>
      </c>
      <c r="G31" s="173"/>
      <c r="H31" s="191">
        <f t="shared" si="1"/>
        <v>0</v>
      </c>
      <c r="I31" s="191">
        <f t="shared" si="2"/>
        <v>0</v>
      </c>
      <c r="J31" s="173"/>
      <c r="K31" s="191">
        <f>IF(ISERROR(+I31+'App.2-CB_NewCGAAP_DepExp_Yr1'!O31-J31), 0, +I31+'App.2-CB_NewCGAAP_DepExp_Yr1'!O31-J31)</f>
        <v>0</v>
      </c>
    </row>
    <row r="32" spans="1:11" x14ac:dyDescent="0.2">
      <c r="A32" s="1058">
        <v>1850</v>
      </c>
      <c r="B32" s="180" t="s">
        <v>272</v>
      </c>
      <c r="C32" s="173"/>
      <c r="D32" s="250"/>
      <c r="E32" s="251">
        <f t="shared" si="0"/>
        <v>0</v>
      </c>
      <c r="F32" s="191">
        <f>IF(D32=0,+'App.2-CB_NewCGAAP_DepExp_Yr1'!O32,+'App.2-CB_NewCGAAP_DepExp_Yr1'!O32+((C32*0.5)/D32))</f>
        <v>0</v>
      </c>
      <c r="G32" s="173"/>
      <c r="H32" s="191">
        <f t="shared" si="1"/>
        <v>0</v>
      </c>
      <c r="I32" s="191">
        <f t="shared" si="2"/>
        <v>0</v>
      </c>
      <c r="J32" s="173"/>
      <c r="K32" s="191">
        <f>IF(ISERROR(+I32+'App.2-CB_NewCGAAP_DepExp_Yr1'!O32-J32), 0, +I32+'App.2-CB_NewCGAAP_DepExp_Yr1'!O32-J32)</f>
        <v>0</v>
      </c>
    </row>
    <row r="33" spans="1:11" x14ac:dyDescent="0.2">
      <c r="A33" s="1058">
        <v>1855</v>
      </c>
      <c r="B33" s="180" t="s">
        <v>211</v>
      </c>
      <c r="C33" s="173"/>
      <c r="D33" s="250"/>
      <c r="E33" s="251">
        <f t="shared" si="0"/>
        <v>0</v>
      </c>
      <c r="F33" s="191">
        <f>IF(D33=0,+'App.2-CB_NewCGAAP_DepExp_Yr1'!O33,+'App.2-CB_NewCGAAP_DepExp_Yr1'!O33+((C33*0.5)/D33))</f>
        <v>0</v>
      </c>
      <c r="G33" s="173"/>
      <c r="H33" s="191">
        <f t="shared" si="1"/>
        <v>0</v>
      </c>
      <c r="I33" s="191">
        <f t="shared" si="2"/>
        <v>0</v>
      </c>
      <c r="J33" s="173"/>
      <c r="K33" s="191">
        <f>IF(ISERROR(+I33+'App.2-CB_NewCGAAP_DepExp_Yr1'!O33-J33), 0, +I33+'App.2-CB_NewCGAAP_DepExp_Yr1'!O33-J33)</f>
        <v>0</v>
      </c>
    </row>
    <row r="34" spans="1:11" x14ac:dyDescent="0.2">
      <c r="A34" s="1058">
        <v>1860</v>
      </c>
      <c r="B34" s="180" t="s">
        <v>273</v>
      </c>
      <c r="C34" s="173"/>
      <c r="D34" s="250"/>
      <c r="E34" s="251">
        <f t="shared" si="0"/>
        <v>0</v>
      </c>
      <c r="F34" s="191">
        <f>IF(D34=0,+'App.2-CB_NewCGAAP_DepExp_Yr1'!O34,+'App.2-CB_NewCGAAP_DepExp_Yr1'!O34+((C34*0.5)/D34))</f>
        <v>0</v>
      </c>
      <c r="G34" s="173"/>
      <c r="H34" s="191">
        <f t="shared" si="1"/>
        <v>0</v>
      </c>
      <c r="I34" s="191">
        <f t="shared" si="2"/>
        <v>0</v>
      </c>
      <c r="J34" s="173"/>
      <c r="K34" s="191">
        <f>IF(ISERROR(+I34+'App.2-CB_NewCGAAP_DepExp_Yr1'!O34-J34), 0, +I34+'App.2-CB_NewCGAAP_DepExp_Yr1'!O34-J34)</f>
        <v>0</v>
      </c>
    </row>
    <row r="35" spans="1:11" x14ac:dyDescent="0.2">
      <c r="A35" s="178">
        <v>1860</v>
      </c>
      <c r="B35" s="179" t="s">
        <v>212</v>
      </c>
      <c r="C35" s="173"/>
      <c r="D35" s="250"/>
      <c r="E35" s="251">
        <f t="shared" si="0"/>
        <v>0</v>
      </c>
      <c r="F35" s="191">
        <f>IF(D35=0,+'App.2-CB_NewCGAAP_DepExp_Yr1'!O35,+'App.2-CB_NewCGAAP_DepExp_Yr1'!O35+((C35*0.5)/D35))</f>
        <v>0</v>
      </c>
      <c r="G35" s="173"/>
      <c r="H35" s="191">
        <f t="shared" si="1"/>
        <v>0</v>
      </c>
      <c r="I35" s="191">
        <f t="shared" si="2"/>
        <v>0</v>
      </c>
      <c r="J35" s="173"/>
      <c r="K35" s="191">
        <f>IF(ISERROR(+I35+'App.2-CB_NewCGAAP_DepExp_Yr1'!O35-J35), 0, +I35+'App.2-CB_NewCGAAP_DepExp_Yr1'!O35-J35)</f>
        <v>0</v>
      </c>
    </row>
    <row r="36" spans="1:11" x14ac:dyDescent="0.2">
      <c r="A36" s="178">
        <v>1905</v>
      </c>
      <c r="B36" s="179" t="s">
        <v>267</v>
      </c>
      <c r="C36" s="173"/>
      <c r="D36" s="250"/>
      <c r="E36" s="251">
        <f t="shared" si="0"/>
        <v>0</v>
      </c>
      <c r="F36" s="191">
        <f>IF(D36=0,+'App.2-CB_NewCGAAP_DepExp_Yr1'!O36,+'App.2-CB_NewCGAAP_DepExp_Yr1'!O36+((C36*0.5)/D36))</f>
        <v>0</v>
      </c>
      <c r="G36" s="173"/>
      <c r="H36" s="191">
        <f t="shared" si="1"/>
        <v>0</v>
      </c>
      <c r="I36" s="191">
        <f t="shared" si="2"/>
        <v>0</v>
      </c>
      <c r="J36" s="173"/>
      <c r="K36" s="191">
        <f>IF(ISERROR(+I36+'App.2-CB_NewCGAAP_DepExp_Yr1'!O36-J36), 0, +I36+'App.2-CB_NewCGAAP_DepExp_Yr1'!O36-J36)</f>
        <v>0</v>
      </c>
    </row>
    <row r="37" spans="1:11" x14ac:dyDescent="0.2">
      <c r="A37" s="1058">
        <v>1908</v>
      </c>
      <c r="B37" s="180" t="s">
        <v>275</v>
      </c>
      <c r="C37" s="173"/>
      <c r="D37" s="250"/>
      <c r="E37" s="251">
        <f t="shared" si="0"/>
        <v>0</v>
      </c>
      <c r="F37" s="191">
        <f>IF(D37=0,+'App.2-CB_NewCGAAP_DepExp_Yr1'!O37,+'App.2-CB_NewCGAAP_DepExp_Yr1'!O37+((C37*0.5)/D37))</f>
        <v>0</v>
      </c>
      <c r="G37" s="173"/>
      <c r="H37" s="191">
        <f t="shared" si="1"/>
        <v>0</v>
      </c>
      <c r="I37" s="191">
        <f t="shared" si="2"/>
        <v>0</v>
      </c>
      <c r="J37" s="173"/>
      <c r="K37" s="191">
        <f>IF(ISERROR(+I37+'App.2-CB_NewCGAAP_DepExp_Yr1'!O37-J37), 0, +I37+'App.2-CB_NewCGAAP_DepExp_Yr1'!O37-J37)</f>
        <v>0</v>
      </c>
    </row>
    <row r="38" spans="1:11" x14ac:dyDescent="0.2">
      <c r="A38" s="1058">
        <v>1910</v>
      </c>
      <c r="B38" s="180" t="s">
        <v>299</v>
      </c>
      <c r="C38" s="173"/>
      <c r="D38" s="250"/>
      <c r="E38" s="251">
        <f t="shared" si="0"/>
        <v>0</v>
      </c>
      <c r="F38" s="191">
        <f>IF(D38=0,+'App.2-CB_NewCGAAP_DepExp_Yr1'!O38,+'App.2-CB_NewCGAAP_DepExp_Yr1'!O38+((C38*0.5)/D38))</f>
        <v>0</v>
      </c>
      <c r="G38" s="173"/>
      <c r="H38" s="191">
        <f t="shared" si="1"/>
        <v>0</v>
      </c>
      <c r="I38" s="191">
        <f t="shared" si="2"/>
        <v>0</v>
      </c>
      <c r="J38" s="173"/>
      <c r="K38" s="191">
        <f>IF(ISERROR(+I38+'App.2-CB_NewCGAAP_DepExp_Yr1'!O38-J38), 0, +I38+'App.2-CB_NewCGAAP_DepExp_Yr1'!O38-J38)</f>
        <v>0</v>
      </c>
    </row>
    <row r="39" spans="1:11" x14ac:dyDescent="0.2">
      <c r="A39" s="1058">
        <v>1915</v>
      </c>
      <c r="B39" s="180" t="s">
        <v>213</v>
      </c>
      <c r="C39" s="173"/>
      <c r="D39" s="250"/>
      <c r="E39" s="251">
        <f t="shared" si="0"/>
        <v>0</v>
      </c>
      <c r="F39" s="191">
        <f>IF(D39=0,+'App.2-CB_NewCGAAP_DepExp_Yr1'!O39,+'App.2-CB_NewCGAAP_DepExp_Yr1'!O39+((C39*0.5)/D39))</f>
        <v>0</v>
      </c>
      <c r="G39" s="173"/>
      <c r="H39" s="191">
        <f t="shared" si="1"/>
        <v>0</v>
      </c>
      <c r="I39" s="191">
        <f t="shared" si="2"/>
        <v>0</v>
      </c>
      <c r="J39" s="173"/>
      <c r="K39" s="191">
        <f>IF(ISERROR(+I39+'App.2-CB_NewCGAAP_DepExp_Yr1'!O39-J39), 0, +I39+'App.2-CB_NewCGAAP_DepExp_Yr1'!O39-J39)</f>
        <v>0</v>
      </c>
    </row>
    <row r="40" spans="1:11" x14ac:dyDescent="0.2">
      <c r="A40" s="1058">
        <v>1915</v>
      </c>
      <c r="B40" s="180" t="s">
        <v>214</v>
      </c>
      <c r="C40" s="173"/>
      <c r="D40" s="250"/>
      <c r="E40" s="251">
        <f t="shared" si="0"/>
        <v>0</v>
      </c>
      <c r="F40" s="191">
        <f>IF(D40=0,+'App.2-CB_NewCGAAP_DepExp_Yr1'!O40,+'App.2-CB_NewCGAAP_DepExp_Yr1'!O40+((C40*0.5)/D40))</f>
        <v>0</v>
      </c>
      <c r="G40" s="173"/>
      <c r="H40" s="191">
        <f t="shared" si="1"/>
        <v>0</v>
      </c>
      <c r="I40" s="191">
        <f t="shared" si="2"/>
        <v>0</v>
      </c>
      <c r="J40" s="173"/>
      <c r="K40" s="191">
        <f>IF(ISERROR(+I40+'App.2-CB_NewCGAAP_DepExp_Yr1'!O40-J40), 0, +I40+'App.2-CB_NewCGAAP_DepExp_Yr1'!O40-J40)</f>
        <v>0</v>
      </c>
    </row>
    <row r="41" spans="1:11" x14ac:dyDescent="0.2">
      <c r="A41" s="1058">
        <v>1920</v>
      </c>
      <c r="B41" s="180" t="s">
        <v>215</v>
      </c>
      <c r="C41" s="173"/>
      <c r="D41" s="250"/>
      <c r="E41" s="251">
        <f t="shared" si="0"/>
        <v>0</v>
      </c>
      <c r="F41" s="191">
        <f>IF(D41=0,+'App.2-CB_NewCGAAP_DepExp_Yr1'!O41,+'App.2-CB_NewCGAAP_DepExp_Yr1'!O41+((C41*0.5)/D41))</f>
        <v>0</v>
      </c>
      <c r="G41" s="173"/>
      <c r="H41" s="191">
        <f t="shared" si="1"/>
        <v>0</v>
      </c>
      <c r="I41" s="191">
        <f t="shared" si="2"/>
        <v>0</v>
      </c>
      <c r="J41" s="173"/>
      <c r="K41" s="191">
        <f>IF(ISERROR(+I41+'App.2-CB_NewCGAAP_DepExp_Yr1'!O41-J41), 0, +I41+'App.2-CB_NewCGAAP_DepExp_Yr1'!O41-J41)</f>
        <v>0</v>
      </c>
    </row>
    <row r="42" spans="1:11" x14ac:dyDescent="0.2">
      <c r="A42" s="185">
        <v>1920</v>
      </c>
      <c r="B42" s="172" t="s">
        <v>217</v>
      </c>
      <c r="C42" s="173"/>
      <c r="D42" s="250"/>
      <c r="E42" s="251">
        <f t="shared" si="0"/>
        <v>0</v>
      </c>
      <c r="F42" s="191">
        <f>IF(D42=0,+'App.2-CB_NewCGAAP_DepExp_Yr1'!O42,+'App.2-CB_NewCGAAP_DepExp_Yr1'!O42+((C42*0.5)/D42))</f>
        <v>0</v>
      </c>
      <c r="G42" s="173"/>
      <c r="H42" s="191">
        <f t="shared" si="1"/>
        <v>0</v>
      </c>
      <c r="I42" s="191">
        <f t="shared" si="2"/>
        <v>0</v>
      </c>
      <c r="J42" s="173"/>
      <c r="K42" s="191">
        <f>IF(ISERROR(+I42+'App.2-CB_NewCGAAP_DepExp_Yr1'!O42-J42), 0, +I42+'App.2-CB_NewCGAAP_DepExp_Yr1'!O42-J42)</f>
        <v>0</v>
      </c>
    </row>
    <row r="43" spans="1:11" x14ac:dyDescent="0.2">
      <c r="A43" s="185">
        <v>1920</v>
      </c>
      <c r="B43" s="172" t="s">
        <v>216</v>
      </c>
      <c r="C43" s="173"/>
      <c r="D43" s="250"/>
      <c r="E43" s="251">
        <f t="shared" si="0"/>
        <v>0</v>
      </c>
      <c r="F43" s="191">
        <f>IF(D43=0,+'App.2-CB_NewCGAAP_DepExp_Yr1'!O43,+'App.2-CB_NewCGAAP_DepExp_Yr1'!O43+((C43*0.5)/D43))</f>
        <v>0</v>
      </c>
      <c r="G43" s="173"/>
      <c r="H43" s="191">
        <f t="shared" si="1"/>
        <v>0</v>
      </c>
      <c r="I43" s="191">
        <f t="shared" si="2"/>
        <v>0</v>
      </c>
      <c r="J43" s="173"/>
      <c r="K43" s="191">
        <f>IF(ISERROR(+I43+'App.2-CB_NewCGAAP_DepExp_Yr1'!O43-J43), 0, +I43+'App.2-CB_NewCGAAP_DepExp_Yr1'!O43-J43)</f>
        <v>0</v>
      </c>
    </row>
    <row r="44" spans="1:11" x14ac:dyDescent="0.2">
      <c r="A44" s="1058">
        <v>1930</v>
      </c>
      <c r="B44" s="180" t="s">
        <v>286</v>
      </c>
      <c r="C44" s="173"/>
      <c r="D44" s="250"/>
      <c r="E44" s="251">
        <f t="shared" si="0"/>
        <v>0</v>
      </c>
      <c r="F44" s="191">
        <f>IF(D44=0,+'App.2-CB_NewCGAAP_DepExp_Yr1'!O44,+'App.2-CB_NewCGAAP_DepExp_Yr1'!O44+((C44*0.5)/D44))</f>
        <v>0</v>
      </c>
      <c r="G44" s="173"/>
      <c r="H44" s="191">
        <f t="shared" si="1"/>
        <v>0</v>
      </c>
      <c r="I44" s="191">
        <f t="shared" si="2"/>
        <v>0</v>
      </c>
      <c r="J44" s="173"/>
      <c r="K44" s="191">
        <f>IF(ISERROR(+I44+'App.2-CB_NewCGAAP_DepExp_Yr1'!O44-J44), 0, +I44+'App.2-CB_NewCGAAP_DepExp_Yr1'!O44-J44)</f>
        <v>0</v>
      </c>
    </row>
    <row r="45" spans="1:11" x14ac:dyDescent="0.2">
      <c r="A45" s="1058">
        <v>1935</v>
      </c>
      <c r="B45" s="180" t="s">
        <v>287</v>
      </c>
      <c r="C45" s="173"/>
      <c r="D45" s="250"/>
      <c r="E45" s="251">
        <f t="shared" si="0"/>
        <v>0</v>
      </c>
      <c r="F45" s="191">
        <f>IF(D45=0,+'App.2-CB_NewCGAAP_DepExp_Yr1'!O45,+'App.2-CB_NewCGAAP_DepExp_Yr1'!O45+((C45*0.5)/D45))</f>
        <v>0</v>
      </c>
      <c r="G45" s="173"/>
      <c r="H45" s="191">
        <f t="shared" si="1"/>
        <v>0</v>
      </c>
      <c r="I45" s="191">
        <f t="shared" si="2"/>
        <v>0</v>
      </c>
      <c r="J45" s="173"/>
      <c r="K45" s="191">
        <f>IF(ISERROR(+I45+'App.2-CB_NewCGAAP_DepExp_Yr1'!O45-J45), 0, +I45+'App.2-CB_NewCGAAP_DepExp_Yr1'!O45-J45)</f>
        <v>0</v>
      </c>
    </row>
    <row r="46" spans="1:11" x14ac:dyDescent="0.2">
      <c r="A46" s="1058">
        <v>1940</v>
      </c>
      <c r="B46" s="180" t="s">
        <v>288</v>
      </c>
      <c r="C46" s="173"/>
      <c r="D46" s="250"/>
      <c r="E46" s="251">
        <f t="shared" si="0"/>
        <v>0</v>
      </c>
      <c r="F46" s="191">
        <f>IF(D46=0,+'App.2-CB_NewCGAAP_DepExp_Yr1'!O46,+'App.2-CB_NewCGAAP_DepExp_Yr1'!O46+((C46*0.5)/D46))</f>
        <v>0</v>
      </c>
      <c r="G46" s="173"/>
      <c r="H46" s="191">
        <f t="shared" si="1"/>
        <v>0</v>
      </c>
      <c r="I46" s="191">
        <f t="shared" si="2"/>
        <v>0</v>
      </c>
      <c r="J46" s="173"/>
      <c r="K46" s="191">
        <f>IF(ISERROR(+I46+'App.2-CB_NewCGAAP_DepExp_Yr1'!O46-J46), 0, +I46+'App.2-CB_NewCGAAP_DepExp_Yr1'!O46-J46)</f>
        <v>0</v>
      </c>
    </row>
    <row r="47" spans="1:11" x14ac:dyDescent="0.2">
      <c r="A47" s="1058">
        <v>1945</v>
      </c>
      <c r="B47" s="180" t="s">
        <v>289</v>
      </c>
      <c r="C47" s="173"/>
      <c r="D47" s="250"/>
      <c r="E47" s="251">
        <f t="shared" si="0"/>
        <v>0</v>
      </c>
      <c r="F47" s="191">
        <f>IF(D47=0,+'App.2-CB_NewCGAAP_DepExp_Yr1'!O47,+'App.2-CB_NewCGAAP_DepExp_Yr1'!O47+((C47*0.5)/D47))</f>
        <v>0</v>
      </c>
      <c r="G47" s="173"/>
      <c r="H47" s="191">
        <f t="shared" si="1"/>
        <v>0</v>
      </c>
      <c r="I47" s="191">
        <f t="shared" si="2"/>
        <v>0</v>
      </c>
      <c r="J47" s="173"/>
      <c r="K47" s="191">
        <f>IF(ISERROR(+I47+'App.2-CB_NewCGAAP_DepExp_Yr1'!O47-J47), 0, +I47+'App.2-CB_NewCGAAP_DepExp_Yr1'!O47-J47)</f>
        <v>0</v>
      </c>
    </row>
    <row r="48" spans="1:11" x14ac:dyDescent="0.2">
      <c r="A48" s="1058">
        <v>1950</v>
      </c>
      <c r="B48" s="180" t="s">
        <v>218</v>
      </c>
      <c r="C48" s="173"/>
      <c r="D48" s="250"/>
      <c r="E48" s="251">
        <f t="shared" si="0"/>
        <v>0</v>
      </c>
      <c r="F48" s="191">
        <f>IF(D48=0,+'App.2-CB_NewCGAAP_DepExp_Yr1'!O48,+'App.2-CB_NewCGAAP_DepExp_Yr1'!O48+((C48*0.5)/D48))</f>
        <v>0</v>
      </c>
      <c r="G48" s="173"/>
      <c r="H48" s="191">
        <f t="shared" si="1"/>
        <v>0</v>
      </c>
      <c r="I48" s="191">
        <f t="shared" si="2"/>
        <v>0</v>
      </c>
      <c r="J48" s="173"/>
      <c r="K48" s="191">
        <f>IF(ISERROR(+I48+'App.2-CB_NewCGAAP_DepExp_Yr1'!O48-J48), 0, +I48+'App.2-CB_NewCGAAP_DepExp_Yr1'!O48-J48)</f>
        <v>0</v>
      </c>
    </row>
    <row r="49" spans="1:15" x14ac:dyDescent="0.2">
      <c r="A49" s="1058">
        <v>1955</v>
      </c>
      <c r="B49" s="180" t="s">
        <v>290</v>
      </c>
      <c r="C49" s="173"/>
      <c r="D49" s="250"/>
      <c r="E49" s="251">
        <f t="shared" si="0"/>
        <v>0</v>
      </c>
      <c r="F49" s="191">
        <f>IF(D49=0,+'App.2-CB_NewCGAAP_DepExp_Yr1'!O49,+'App.2-CB_NewCGAAP_DepExp_Yr1'!O49+((C49*0.5)/D49))</f>
        <v>0</v>
      </c>
      <c r="G49" s="173"/>
      <c r="H49" s="191">
        <f t="shared" si="1"/>
        <v>0</v>
      </c>
      <c r="I49" s="191">
        <f t="shared" si="2"/>
        <v>0</v>
      </c>
      <c r="J49" s="173"/>
      <c r="K49" s="191">
        <f>IF(ISERROR(+I49+'App.2-CB_NewCGAAP_DepExp_Yr1'!O49-J49), 0, +I49+'App.2-CB_NewCGAAP_DepExp_Yr1'!O49-J49)</f>
        <v>0</v>
      </c>
    </row>
    <row r="50" spans="1:15" x14ac:dyDescent="0.2">
      <c r="A50" s="181">
        <v>1955</v>
      </c>
      <c r="B50" s="184" t="s">
        <v>219</v>
      </c>
      <c r="C50" s="173"/>
      <c r="D50" s="250"/>
      <c r="E50" s="251">
        <f t="shared" si="0"/>
        <v>0</v>
      </c>
      <c r="F50" s="191">
        <f>IF(D50=0,+'App.2-CB_NewCGAAP_DepExp_Yr1'!O50,+'App.2-CB_NewCGAAP_DepExp_Yr1'!O50+((C50*0.5)/D50))</f>
        <v>0</v>
      </c>
      <c r="G50" s="173"/>
      <c r="H50" s="191">
        <f t="shared" si="1"/>
        <v>0</v>
      </c>
      <c r="I50" s="191">
        <f t="shared" si="2"/>
        <v>0</v>
      </c>
      <c r="J50" s="173"/>
      <c r="K50" s="191">
        <f>IF(ISERROR(+I50+'App.2-CB_NewCGAAP_DepExp_Yr1'!O50-J50), 0, +I50+'App.2-CB_NewCGAAP_DepExp_Yr1'!O50-J50)</f>
        <v>0</v>
      </c>
    </row>
    <row r="51" spans="1:15" x14ac:dyDescent="0.2">
      <c r="A51" s="185">
        <v>1960</v>
      </c>
      <c r="B51" s="172" t="s">
        <v>220</v>
      </c>
      <c r="C51" s="173"/>
      <c r="D51" s="250"/>
      <c r="E51" s="251">
        <f t="shared" si="0"/>
        <v>0</v>
      </c>
      <c r="F51" s="191">
        <f>IF(D51=0,+'App.2-CB_NewCGAAP_DepExp_Yr1'!O51,+'App.2-CB_NewCGAAP_DepExp_Yr1'!O51+((C51*0.5)/D51))</f>
        <v>0</v>
      </c>
      <c r="G51" s="173"/>
      <c r="H51" s="191">
        <f t="shared" si="1"/>
        <v>0</v>
      </c>
      <c r="I51" s="191">
        <f t="shared" si="2"/>
        <v>0</v>
      </c>
      <c r="J51" s="173"/>
      <c r="K51" s="191">
        <f>IF(ISERROR(+I51+'App.2-CB_NewCGAAP_DepExp_Yr1'!O51-J51), 0, +I51+'App.2-CB_NewCGAAP_DepExp_Yr1'!O51-J51)</f>
        <v>0</v>
      </c>
    </row>
    <row r="52" spans="1:15" x14ac:dyDescent="0.2">
      <c r="A52" s="181">
        <v>1970</v>
      </c>
      <c r="B52" s="256" t="s">
        <v>501</v>
      </c>
      <c r="C52" s="173"/>
      <c r="D52" s="250"/>
      <c r="E52" s="251">
        <f t="shared" si="0"/>
        <v>0</v>
      </c>
      <c r="F52" s="191">
        <f>IF(D52=0,+'App.2-CB_NewCGAAP_DepExp_Yr1'!O52,+'App.2-CB_NewCGAAP_DepExp_Yr1'!O52+((C52*0.5)/D52))</f>
        <v>0</v>
      </c>
      <c r="G52" s="173"/>
      <c r="H52" s="191">
        <f t="shared" si="1"/>
        <v>0</v>
      </c>
      <c r="I52" s="191">
        <f t="shared" si="2"/>
        <v>0</v>
      </c>
      <c r="J52" s="173"/>
      <c r="K52" s="191">
        <f>IF(ISERROR(+I52+'App.2-CB_NewCGAAP_DepExp_Yr1'!O52-J52), 0, +I52+'App.2-CB_NewCGAAP_DepExp_Yr1'!O52-J52)</f>
        <v>0</v>
      </c>
    </row>
    <row r="53" spans="1:15" x14ac:dyDescent="0.2">
      <c r="A53" s="1058">
        <v>1975</v>
      </c>
      <c r="B53" s="180" t="s">
        <v>291</v>
      </c>
      <c r="C53" s="173"/>
      <c r="D53" s="250"/>
      <c r="E53" s="251">
        <f t="shared" si="0"/>
        <v>0</v>
      </c>
      <c r="F53" s="191">
        <f>IF(D53=0,+'App.2-CB_NewCGAAP_DepExp_Yr1'!O53,+'App.2-CB_NewCGAAP_DepExp_Yr1'!O53+((C53*0.5)/D53))</f>
        <v>0</v>
      </c>
      <c r="G53" s="173"/>
      <c r="H53" s="191">
        <f t="shared" si="1"/>
        <v>0</v>
      </c>
      <c r="I53" s="191">
        <f t="shared" si="2"/>
        <v>0</v>
      </c>
      <c r="J53" s="173"/>
      <c r="K53" s="191">
        <f>IF(ISERROR(+I53+'App.2-CB_NewCGAAP_DepExp_Yr1'!O53-J53), 0, +I53+'App.2-CB_NewCGAAP_DepExp_Yr1'!O53-J53)</f>
        <v>0</v>
      </c>
    </row>
    <row r="54" spans="1:15" x14ac:dyDescent="0.2">
      <c r="A54" s="1058">
        <v>1980</v>
      </c>
      <c r="B54" s="180" t="s">
        <v>292</v>
      </c>
      <c r="C54" s="173"/>
      <c r="D54" s="250"/>
      <c r="E54" s="251">
        <f t="shared" si="0"/>
        <v>0</v>
      </c>
      <c r="F54" s="191">
        <f>IF(D54=0,+'App.2-CB_NewCGAAP_DepExp_Yr1'!O54,+'App.2-CB_NewCGAAP_DepExp_Yr1'!O54+((C54*0.5)/D54))</f>
        <v>0</v>
      </c>
      <c r="G54" s="173"/>
      <c r="H54" s="191">
        <f t="shared" si="1"/>
        <v>0</v>
      </c>
      <c r="I54" s="191">
        <f t="shared" si="2"/>
        <v>0</v>
      </c>
      <c r="J54" s="173"/>
      <c r="K54" s="191">
        <f>IF(ISERROR(+I54+'App.2-CB_NewCGAAP_DepExp_Yr1'!O54-J54), 0, +I54+'App.2-CB_NewCGAAP_DepExp_Yr1'!O54-J54)</f>
        <v>0</v>
      </c>
    </row>
    <row r="55" spans="1:15" x14ac:dyDescent="0.2">
      <c r="A55" s="1058">
        <v>1985</v>
      </c>
      <c r="B55" s="180" t="s">
        <v>293</v>
      </c>
      <c r="C55" s="173"/>
      <c r="D55" s="250"/>
      <c r="E55" s="251">
        <f t="shared" si="0"/>
        <v>0</v>
      </c>
      <c r="F55" s="191">
        <f>IF(D55=0,+'App.2-CB_NewCGAAP_DepExp_Yr1'!O55,+'App.2-CB_NewCGAAP_DepExp_Yr1'!O55+((C55*0.5)/D55))</f>
        <v>0</v>
      </c>
      <c r="G55" s="173"/>
      <c r="H55" s="191">
        <f t="shared" si="1"/>
        <v>0</v>
      </c>
      <c r="I55" s="191">
        <f t="shared" si="2"/>
        <v>0</v>
      </c>
      <c r="J55" s="173"/>
      <c r="K55" s="191">
        <f>IF(ISERROR(+I55+'App.2-CB_NewCGAAP_DepExp_Yr1'!O55-J55), 0, +I55+'App.2-CB_NewCGAAP_DepExp_Yr1'!O55-J55)</f>
        <v>0</v>
      </c>
    </row>
    <row r="56" spans="1:15" x14ac:dyDescent="0.2">
      <c r="A56" s="1058">
        <v>1990</v>
      </c>
      <c r="B56" s="1061" t="s">
        <v>502</v>
      </c>
      <c r="C56" s="173"/>
      <c r="D56" s="250"/>
      <c r="E56" s="251">
        <f t="shared" si="0"/>
        <v>0</v>
      </c>
      <c r="F56" s="191">
        <f>IF(D56=0,+'App.2-CB_NewCGAAP_DepExp_Yr1'!O56,+'App.2-CB_NewCGAAP_DepExp_Yr1'!O56+((C56*0.5)/D56))</f>
        <v>0</v>
      </c>
      <c r="G56" s="173"/>
      <c r="H56" s="191">
        <f t="shared" si="1"/>
        <v>0</v>
      </c>
      <c r="I56" s="191">
        <f t="shared" si="2"/>
        <v>0</v>
      </c>
      <c r="J56" s="173"/>
      <c r="K56" s="191">
        <f>IF(ISERROR(+I56+'App.2-CB_NewCGAAP_DepExp_Yr1'!O56-J56), 0, +I56+'App.2-CB_NewCGAAP_DepExp_Yr1'!O56-J56)</f>
        <v>0</v>
      </c>
    </row>
    <row r="57" spans="1:15" ht="13.5" thickBot="1" x14ac:dyDescent="0.25">
      <c r="A57" s="1058">
        <v>1995</v>
      </c>
      <c r="B57" s="180" t="s">
        <v>294</v>
      </c>
      <c r="C57" s="173"/>
      <c r="D57" s="250"/>
      <c r="E57" s="251">
        <f t="shared" si="0"/>
        <v>0</v>
      </c>
      <c r="F57" s="191">
        <f>IF(D57=0,+'App.2-CB_NewCGAAP_DepExp_Yr1'!O57,+'App.2-CB_NewCGAAP_DepExp_Yr1'!O57+((C57*0.5)/D57))</f>
        <v>0</v>
      </c>
      <c r="G57" s="173"/>
      <c r="H57" s="191">
        <f t="shared" si="1"/>
        <v>0</v>
      </c>
      <c r="I57" s="191">
        <f t="shared" si="2"/>
        <v>0</v>
      </c>
      <c r="J57" s="173"/>
      <c r="K57" s="191">
        <f>IF(ISERROR(+I57+'App.2-CB_NewCGAAP_DepExp_Yr1'!O57-J57), 0, +I57+'App.2-CB_NewCGAAP_DepExp_Yr1'!O57-J57)</f>
        <v>0</v>
      </c>
    </row>
    <row r="58" spans="1:15" ht="14.25" thickTop="1" thickBot="1" x14ac:dyDescent="0.25">
      <c r="A58" s="300"/>
      <c r="B58" s="301" t="s">
        <v>295</v>
      </c>
      <c r="C58" s="302">
        <f>SUM(C20:C57)</f>
        <v>0</v>
      </c>
      <c r="D58" s="287"/>
      <c r="E58" s="303"/>
      <c r="F58" s="191">
        <f t="shared" ref="F58:K58" si="3">SUM(F20:F57)</f>
        <v>0</v>
      </c>
      <c r="G58" s="191">
        <f t="shared" si="3"/>
        <v>0</v>
      </c>
      <c r="H58" s="191">
        <f t="shared" si="3"/>
        <v>0</v>
      </c>
      <c r="I58" s="191">
        <f t="shared" si="3"/>
        <v>0</v>
      </c>
      <c r="J58" s="191">
        <f t="shared" si="3"/>
        <v>0</v>
      </c>
      <c r="K58" s="191">
        <f t="shared" si="3"/>
        <v>0</v>
      </c>
    </row>
    <row r="59" spans="1:15" x14ac:dyDescent="0.2">
      <c r="A59" s="289"/>
      <c r="B59" s="290"/>
      <c r="C59" s="291"/>
      <c r="D59" s="292"/>
      <c r="E59" s="304"/>
      <c r="F59" s="291"/>
      <c r="G59" s="291"/>
      <c r="H59" s="291"/>
      <c r="I59" s="291"/>
      <c r="J59" s="291"/>
      <c r="K59" s="291"/>
    </row>
    <row r="60" spans="1:15" x14ac:dyDescent="0.2">
      <c r="A60" s="152" t="s">
        <v>11</v>
      </c>
      <c r="H60" s="56"/>
    </row>
    <row r="61" spans="1:15" ht="27" customHeight="1" x14ac:dyDescent="0.2">
      <c r="A61" s="305">
        <v>1</v>
      </c>
      <c r="B61" s="1593" t="s">
        <v>424</v>
      </c>
      <c r="C61" s="1593"/>
      <c r="D61" s="1593"/>
      <c r="E61" s="1593"/>
      <c r="F61" s="1593"/>
      <c r="G61" s="1593"/>
      <c r="H61" s="1593"/>
      <c r="I61" s="1593"/>
      <c r="J61" s="1593"/>
      <c r="K61" s="1593"/>
    </row>
    <row r="62" spans="1:15" x14ac:dyDescent="0.2">
      <c r="A62" s="305">
        <v>2</v>
      </c>
      <c r="B62" s="1593" t="s">
        <v>865</v>
      </c>
      <c r="C62" s="1593"/>
      <c r="D62" s="1593"/>
      <c r="E62" s="1593"/>
      <c r="F62" s="1593"/>
      <c r="G62" s="1593"/>
      <c r="H62" s="1593"/>
      <c r="I62" s="1593"/>
      <c r="J62" s="1593"/>
      <c r="K62" s="1593"/>
    </row>
    <row r="63" spans="1:15" ht="27.75" customHeight="1" x14ac:dyDescent="0.2">
      <c r="A63" s="270">
        <v>3</v>
      </c>
      <c r="B63" s="1590" t="s">
        <v>481</v>
      </c>
      <c r="C63" s="1590"/>
      <c r="D63" s="1590"/>
      <c r="E63" s="1590"/>
      <c r="F63" s="1590"/>
      <c r="G63" s="1590"/>
      <c r="H63" s="1590"/>
      <c r="I63" s="1590"/>
      <c r="J63" s="1590"/>
      <c r="K63" s="1590"/>
      <c r="L63" s="1066"/>
      <c r="M63" s="1066"/>
      <c r="N63" s="1066"/>
      <c r="O63" s="1066"/>
    </row>
    <row r="64" spans="1:15" ht="13.5" customHeight="1" x14ac:dyDescent="0.2">
      <c r="A64" s="270"/>
      <c r="B64" s="1051"/>
      <c r="C64" s="1051"/>
      <c r="D64" s="1051"/>
      <c r="E64" s="1051"/>
      <c r="F64" s="1051"/>
      <c r="G64" s="1051"/>
      <c r="H64" s="1051"/>
      <c r="I64" s="1051"/>
      <c r="J64" s="1051"/>
      <c r="K64" s="1051"/>
      <c r="L64" s="1066"/>
      <c r="M64" s="1066"/>
      <c r="N64" s="1066"/>
      <c r="O64" s="1066"/>
    </row>
    <row r="65" spans="1:13" x14ac:dyDescent="0.2">
      <c r="A65" s="152" t="s">
        <v>226</v>
      </c>
      <c r="B65" s="1684" t="s">
        <v>190</v>
      </c>
      <c r="C65" s="1684"/>
      <c r="D65" s="1684"/>
      <c r="E65" s="1684"/>
      <c r="F65" s="1684"/>
      <c r="G65" s="1684"/>
      <c r="H65" s="1684"/>
      <c r="I65" s="1684"/>
      <c r="J65" s="1684"/>
      <c r="K65" s="1684"/>
    </row>
    <row r="66" spans="1:13" ht="12.75" customHeight="1" x14ac:dyDescent="0.2">
      <c r="B66" s="1684"/>
      <c r="C66" s="1684"/>
      <c r="D66" s="1684"/>
      <c r="E66" s="1684"/>
      <c r="F66" s="1684"/>
      <c r="G66" s="1684"/>
      <c r="H66" s="1684"/>
      <c r="I66" s="1684"/>
      <c r="J66" s="1684"/>
      <c r="K66" s="1684"/>
      <c r="L66" s="271"/>
      <c r="M66" s="271"/>
    </row>
    <row r="67" spans="1:13" x14ac:dyDescent="0.2">
      <c r="L67" s="271"/>
      <c r="M67" s="271"/>
    </row>
    <row r="68" spans="1:13" x14ac:dyDescent="0.2">
      <c r="L68" s="271"/>
      <c r="M68" s="271"/>
    </row>
    <row r="74" spans="1:13" x14ac:dyDescent="0.2">
      <c r="L74" s="1068"/>
    </row>
    <row r="75" spans="1:13" x14ac:dyDescent="0.2">
      <c r="E75" s="56"/>
      <c r="F75" s="56"/>
      <c r="G75" s="56"/>
      <c r="H75" s="56"/>
      <c r="I75" s="56"/>
      <c r="J75" s="56"/>
      <c r="K75" s="56"/>
      <c r="L75" s="56"/>
      <c r="M75" s="56"/>
    </row>
    <row r="76" spans="1:13" x14ac:dyDescent="0.2">
      <c r="K76" s="56"/>
      <c r="L76" s="56"/>
      <c r="M76" s="56"/>
    </row>
    <row r="77" spans="1:13" x14ac:dyDescent="0.2">
      <c r="K77" s="56"/>
      <c r="L77" s="56"/>
      <c r="M77" s="56"/>
    </row>
    <row r="78" spans="1:13" x14ac:dyDescent="0.2">
      <c r="K78" s="56"/>
      <c r="L78" s="56"/>
      <c r="M78" s="56"/>
    </row>
    <row r="80" spans="1:13" x14ac:dyDescent="0.2">
      <c r="E80" s="56"/>
    </row>
    <row r="81" spans="5:5" x14ac:dyDescent="0.2">
      <c r="E81" s="56"/>
    </row>
  </sheetData>
  <mergeCells count="16">
    <mergeCell ref="B65:K66"/>
    <mergeCell ref="A9:K9"/>
    <mergeCell ref="A10:K10"/>
    <mergeCell ref="A11:K11"/>
    <mergeCell ref="A18:A19"/>
    <mergeCell ref="B18:B19"/>
    <mergeCell ref="G18:G19"/>
    <mergeCell ref="J18:J19"/>
    <mergeCell ref="A13:B13"/>
    <mergeCell ref="A14:B14"/>
    <mergeCell ref="A15:B15"/>
    <mergeCell ref="C15:I15"/>
    <mergeCell ref="C14:I14"/>
    <mergeCell ref="B61:K61"/>
    <mergeCell ref="B62:K62"/>
    <mergeCell ref="B63:K63"/>
  </mergeCells>
  <dataValidations count="1">
    <dataValidation allowBlank="1" showInputMessage="1" showErrorMessage="1" promptTitle="Date Format" prompt="E.g:  &quot;August 1, 2011&quot;" sqref="H7 JE7 TA7 ACW7 AMS7 AWO7 BGK7 BQG7 CAC7 CJY7 CTU7 DDQ7 DNM7 DXI7 EHE7 ERA7 FAW7 FKS7 FUO7 GEK7 GOG7 GYC7 HHY7 HRU7 IBQ7 ILM7 IVI7 JFE7 JPA7 JYW7 KIS7 KSO7 LCK7 LMG7 LWC7 MFY7 MPU7 MZQ7 NJM7 NTI7 ODE7 ONA7 OWW7 PGS7 PQO7 QAK7 QKG7 QUC7 RDY7 RNU7 RXQ7 SHM7 SRI7 TBE7 TLA7 TUW7 UES7 UOO7 UYK7 VIG7 VSC7 WBY7 WLU7 WVQ7 H65548 JE65548 TA65548 ACW65548 AMS65548 AWO65548 BGK65548 BQG65548 CAC65548 CJY65548 CTU65548 DDQ65548 DNM65548 DXI65548 EHE65548 ERA65548 FAW65548 FKS65548 FUO65548 GEK65548 GOG65548 GYC65548 HHY65548 HRU65548 IBQ65548 ILM65548 IVI65548 JFE65548 JPA65548 JYW65548 KIS65548 KSO65548 LCK65548 LMG65548 LWC65548 MFY65548 MPU65548 MZQ65548 NJM65548 NTI65548 ODE65548 ONA65548 OWW65548 PGS65548 PQO65548 QAK65548 QKG65548 QUC65548 RDY65548 RNU65548 RXQ65548 SHM65548 SRI65548 TBE65548 TLA65548 TUW65548 UES65548 UOO65548 UYK65548 VIG65548 VSC65548 WBY65548 WLU65548 WVQ65548 H131084 JE131084 TA131084 ACW131084 AMS131084 AWO131084 BGK131084 BQG131084 CAC131084 CJY131084 CTU131084 DDQ131084 DNM131084 DXI131084 EHE131084 ERA131084 FAW131084 FKS131084 FUO131084 GEK131084 GOG131084 GYC131084 HHY131084 HRU131084 IBQ131084 ILM131084 IVI131084 JFE131084 JPA131084 JYW131084 KIS131084 KSO131084 LCK131084 LMG131084 LWC131084 MFY131084 MPU131084 MZQ131084 NJM131084 NTI131084 ODE131084 ONA131084 OWW131084 PGS131084 PQO131084 QAK131084 QKG131084 QUC131084 RDY131084 RNU131084 RXQ131084 SHM131084 SRI131084 TBE131084 TLA131084 TUW131084 UES131084 UOO131084 UYK131084 VIG131084 VSC131084 WBY131084 WLU131084 WVQ131084 H196620 JE196620 TA196620 ACW196620 AMS196620 AWO196620 BGK196620 BQG196620 CAC196620 CJY196620 CTU196620 DDQ196620 DNM196620 DXI196620 EHE196620 ERA196620 FAW196620 FKS196620 FUO196620 GEK196620 GOG196620 GYC196620 HHY196620 HRU196620 IBQ196620 ILM196620 IVI196620 JFE196620 JPA196620 JYW196620 KIS196620 KSO196620 LCK196620 LMG196620 LWC196620 MFY196620 MPU196620 MZQ196620 NJM196620 NTI196620 ODE196620 ONA196620 OWW196620 PGS196620 PQO196620 QAK196620 QKG196620 QUC196620 RDY196620 RNU196620 RXQ196620 SHM196620 SRI196620 TBE196620 TLA196620 TUW196620 UES196620 UOO196620 UYK196620 VIG196620 VSC196620 WBY196620 WLU196620 WVQ196620 H262156 JE262156 TA262156 ACW262156 AMS262156 AWO262156 BGK262156 BQG262156 CAC262156 CJY262156 CTU262156 DDQ262156 DNM262156 DXI262156 EHE262156 ERA262156 FAW262156 FKS262156 FUO262156 GEK262156 GOG262156 GYC262156 HHY262156 HRU262156 IBQ262156 ILM262156 IVI262156 JFE262156 JPA262156 JYW262156 KIS262156 KSO262156 LCK262156 LMG262156 LWC262156 MFY262156 MPU262156 MZQ262156 NJM262156 NTI262156 ODE262156 ONA262156 OWW262156 PGS262156 PQO262156 QAK262156 QKG262156 QUC262156 RDY262156 RNU262156 RXQ262156 SHM262156 SRI262156 TBE262156 TLA262156 TUW262156 UES262156 UOO262156 UYK262156 VIG262156 VSC262156 WBY262156 WLU262156 WVQ262156 H327692 JE327692 TA327692 ACW327692 AMS327692 AWO327692 BGK327692 BQG327692 CAC327692 CJY327692 CTU327692 DDQ327692 DNM327692 DXI327692 EHE327692 ERA327692 FAW327692 FKS327692 FUO327692 GEK327692 GOG327692 GYC327692 HHY327692 HRU327692 IBQ327692 ILM327692 IVI327692 JFE327692 JPA327692 JYW327692 KIS327692 KSO327692 LCK327692 LMG327692 LWC327692 MFY327692 MPU327692 MZQ327692 NJM327692 NTI327692 ODE327692 ONA327692 OWW327692 PGS327692 PQO327692 QAK327692 QKG327692 QUC327692 RDY327692 RNU327692 RXQ327692 SHM327692 SRI327692 TBE327692 TLA327692 TUW327692 UES327692 UOO327692 UYK327692 VIG327692 VSC327692 WBY327692 WLU327692 WVQ327692 H393228 JE393228 TA393228 ACW393228 AMS393228 AWO393228 BGK393228 BQG393228 CAC393228 CJY393228 CTU393228 DDQ393228 DNM393228 DXI393228 EHE393228 ERA393228 FAW393228 FKS393228 FUO393228 GEK393228 GOG393228 GYC393228 HHY393228 HRU393228 IBQ393228 ILM393228 IVI393228 JFE393228 JPA393228 JYW393228 KIS393228 KSO393228 LCK393228 LMG393228 LWC393228 MFY393228 MPU393228 MZQ393228 NJM393228 NTI393228 ODE393228 ONA393228 OWW393228 PGS393228 PQO393228 QAK393228 QKG393228 QUC393228 RDY393228 RNU393228 RXQ393228 SHM393228 SRI393228 TBE393228 TLA393228 TUW393228 UES393228 UOO393228 UYK393228 VIG393228 VSC393228 WBY393228 WLU393228 WVQ393228 H458764 JE458764 TA458764 ACW458764 AMS458764 AWO458764 BGK458764 BQG458764 CAC458764 CJY458764 CTU458764 DDQ458764 DNM458764 DXI458764 EHE458764 ERA458764 FAW458764 FKS458764 FUO458764 GEK458764 GOG458764 GYC458764 HHY458764 HRU458764 IBQ458764 ILM458764 IVI458764 JFE458764 JPA458764 JYW458764 KIS458764 KSO458764 LCK458764 LMG458764 LWC458764 MFY458764 MPU458764 MZQ458764 NJM458764 NTI458764 ODE458764 ONA458764 OWW458764 PGS458764 PQO458764 QAK458764 QKG458764 QUC458764 RDY458764 RNU458764 RXQ458764 SHM458764 SRI458764 TBE458764 TLA458764 TUW458764 UES458764 UOO458764 UYK458764 VIG458764 VSC458764 WBY458764 WLU458764 WVQ458764 H524300 JE524300 TA524300 ACW524300 AMS524300 AWO524300 BGK524300 BQG524300 CAC524300 CJY524300 CTU524300 DDQ524300 DNM524300 DXI524300 EHE524300 ERA524300 FAW524300 FKS524300 FUO524300 GEK524300 GOG524300 GYC524300 HHY524300 HRU524300 IBQ524300 ILM524300 IVI524300 JFE524300 JPA524300 JYW524300 KIS524300 KSO524300 LCK524300 LMG524300 LWC524300 MFY524300 MPU524300 MZQ524300 NJM524300 NTI524300 ODE524300 ONA524300 OWW524300 PGS524300 PQO524300 QAK524300 QKG524300 QUC524300 RDY524300 RNU524300 RXQ524300 SHM524300 SRI524300 TBE524300 TLA524300 TUW524300 UES524300 UOO524300 UYK524300 VIG524300 VSC524300 WBY524300 WLU524300 WVQ524300 H589836 JE589836 TA589836 ACW589836 AMS589836 AWO589836 BGK589836 BQG589836 CAC589836 CJY589836 CTU589836 DDQ589836 DNM589836 DXI589836 EHE589836 ERA589836 FAW589836 FKS589836 FUO589836 GEK589836 GOG589836 GYC589836 HHY589836 HRU589836 IBQ589836 ILM589836 IVI589836 JFE589836 JPA589836 JYW589836 KIS589836 KSO589836 LCK589836 LMG589836 LWC589836 MFY589836 MPU589836 MZQ589836 NJM589836 NTI589836 ODE589836 ONA589836 OWW589836 PGS589836 PQO589836 QAK589836 QKG589836 QUC589836 RDY589836 RNU589836 RXQ589836 SHM589836 SRI589836 TBE589836 TLA589836 TUW589836 UES589836 UOO589836 UYK589836 VIG589836 VSC589836 WBY589836 WLU589836 WVQ589836 H655372 JE655372 TA655372 ACW655372 AMS655372 AWO655372 BGK655372 BQG655372 CAC655372 CJY655372 CTU655372 DDQ655372 DNM655372 DXI655372 EHE655372 ERA655372 FAW655372 FKS655372 FUO655372 GEK655372 GOG655372 GYC655372 HHY655372 HRU655372 IBQ655372 ILM655372 IVI655372 JFE655372 JPA655372 JYW655372 KIS655372 KSO655372 LCK655372 LMG655372 LWC655372 MFY655372 MPU655372 MZQ655372 NJM655372 NTI655372 ODE655372 ONA655372 OWW655372 PGS655372 PQO655372 QAK655372 QKG655372 QUC655372 RDY655372 RNU655372 RXQ655372 SHM655372 SRI655372 TBE655372 TLA655372 TUW655372 UES655372 UOO655372 UYK655372 VIG655372 VSC655372 WBY655372 WLU655372 WVQ655372 H720908 JE720908 TA720908 ACW720908 AMS720908 AWO720908 BGK720908 BQG720908 CAC720908 CJY720908 CTU720908 DDQ720908 DNM720908 DXI720908 EHE720908 ERA720908 FAW720908 FKS720908 FUO720908 GEK720908 GOG720908 GYC720908 HHY720908 HRU720908 IBQ720908 ILM720908 IVI720908 JFE720908 JPA720908 JYW720908 KIS720908 KSO720908 LCK720908 LMG720908 LWC720908 MFY720908 MPU720908 MZQ720908 NJM720908 NTI720908 ODE720908 ONA720908 OWW720908 PGS720908 PQO720908 QAK720908 QKG720908 QUC720908 RDY720908 RNU720908 RXQ720908 SHM720908 SRI720908 TBE720908 TLA720908 TUW720908 UES720908 UOO720908 UYK720908 VIG720908 VSC720908 WBY720908 WLU720908 WVQ720908 H786444 JE786444 TA786444 ACW786444 AMS786444 AWO786444 BGK786444 BQG786444 CAC786444 CJY786444 CTU786444 DDQ786444 DNM786444 DXI786444 EHE786444 ERA786444 FAW786444 FKS786444 FUO786444 GEK786444 GOG786444 GYC786444 HHY786444 HRU786444 IBQ786444 ILM786444 IVI786444 JFE786444 JPA786444 JYW786444 KIS786444 KSO786444 LCK786444 LMG786444 LWC786444 MFY786444 MPU786444 MZQ786444 NJM786444 NTI786444 ODE786444 ONA786444 OWW786444 PGS786444 PQO786444 QAK786444 QKG786444 QUC786444 RDY786444 RNU786444 RXQ786444 SHM786444 SRI786444 TBE786444 TLA786444 TUW786444 UES786444 UOO786444 UYK786444 VIG786444 VSC786444 WBY786444 WLU786444 WVQ786444 H851980 JE851980 TA851980 ACW851980 AMS851980 AWO851980 BGK851980 BQG851980 CAC851980 CJY851980 CTU851980 DDQ851980 DNM851980 DXI851980 EHE851980 ERA851980 FAW851980 FKS851980 FUO851980 GEK851980 GOG851980 GYC851980 HHY851980 HRU851980 IBQ851980 ILM851980 IVI851980 JFE851980 JPA851980 JYW851980 KIS851980 KSO851980 LCK851980 LMG851980 LWC851980 MFY851980 MPU851980 MZQ851980 NJM851980 NTI851980 ODE851980 ONA851980 OWW851980 PGS851980 PQO851980 QAK851980 QKG851980 QUC851980 RDY851980 RNU851980 RXQ851980 SHM851980 SRI851980 TBE851980 TLA851980 TUW851980 UES851980 UOO851980 UYK851980 VIG851980 VSC851980 WBY851980 WLU851980 WVQ851980 H917516 JE917516 TA917516 ACW917516 AMS917516 AWO917516 BGK917516 BQG917516 CAC917516 CJY917516 CTU917516 DDQ917516 DNM917516 DXI917516 EHE917516 ERA917516 FAW917516 FKS917516 FUO917516 GEK917516 GOG917516 GYC917516 HHY917516 HRU917516 IBQ917516 ILM917516 IVI917516 JFE917516 JPA917516 JYW917516 KIS917516 KSO917516 LCK917516 LMG917516 LWC917516 MFY917516 MPU917516 MZQ917516 NJM917516 NTI917516 ODE917516 ONA917516 OWW917516 PGS917516 PQO917516 QAK917516 QKG917516 QUC917516 RDY917516 RNU917516 RXQ917516 SHM917516 SRI917516 TBE917516 TLA917516 TUW917516 UES917516 UOO917516 UYK917516 VIG917516 VSC917516 WBY917516 WLU917516 WVQ917516 H983052 JE983052 TA983052 ACW983052 AMS983052 AWO983052 BGK983052 BQG983052 CAC983052 CJY983052 CTU983052 DDQ983052 DNM983052 DXI983052 EHE983052 ERA983052 FAW983052 FKS983052 FUO983052 GEK983052 GOG983052 GYC983052 HHY983052 HRU983052 IBQ983052 ILM983052 IVI983052 JFE983052 JPA983052 JYW983052 KIS983052 KSO983052 LCK983052 LMG983052 LWC983052 MFY983052 MPU983052 MZQ983052 NJM983052 NTI983052 ODE983052 ONA983052 OWW983052 PGS983052 PQO983052 QAK983052 QKG983052 QUC983052 RDY983052 RNU983052 RXQ983052 SHM983052 SRI983052 TBE983052 TLA983052 TUW983052 UES983052 UOO983052 UYK983052 VIG983052 VSC983052 WBY983052 WLU983052 WVQ983052"/>
  </dataValidations>
  <printOptions horizontalCentered="1"/>
  <pageMargins left="0.74803149606299213" right="0.74803149606299213" top="0.70866141732283472" bottom="0.39370078740157483" header="0.39370078740157483" footer="0.27559055118110237"/>
  <pageSetup scale="49" orientation="landscape"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01733" r:id="rId4" name="Check Box 5">
              <controlPr defaultSize="0" autoFill="0" autoLine="0" autoPict="0">
                <anchor moveWithCells="1">
                  <from>
                    <xdr:col>0</xdr:col>
                    <xdr:colOff>323850</xdr:colOff>
                    <xdr:row>13</xdr:row>
                    <xdr:rowOff>47625</xdr:rowOff>
                  </from>
                  <to>
                    <xdr:col>0</xdr:col>
                    <xdr:colOff>590550</xdr:colOff>
                    <xdr:row>13</xdr:row>
                    <xdr:rowOff>447675</xdr:rowOff>
                  </to>
                </anchor>
              </controlPr>
            </control>
          </mc:Choice>
        </mc:AlternateContent>
        <mc:AlternateContent xmlns:mc="http://schemas.openxmlformats.org/markup-compatibility/2006">
          <mc:Choice Requires="x14">
            <control shapeId="201734" r:id="rId5" name="Check Box 6">
              <controlPr defaultSize="0" autoFill="0" autoLine="0" autoPict="0">
                <anchor moveWithCells="1">
                  <from>
                    <xdr:col>0</xdr:col>
                    <xdr:colOff>304800</xdr:colOff>
                    <xdr:row>14</xdr:row>
                    <xdr:rowOff>38100</xdr:rowOff>
                  </from>
                  <to>
                    <xdr:col>0</xdr:col>
                    <xdr:colOff>571500</xdr:colOff>
                    <xdr:row>14</xdr:row>
                    <xdr:rowOff>457200</xdr:rowOff>
                  </to>
                </anchor>
              </controlPr>
            </control>
          </mc:Choice>
        </mc:AlternateContent>
      </controls>
    </mc:Choice>
  </mc:AlternateContent>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42">
    <tabColor rgb="FF00B0F0"/>
    <pageSetUpPr fitToPage="1"/>
  </sheetPr>
  <dimension ref="A1:O83"/>
  <sheetViews>
    <sheetView showGridLines="0" view="pageBreakPreview" zoomScale="60" zoomScaleNormal="100" workbookViewId="0">
      <selection activeCell="A9" sqref="A9:K9"/>
    </sheetView>
  </sheetViews>
  <sheetFormatPr defaultRowHeight="12.75" x14ac:dyDescent="0.2"/>
  <cols>
    <col min="1" max="1" width="9.140625" style="52"/>
    <col min="2" max="2" width="40.28515625" style="52" bestFit="1" customWidth="1"/>
    <col min="3" max="3" width="10" style="52" customWidth="1"/>
    <col min="4" max="4" width="10.140625" style="52" customWidth="1"/>
    <col min="5" max="5" width="12.28515625" style="52" customWidth="1"/>
    <col min="6" max="6" width="16.28515625" style="52" customWidth="1"/>
    <col min="7" max="7" width="16.140625" style="52" customWidth="1"/>
    <col min="8" max="8" width="12.7109375" style="52" customWidth="1"/>
    <col min="9" max="10" width="14.42578125" style="52" customWidth="1"/>
    <col min="11" max="11" width="13.5703125" style="52" customWidth="1"/>
    <col min="12" max="12" width="9.140625" style="52"/>
    <col min="13" max="13" width="18.5703125" style="52" customWidth="1"/>
    <col min="14" max="256" width="9.140625" style="52"/>
    <col min="257" max="257" width="2.7109375" style="52" customWidth="1"/>
    <col min="258" max="258" width="9.140625" style="52"/>
    <col min="259" max="259" width="40.28515625" style="52" bestFit="1" customWidth="1"/>
    <col min="260" max="260" width="10" style="52" customWidth="1"/>
    <col min="261" max="261" width="10.140625" style="52" customWidth="1"/>
    <col min="262" max="262" width="12.28515625" style="52" customWidth="1"/>
    <col min="263" max="263" width="16.28515625" style="52" customWidth="1"/>
    <col min="264" max="264" width="12.85546875" style="52" customWidth="1"/>
    <col min="265" max="265" width="12.7109375" style="52" customWidth="1"/>
    <col min="266" max="266" width="14.42578125" style="52" customWidth="1"/>
    <col min="267" max="267" width="13.5703125" style="52" customWidth="1"/>
    <col min="268" max="512" width="9.140625" style="52"/>
    <col min="513" max="513" width="2.7109375" style="52" customWidth="1"/>
    <col min="514" max="514" width="9.140625" style="52"/>
    <col min="515" max="515" width="40.28515625" style="52" bestFit="1" customWidth="1"/>
    <col min="516" max="516" width="10" style="52" customWidth="1"/>
    <col min="517" max="517" width="10.140625" style="52" customWidth="1"/>
    <col min="518" max="518" width="12.28515625" style="52" customWidth="1"/>
    <col min="519" max="519" width="16.28515625" style="52" customWidth="1"/>
    <col min="520" max="520" width="12.85546875" style="52" customWidth="1"/>
    <col min="521" max="521" width="12.7109375" style="52" customWidth="1"/>
    <col min="522" max="522" width="14.42578125" style="52" customWidth="1"/>
    <col min="523" max="523" width="13.5703125" style="52" customWidth="1"/>
    <col min="524" max="768" width="9.140625" style="52"/>
    <col min="769" max="769" width="2.7109375" style="52" customWidth="1"/>
    <col min="770" max="770" width="9.140625" style="52"/>
    <col min="771" max="771" width="40.28515625" style="52" bestFit="1" customWidth="1"/>
    <col min="772" max="772" width="10" style="52" customWidth="1"/>
    <col min="773" max="773" width="10.140625" style="52" customWidth="1"/>
    <col min="774" max="774" width="12.28515625" style="52" customWidth="1"/>
    <col min="775" max="775" width="16.28515625" style="52" customWidth="1"/>
    <col min="776" max="776" width="12.85546875" style="52" customWidth="1"/>
    <col min="777" max="777" width="12.7109375" style="52" customWidth="1"/>
    <col min="778" max="778" width="14.42578125" style="52" customWidth="1"/>
    <col min="779" max="779" width="13.5703125" style="52" customWidth="1"/>
    <col min="780" max="1024" width="9.140625" style="52"/>
    <col min="1025" max="1025" width="2.7109375" style="52" customWidth="1"/>
    <col min="1026" max="1026" width="9.140625" style="52"/>
    <col min="1027" max="1027" width="40.28515625" style="52" bestFit="1" customWidth="1"/>
    <col min="1028" max="1028" width="10" style="52" customWidth="1"/>
    <col min="1029" max="1029" width="10.140625" style="52" customWidth="1"/>
    <col min="1030" max="1030" width="12.28515625" style="52" customWidth="1"/>
    <col min="1031" max="1031" width="16.28515625" style="52" customWidth="1"/>
    <col min="1032" max="1032" width="12.85546875" style="52" customWidth="1"/>
    <col min="1033" max="1033" width="12.7109375" style="52" customWidth="1"/>
    <col min="1034" max="1034" width="14.42578125" style="52" customWidth="1"/>
    <col min="1035" max="1035" width="13.5703125" style="52" customWidth="1"/>
    <col min="1036" max="1280" width="9.140625" style="52"/>
    <col min="1281" max="1281" width="2.7109375" style="52" customWidth="1"/>
    <col min="1282" max="1282" width="9.140625" style="52"/>
    <col min="1283" max="1283" width="40.28515625" style="52" bestFit="1" customWidth="1"/>
    <col min="1284" max="1284" width="10" style="52" customWidth="1"/>
    <col min="1285" max="1285" width="10.140625" style="52" customWidth="1"/>
    <col min="1286" max="1286" width="12.28515625" style="52" customWidth="1"/>
    <col min="1287" max="1287" width="16.28515625" style="52" customWidth="1"/>
    <col min="1288" max="1288" width="12.85546875" style="52" customWidth="1"/>
    <col min="1289" max="1289" width="12.7109375" style="52" customWidth="1"/>
    <col min="1290" max="1290" width="14.42578125" style="52" customWidth="1"/>
    <col min="1291" max="1291" width="13.5703125" style="52" customWidth="1"/>
    <col min="1292" max="1536" width="9.140625" style="52"/>
    <col min="1537" max="1537" width="2.7109375" style="52" customWidth="1"/>
    <col min="1538" max="1538" width="9.140625" style="52"/>
    <col min="1539" max="1539" width="40.28515625" style="52" bestFit="1" customWidth="1"/>
    <col min="1540" max="1540" width="10" style="52" customWidth="1"/>
    <col min="1541" max="1541" width="10.140625" style="52" customWidth="1"/>
    <col min="1542" max="1542" width="12.28515625" style="52" customWidth="1"/>
    <col min="1543" max="1543" width="16.28515625" style="52" customWidth="1"/>
    <col min="1544" max="1544" width="12.85546875" style="52" customWidth="1"/>
    <col min="1545" max="1545" width="12.7109375" style="52" customWidth="1"/>
    <col min="1546" max="1546" width="14.42578125" style="52" customWidth="1"/>
    <col min="1547" max="1547" width="13.5703125" style="52" customWidth="1"/>
    <col min="1548" max="1792" width="9.140625" style="52"/>
    <col min="1793" max="1793" width="2.7109375" style="52" customWidth="1"/>
    <col min="1794" max="1794" width="9.140625" style="52"/>
    <col min="1795" max="1795" width="40.28515625" style="52" bestFit="1" customWidth="1"/>
    <col min="1796" max="1796" width="10" style="52" customWidth="1"/>
    <col min="1797" max="1797" width="10.140625" style="52" customWidth="1"/>
    <col min="1798" max="1798" width="12.28515625" style="52" customWidth="1"/>
    <col min="1799" max="1799" width="16.28515625" style="52" customWidth="1"/>
    <col min="1800" max="1800" width="12.85546875" style="52" customWidth="1"/>
    <col min="1801" max="1801" width="12.7109375" style="52" customWidth="1"/>
    <col min="1802" max="1802" width="14.42578125" style="52" customWidth="1"/>
    <col min="1803" max="1803" width="13.5703125" style="52" customWidth="1"/>
    <col min="1804" max="2048" width="9.140625" style="52"/>
    <col min="2049" max="2049" width="2.7109375" style="52" customWidth="1"/>
    <col min="2050" max="2050" width="9.140625" style="52"/>
    <col min="2051" max="2051" width="40.28515625" style="52" bestFit="1" customWidth="1"/>
    <col min="2052" max="2052" width="10" style="52" customWidth="1"/>
    <col min="2053" max="2053" width="10.140625" style="52" customWidth="1"/>
    <col min="2054" max="2054" width="12.28515625" style="52" customWidth="1"/>
    <col min="2055" max="2055" width="16.28515625" style="52" customWidth="1"/>
    <col min="2056" max="2056" width="12.85546875" style="52" customWidth="1"/>
    <col min="2057" max="2057" width="12.7109375" style="52" customWidth="1"/>
    <col min="2058" max="2058" width="14.42578125" style="52" customWidth="1"/>
    <col min="2059" max="2059" width="13.5703125" style="52" customWidth="1"/>
    <col min="2060" max="2304" width="9.140625" style="52"/>
    <col min="2305" max="2305" width="2.7109375" style="52" customWidth="1"/>
    <col min="2306" max="2306" width="9.140625" style="52"/>
    <col min="2307" max="2307" width="40.28515625" style="52" bestFit="1" customWidth="1"/>
    <col min="2308" max="2308" width="10" style="52" customWidth="1"/>
    <col min="2309" max="2309" width="10.140625" style="52" customWidth="1"/>
    <col min="2310" max="2310" width="12.28515625" style="52" customWidth="1"/>
    <col min="2311" max="2311" width="16.28515625" style="52" customWidth="1"/>
    <col min="2312" max="2312" width="12.85546875" style="52" customWidth="1"/>
    <col min="2313" max="2313" width="12.7109375" style="52" customWidth="1"/>
    <col min="2314" max="2314" width="14.42578125" style="52" customWidth="1"/>
    <col min="2315" max="2315" width="13.5703125" style="52" customWidth="1"/>
    <col min="2316" max="2560" width="9.140625" style="52"/>
    <col min="2561" max="2561" width="2.7109375" style="52" customWidth="1"/>
    <col min="2562" max="2562" width="9.140625" style="52"/>
    <col min="2563" max="2563" width="40.28515625" style="52" bestFit="1" customWidth="1"/>
    <col min="2564" max="2564" width="10" style="52" customWidth="1"/>
    <col min="2565" max="2565" width="10.140625" style="52" customWidth="1"/>
    <col min="2566" max="2566" width="12.28515625" style="52" customWidth="1"/>
    <col min="2567" max="2567" width="16.28515625" style="52" customWidth="1"/>
    <col min="2568" max="2568" width="12.85546875" style="52" customWidth="1"/>
    <col min="2569" max="2569" width="12.7109375" style="52" customWidth="1"/>
    <col min="2570" max="2570" width="14.42578125" style="52" customWidth="1"/>
    <col min="2571" max="2571" width="13.5703125" style="52" customWidth="1"/>
    <col min="2572" max="2816" width="9.140625" style="52"/>
    <col min="2817" max="2817" width="2.7109375" style="52" customWidth="1"/>
    <col min="2818" max="2818" width="9.140625" style="52"/>
    <col min="2819" max="2819" width="40.28515625" style="52" bestFit="1" customWidth="1"/>
    <col min="2820" max="2820" width="10" style="52" customWidth="1"/>
    <col min="2821" max="2821" width="10.140625" style="52" customWidth="1"/>
    <col min="2822" max="2822" width="12.28515625" style="52" customWidth="1"/>
    <col min="2823" max="2823" width="16.28515625" style="52" customWidth="1"/>
    <col min="2824" max="2824" width="12.85546875" style="52" customWidth="1"/>
    <col min="2825" max="2825" width="12.7109375" style="52" customWidth="1"/>
    <col min="2826" max="2826" width="14.42578125" style="52" customWidth="1"/>
    <col min="2827" max="2827" width="13.5703125" style="52" customWidth="1"/>
    <col min="2828" max="3072" width="9.140625" style="52"/>
    <col min="3073" max="3073" width="2.7109375" style="52" customWidth="1"/>
    <col min="3074" max="3074" width="9.140625" style="52"/>
    <col min="3075" max="3075" width="40.28515625" style="52" bestFit="1" customWidth="1"/>
    <col min="3076" max="3076" width="10" style="52" customWidth="1"/>
    <col min="3077" max="3077" width="10.140625" style="52" customWidth="1"/>
    <col min="3078" max="3078" width="12.28515625" style="52" customWidth="1"/>
    <col min="3079" max="3079" width="16.28515625" style="52" customWidth="1"/>
    <col min="3080" max="3080" width="12.85546875" style="52" customWidth="1"/>
    <col min="3081" max="3081" width="12.7109375" style="52" customWidth="1"/>
    <col min="3082" max="3082" width="14.42578125" style="52" customWidth="1"/>
    <col min="3083" max="3083" width="13.5703125" style="52" customWidth="1"/>
    <col min="3084" max="3328" width="9.140625" style="52"/>
    <col min="3329" max="3329" width="2.7109375" style="52" customWidth="1"/>
    <col min="3330" max="3330" width="9.140625" style="52"/>
    <col min="3331" max="3331" width="40.28515625" style="52" bestFit="1" customWidth="1"/>
    <col min="3332" max="3332" width="10" style="52" customWidth="1"/>
    <col min="3333" max="3333" width="10.140625" style="52" customWidth="1"/>
    <col min="3334" max="3334" width="12.28515625" style="52" customWidth="1"/>
    <col min="3335" max="3335" width="16.28515625" style="52" customWidth="1"/>
    <col min="3336" max="3336" width="12.85546875" style="52" customWidth="1"/>
    <col min="3337" max="3337" width="12.7109375" style="52" customWidth="1"/>
    <col min="3338" max="3338" width="14.42578125" style="52" customWidth="1"/>
    <col min="3339" max="3339" width="13.5703125" style="52" customWidth="1"/>
    <col min="3340" max="3584" width="9.140625" style="52"/>
    <col min="3585" max="3585" width="2.7109375" style="52" customWidth="1"/>
    <col min="3586" max="3586" width="9.140625" style="52"/>
    <col min="3587" max="3587" width="40.28515625" style="52" bestFit="1" customWidth="1"/>
    <col min="3588" max="3588" width="10" style="52" customWidth="1"/>
    <col min="3589" max="3589" width="10.140625" style="52" customWidth="1"/>
    <col min="3590" max="3590" width="12.28515625" style="52" customWidth="1"/>
    <col min="3591" max="3591" width="16.28515625" style="52" customWidth="1"/>
    <col min="3592" max="3592" width="12.85546875" style="52" customWidth="1"/>
    <col min="3593" max="3593" width="12.7109375" style="52" customWidth="1"/>
    <col min="3594" max="3594" width="14.42578125" style="52" customWidth="1"/>
    <col min="3595" max="3595" width="13.5703125" style="52" customWidth="1"/>
    <col min="3596" max="3840" width="9.140625" style="52"/>
    <col min="3841" max="3841" width="2.7109375" style="52" customWidth="1"/>
    <col min="3842" max="3842" width="9.140625" style="52"/>
    <col min="3843" max="3843" width="40.28515625" style="52" bestFit="1" customWidth="1"/>
    <col min="3844" max="3844" width="10" style="52" customWidth="1"/>
    <col min="3845" max="3845" width="10.140625" style="52" customWidth="1"/>
    <col min="3846" max="3846" width="12.28515625" style="52" customWidth="1"/>
    <col min="3847" max="3847" width="16.28515625" style="52" customWidth="1"/>
    <col min="3848" max="3848" width="12.85546875" style="52" customWidth="1"/>
    <col min="3849" max="3849" width="12.7109375" style="52" customWidth="1"/>
    <col min="3850" max="3850" width="14.42578125" style="52" customWidth="1"/>
    <col min="3851" max="3851" width="13.5703125" style="52" customWidth="1"/>
    <col min="3852" max="4096" width="9.140625" style="52"/>
    <col min="4097" max="4097" width="2.7109375" style="52" customWidth="1"/>
    <col min="4098" max="4098" width="9.140625" style="52"/>
    <col min="4099" max="4099" width="40.28515625" style="52" bestFit="1" customWidth="1"/>
    <col min="4100" max="4100" width="10" style="52" customWidth="1"/>
    <col min="4101" max="4101" width="10.140625" style="52" customWidth="1"/>
    <col min="4102" max="4102" width="12.28515625" style="52" customWidth="1"/>
    <col min="4103" max="4103" width="16.28515625" style="52" customWidth="1"/>
    <col min="4104" max="4104" width="12.85546875" style="52" customWidth="1"/>
    <col min="4105" max="4105" width="12.7109375" style="52" customWidth="1"/>
    <col min="4106" max="4106" width="14.42578125" style="52" customWidth="1"/>
    <col min="4107" max="4107" width="13.5703125" style="52" customWidth="1"/>
    <col min="4108" max="4352" width="9.140625" style="52"/>
    <col min="4353" max="4353" width="2.7109375" style="52" customWidth="1"/>
    <col min="4354" max="4354" width="9.140625" style="52"/>
    <col min="4355" max="4355" width="40.28515625" style="52" bestFit="1" customWidth="1"/>
    <col min="4356" max="4356" width="10" style="52" customWidth="1"/>
    <col min="4357" max="4357" width="10.140625" style="52" customWidth="1"/>
    <col min="4358" max="4358" width="12.28515625" style="52" customWidth="1"/>
    <col min="4359" max="4359" width="16.28515625" style="52" customWidth="1"/>
    <col min="4360" max="4360" width="12.85546875" style="52" customWidth="1"/>
    <col min="4361" max="4361" width="12.7109375" style="52" customWidth="1"/>
    <col min="4362" max="4362" width="14.42578125" style="52" customWidth="1"/>
    <col min="4363" max="4363" width="13.5703125" style="52" customWidth="1"/>
    <col min="4364" max="4608" width="9.140625" style="52"/>
    <col min="4609" max="4609" width="2.7109375" style="52" customWidth="1"/>
    <col min="4610" max="4610" width="9.140625" style="52"/>
    <col min="4611" max="4611" width="40.28515625" style="52" bestFit="1" customWidth="1"/>
    <col min="4612" max="4612" width="10" style="52" customWidth="1"/>
    <col min="4613" max="4613" width="10.140625" style="52" customWidth="1"/>
    <col min="4614" max="4614" width="12.28515625" style="52" customWidth="1"/>
    <col min="4615" max="4615" width="16.28515625" style="52" customWidth="1"/>
    <col min="4616" max="4616" width="12.85546875" style="52" customWidth="1"/>
    <col min="4617" max="4617" width="12.7109375" style="52" customWidth="1"/>
    <col min="4618" max="4618" width="14.42578125" style="52" customWidth="1"/>
    <col min="4619" max="4619" width="13.5703125" style="52" customWidth="1"/>
    <col min="4620" max="4864" width="9.140625" style="52"/>
    <col min="4865" max="4865" width="2.7109375" style="52" customWidth="1"/>
    <col min="4866" max="4866" width="9.140625" style="52"/>
    <col min="4867" max="4867" width="40.28515625" style="52" bestFit="1" customWidth="1"/>
    <col min="4868" max="4868" width="10" style="52" customWidth="1"/>
    <col min="4869" max="4869" width="10.140625" style="52" customWidth="1"/>
    <col min="4870" max="4870" width="12.28515625" style="52" customWidth="1"/>
    <col min="4871" max="4871" width="16.28515625" style="52" customWidth="1"/>
    <col min="4872" max="4872" width="12.85546875" style="52" customWidth="1"/>
    <col min="4873" max="4873" width="12.7109375" style="52" customWidth="1"/>
    <col min="4874" max="4874" width="14.42578125" style="52" customWidth="1"/>
    <col min="4875" max="4875" width="13.5703125" style="52" customWidth="1"/>
    <col min="4876" max="5120" width="9.140625" style="52"/>
    <col min="5121" max="5121" width="2.7109375" style="52" customWidth="1"/>
    <col min="5122" max="5122" width="9.140625" style="52"/>
    <col min="5123" max="5123" width="40.28515625" style="52" bestFit="1" customWidth="1"/>
    <col min="5124" max="5124" width="10" style="52" customWidth="1"/>
    <col min="5125" max="5125" width="10.140625" style="52" customWidth="1"/>
    <col min="5126" max="5126" width="12.28515625" style="52" customWidth="1"/>
    <col min="5127" max="5127" width="16.28515625" style="52" customWidth="1"/>
    <col min="5128" max="5128" width="12.85546875" style="52" customWidth="1"/>
    <col min="5129" max="5129" width="12.7109375" style="52" customWidth="1"/>
    <col min="5130" max="5130" width="14.42578125" style="52" customWidth="1"/>
    <col min="5131" max="5131" width="13.5703125" style="52" customWidth="1"/>
    <col min="5132" max="5376" width="9.140625" style="52"/>
    <col min="5377" max="5377" width="2.7109375" style="52" customWidth="1"/>
    <col min="5378" max="5378" width="9.140625" style="52"/>
    <col min="5379" max="5379" width="40.28515625" style="52" bestFit="1" customWidth="1"/>
    <col min="5380" max="5380" width="10" style="52" customWidth="1"/>
    <col min="5381" max="5381" width="10.140625" style="52" customWidth="1"/>
    <col min="5382" max="5382" width="12.28515625" style="52" customWidth="1"/>
    <col min="5383" max="5383" width="16.28515625" style="52" customWidth="1"/>
    <col min="5384" max="5384" width="12.85546875" style="52" customWidth="1"/>
    <col min="5385" max="5385" width="12.7109375" style="52" customWidth="1"/>
    <col min="5386" max="5386" width="14.42578125" style="52" customWidth="1"/>
    <col min="5387" max="5387" width="13.5703125" style="52" customWidth="1"/>
    <col min="5388" max="5632" width="9.140625" style="52"/>
    <col min="5633" max="5633" width="2.7109375" style="52" customWidth="1"/>
    <col min="5634" max="5634" width="9.140625" style="52"/>
    <col min="5635" max="5635" width="40.28515625" style="52" bestFit="1" customWidth="1"/>
    <col min="5636" max="5636" width="10" style="52" customWidth="1"/>
    <col min="5637" max="5637" width="10.140625" style="52" customWidth="1"/>
    <col min="5638" max="5638" width="12.28515625" style="52" customWidth="1"/>
    <col min="5639" max="5639" width="16.28515625" style="52" customWidth="1"/>
    <col min="5640" max="5640" width="12.85546875" style="52" customWidth="1"/>
    <col min="5641" max="5641" width="12.7109375" style="52" customWidth="1"/>
    <col min="5642" max="5642" width="14.42578125" style="52" customWidth="1"/>
    <col min="5643" max="5643" width="13.5703125" style="52" customWidth="1"/>
    <col min="5644" max="5888" width="9.140625" style="52"/>
    <col min="5889" max="5889" width="2.7109375" style="52" customWidth="1"/>
    <col min="5890" max="5890" width="9.140625" style="52"/>
    <col min="5891" max="5891" width="40.28515625" style="52" bestFit="1" customWidth="1"/>
    <col min="5892" max="5892" width="10" style="52" customWidth="1"/>
    <col min="5893" max="5893" width="10.140625" style="52" customWidth="1"/>
    <col min="5894" max="5894" width="12.28515625" style="52" customWidth="1"/>
    <col min="5895" max="5895" width="16.28515625" style="52" customWidth="1"/>
    <col min="5896" max="5896" width="12.85546875" style="52" customWidth="1"/>
    <col min="5897" max="5897" width="12.7109375" style="52" customWidth="1"/>
    <col min="5898" max="5898" width="14.42578125" style="52" customWidth="1"/>
    <col min="5899" max="5899" width="13.5703125" style="52" customWidth="1"/>
    <col min="5900" max="6144" width="9.140625" style="52"/>
    <col min="6145" max="6145" width="2.7109375" style="52" customWidth="1"/>
    <col min="6146" max="6146" width="9.140625" style="52"/>
    <col min="6147" max="6147" width="40.28515625" style="52" bestFit="1" customWidth="1"/>
    <col min="6148" max="6148" width="10" style="52" customWidth="1"/>
    <col min="6149" max="6149" width="10.140625" style="52" customWidth="1"/>
    <col min="6150" max="6150" width="12.28515625" style="52" customWidth="1"/>
    <col min="6151" max="6151" width="16.28515625" style="52" customWidth="1"/>
    <col min="6152" max="6152" width="12.85546875" style="52" customWidth="1"/>
    <col min="6153" max="6153" width="12.7109375" style="52" customWidth="1"/>
    <col min="6154" max="6154" width="14.42578125" style="52" customWidth="1"/>
    <col min="6155" max="6155" width="13.5703125" style="52" customWidth="1"/>
    <col min="6156" max="6400" width="9.140625" style="52"/>
    <col min="6401" max="6401" width="2.7109375" style="52" customWidth="1"/>
    <col min="6402" max="6402" width="9.140625" style="52"/>
    <col min="6403" max="6403" width="40.28515625" style="52" bestFit="1" customWidth="1"/>
    <col min="6404" max="6404" width="10" style="52" customWidth="1"/>
    <col min="6405" max="6405" width="10.140625" style="52" customWidth="1"/>
    <col min="6406" max="6406" width="12.28515625" style="52" customWidth="1"/>
    <col min="6407" max="6407" width="16.28515625" style="52" customWidth="1"/>
    <col min="6408" max="6408" width="12.85546875" style="52" customWidth="1"/>
    <col min="6409" max="6409" width="12.7109375" style="52" customWidth="1"/>
    <col min="6410" max="6410" width="14.42578125" style="52" customWidth="1"/>
    <col min="6411" max="6411" width="13.5703125" style="52" customWidth="1"/>
    <col min="6412" max="6656" width="9.140625" style="52"/>
    <col min="6657" max="6657" width="2.7109375" style="52" customWidth="1"/>
    <col min="6658" max="6658" width="9.140625" style="52"/>
    <col min="6659" max="6659" width="40.28515625" style="52" bestFit="1" customWidth="1"/>
    <col min="6660" max="6660" width="10" style="52" customWidth="1"/>
    <col min="6661" max="6661" width="10.140625" style="52" customWidth="1"/>
    <col min="6662" max="6662" width="12.28515625" style="52" customWidth="1"/>
    <col min="6663" max="6663" width="16.28515625" style="52" customWidth="1"/>
    <col min="6664" max="6664" width="12.85546875" style="52" customWidth="1"/>
    <col min="6665" max="6665" width="12.7109375" style="52" customWidth="1"/>
    <col min="6666" max="6666" width="14.42578125" style="52" customWidth="1"/>
    <col min="6667" max="6667" width="13.5703125" style="52" customWidth="1"/>
    <col min="6668" max="6912" width="9.140625" style="52"/>
    <col min="6913" max="6913" width="2.7109375" style="52" customWidth="1"/>
    <col min="6914" max="6914" width="9.140625" style="52"/>
    <col min="6915" max="6915" width="40.28515625" style="52" bestFit="1" customWidth="1"/>
    <col min="6916" max="6916" width="10" style="52" customWidth="1"/>
    <col min="6917" max="6917" width="10.140625" style="52" customWidth="1"/>
    <col min="6918" max="6918" width="12.28515625" style="52" customWidth="1"/>
    <col min="6919" max="6919" width="16.28515625" style="52" customWidth="1"/>
    <col min="6920" max="6920" width="12.85546875" style="52" customWidth="1"/>
    <col min="6921" max="6921" width="12.7109375" style="52" customWidth="1"/>
    <col min="6922" max="6922" width="14.42578125" style="52" customWidth="1"/>
    <col min="6923" max="6923" width="13.5703125" style="52" customWidth="1"/>
    <col min="6924" max="7168" width="9.140625" style="52"/>
    <col min="7169" max="7169" width="2.7109375" style="52" customWidth="1"/>
    <col min="7170" max="7170" width="9.140625" style="52"/>
    <col min="7171" max="7171" width="40.28515625" style="52" bestFit="1" customWidth="1"/>
    <col min="7172" max="7172" width="10" style="52" customWidth="1"/>
    <col min="7173" max="7173" width="10.140625" style="52" customWidth="1"/>
    <col min="7174" max="7174" width="12.28515625" style="52" customWidth="1"/>
    <col min="7175" max="7175" width="16.28515625" style="52" customWidth="1"/>
    <col min="7176" max="7176" width="12.85546875" style="52" customWidth="1"/>
    <col min="7177" max="7177" width="12.7109375" style="52" customWidth="1"/>
    <col min="7178" max="7178" width="14.42578125" style="52" customWidth="1"/>
    <col min="7179" max="7179" width="13.5703125" style="52" customWidth="1"/>
    <col min="7180" max="7424" width="9.140625" style="52"/>
    <col min="7425" max="7425" width="2.7109375" style="52" customWidth="1"/>
    <col min="7426" max="7426" width="9.140625" style="52"/>
    <col min="7427" max="7427" width="40.28515625" style="52" bestFit="1" customWidth="1"/>
    <col min="7428" max="7428" width="10" style="52" customWidth="1"/>
    <col min="7429" max="7429" width="10.140625" style="52" customWidth="1"/>
    <col min="7430" max="7430" width="12.28515625" style="52" customWidth="1"/>
    <col min="7431" max="7431" width="16.28515625" style="52" customWidth="1"/>
    <col min="7432" max="7432" width="12.85546875" style="52" customWidth="1"/>
    <col min="7433" max="7433" width="12.7109375" style="52" customWidth="1"/>
    <col min="7434" max="7434" width="14.42578125" style="52" customWidth="1"/>
    <col min="7435" max="7435" width="13.5703125" style="52" customWidth="1"/>
    <col min="7436" max="7680" width="9.140625" style="52"/>
    <col min="7681" max="7681" width="2.7109375" style="52" customWidth="1"/>
    <col min="7682" max="7682" width="9.140625" style="52"/>
    <col min="7683" max="7683" width="40.28515625" style="52" bestFit="1" customWidth="1"/>
    <col min="7684" max="7684" width="10" style="52" customWidth="1"/>
    <col min="7685" max="7685" width="10.140625" style="52" customWidth="1"/>
    <col min="7686" max="7686" width="12.28515625" style="52" customWidth="1"/>
    <col min="7687" max="7687" width="16.28515625" style="52" customWidth="1"/>
    <col min="7688" max="7688" width="12.85546875" style="52" customWidth="1"/>
    <col min="7689" max="7689" width="12.7109375" style="52" customWidth="1"/>
    <col min="7690" max="7690" width="14.42578125" style="52" customWidth="1"/>
    <col min="7691" max="7691" width="13.5703125" style="52" customWidth="1"/>
    <col min="7692" max="7936" width="9.140625" style="52"/>
    <col min="7937" max="7937" width="2.7109375" style="52" customWidth="1"/>
    <col min="7938" max="7938" width="9.140625" style="52"/>
    <col min="7939" max="7939" width="40.28515625" style="52" bestFit="1" customWidth="1"/>
    <col min="7940" max="7940" width="10" style="52" customWidth="1"/>
    <col min="7941" max="7941" width="10.140625" style="52" customWidth="1"/>
    <col min="7942" max="7942" width="12.28515625" style="52" customWidth="1"/>
    <col min="7943" max="7943" width="16.28515625" style="52" customWidth="1"/>
    <col min="7944" max="7944" width="12.85546875" style="52" customWidth="1"/>
    <col min="7945" max="7945" width="12.7109375" style="52" customWidth="1"/>
    <col min="7946" max="7946" width="14.42578125" style="52" customWidth="1"/>
    <col min="7947" max="7947" width="13.5703125" style="52" customWidth="1"/>
    <col min="7948" max="8192" width="9.140625" style="52"/>
    <col min="8193" max="8193" width="2.7109375" style="52" customWidth="1"/>
    <col min="8194" max="8194" width="9.140625" style="52"/>
    <col min="8195" max="8195" width="40.28515625" style="52" bestFit="1" customWidth="1"/>
    <col min="8196" max="8196" width="10" style="52" customWidth="1"/>
    <col min="8197" max="8197" width="10.140625" style="52" customWidth="1"/>
    <col min="8198" max="8198" width="12.28515625" style="52" customWidth="1"/>
    <col min="8199" max="8199" width="16.28515625" style="52" customWidth="1"/>
    <col min="8200" max="8200" width="12.85546875" style="52" customWidth="1"/>
    <col min="8201" max="8201" width="12.7109375" style="52" customWidth="1"/>
    <col min="8202" max="8202" width="14.42578125" style="52" customWidth="1"/>
    <col min="8203" max="8203" width="13.5703125" style="52" customWidth="1"/>
    <col min="8204" max="8448" width="9.140625" style="52"/>
    <col min="8449" max="8449" width="2.7109375" style="52" customWidth="1"/>
    <col min="8450" max="8450" width="9.140625" style="52"/>
    <col min="8451" max="8451" width="40.28515625" style="52" bestFit="1" customWidth="1"/>
    <col min="8452" max="8452" width="10" style="52" customWidth="1"/>
    <col min="8453" max="8453" width="10.140625" style="52" customWidth="1"/>
    <col min="8454" max="8454" width="12.28515625" style="52" customWidth="1"/>
    <col min="8455" max="8455" width="16.28515625" style="52" customWidth="1"/>
    <col min="8456" max="8456" width="12.85546875" style="52" customWidth="1"/>
    <col min="8457" max="8457" width="12.7109375" style="52" customWidth="1"/>
    <col min="8458" max="8458" width="14.42578125" style="52" customWidth="1"/>
    <col min="8459" max="8459" width="13.5703125" style="52" customWidth="1"/>
    <col min="8460" max="8704" width="9.140625" style="52"/>
    <col min="8705" max="8705" width="2.7109375" style="52" customWidth="1"/>
    <col min="8706" max="8706" width="9.140625" style="52"/>
    <col min="8707" max="8707" width="40.28515625" style="52" bestFit="1" customWidth="1"/>
    <col min="8708" max="8708" width="10" style="52" customWidth="1"/>
    <col min="8709" max="8709" width="10.140625" style="52" customWidth="1"/>
    <col min="8710" max="8710" width="12.28515625" style="52" customWidth="1"/>
    <col min="8711" max="8711" width="16.28515625" style="52" customWidth="1"/>
    <col min="8712" max="8712" width="12.85546875" style="52" customWidth="1"/>
    <col min="8713" max="8713" width="12.7109375" style="52" customWidth="1"/>
    <col min="8714" max="8714" width="14.42578125" style="52" customWidth="1"/>
    <col min="8715" max="8715" width="13.5703125" style="52" customWidth="1"/>
    <col min="8716" max="8960" width="9.140625" style="52"/>
    <col min="8961" max="8961" width="2.7109375" style="52" customWidth="1"/>
    <col min="8962" max="8962" width="9.140625" style="52"/>
    <col min="8963" max="8963" width="40.28515625" style="52" bestFit="1" customWidth="1"/>
    <col min="8964" max="8964" width="10" style="52" customWidth="1"/>
    <col min="8965" max="8965" width="10.140625" style="52" customWidth="1"/>
    <col min="8966" max="8966" width="12.28515625" style="52" customWidth="1"/>
    <col min="8967" max="8967" width="16.28515625" style="52" customWidth="1"/>
    <col min="8968" max="8968" width="12.85546875" style="52" customWidth="1"/>
    <col min="8969" max="8969" width="12.7109375" style="52" customWidth="1"/>
    <col min="8970" max="8970" width="14.42578125" style="52" customWidth="1"/>
    <col min="8971" max="8971" width="13.5703125" style="52" customWidth="1"/>
    <col min="8972" max="9216" width="9.140625" style="52"/>
    <col min="9217" max="9217" width="2.7109375" style="52" customWidth="1"/>
    <col min="9218" max="9218" width="9.140625" style="52"/>
    <col min="9219" max="9219" width="40.28515625" style="52" bestFit="1" customWidth="1"/>
    <col min="9220" max="9220" width="10" style="52" customWidth="1"/>
    <col min="9221" max="9221" width="10.140625" style="52" customWidth="1"/>
    <col min="9222" max="9222" width="12.28515625" style="52" customWidth="1"/>
    <col min="9223" max="9223" width="16.28515625" style="52" customWidth="1"/>
    <col min="9224" max="9224" width="12.85546875" style="52" customWidth="1"/>
    <col min="9225" max="9225" width="12.7109375" style="52" customWidth="1"/>
    <col min="9226" max="9226" width="14.42578125" style="52" customWidth="1"/>
    <col min="9227" max="9227" width="13.5703125" style="52" customWidth="1"/>
    <col min="9228" max="9472" width="9.140625" style="52"/>
    <col min="9473" max="9473" width="2.7109375" style="52" customWidth="1"/>
    <col min="9474" max="9474" width="9.140625" style="52"/>
    <col min="9475" max="9475" width="40.28515625" style="52" bestFit="1" customWidth="1"/>
    <col min="9476" max="9476" width="10" style="52" customWidth="1"/>
    <col min="9477" max="9477" width="10.140625" style="52" customWidth="1"/>
    <col min="9478" max="9478" width="12.28515625" style="52" customWidth="1"/>
    <col min="9479" max="9479" width="16.28515625" style="52" customWidth="1"/>
    <col min="9480" max="9480" width="12.85546875" style="52" customWidth="1"/>
    <col min="9481" max="9481" width="12.7109375" style="52" customWidth="1"/>
    <col min="9482" max="9482" width="14.42578125" style="52" customWidth="1"/>
    <col min="9483" max="9483" width="13.5703125" style="52" customWidth="1"/>
    <col min="9484" max="9728" width="9.140625" style="52"/>
    <col min="9729" max="9729" width="2.7109375" style="52" customWidth="1"/>
    <col min="9730" max="9730" width="9.140625" style="52"/>
    <col min="9731" max="9731" width="40.28515625" style="52" bestFit="1" customWidth="1"/>
    <col min="9732" max="9732" width="10" style="52" customWidth="1"/>
    <col min="9733" max="9733" width="10.140625" style="52" customWidth="1"/>
    <col min="9734" max="9734" width="12.28515625" style="52" customWidth="1"/>
    <col min="9735" max="9735" width="16.28515625" style="52" customWidth="1"/>
    <col min="9736" max="9736" width="12.85546875" style="52" customWidth="1"/>
    <col min="9737" max="9737" width="12.7109375" style="52" customWidth="1"/>
    <col min="9738" max="9738" width="14.42578125" style="52" customWidth="1"/>
    <col min="9739" max="9739" width="13.5703125" style="52" customWidth="1"/>
    <col min="9740" max="9984" width="9.140625" style="52"/>
    <col min="9985" max="9985" width="2.7109375" style="52" customWidth="1"/>
    <col min="9986" max="9986" width="9.140625" style="52"/>
    <col min="9987" max="9987" width="40.28515625" style="52" bestFit="1" customWidth="1"/>
    <col min="9988" max="9988" width="10" style="52" customWidth="1"/>
    <col min="9989" max="9989" width="10.140625" style="52" customWidth="1"/>
    <col min="9990" max="9990" width="12.28515625" style="52" customWidth="1"/>
    <col min="9991" max="9991" width="16.28515625" style="52" customWidth="1"/>
    <col min="9992" max="9992" width="12.85546875" style="52" customWidth="1"/>
    <col min="9993" max="9993" width="12.7109375" style="52" customWidth="1"/>
    <col min="9994" max="9994" width="14.42578125" style="52" customWidth="1"/>
    <col min="9995" max="9995" width="13.5703125" style="52" customWidth="1"/>
    <col min="9996" max="10240" width="9.140625" style="52"/>
    <col min="10241" max="10241" width="2.7109375" style="52" customWidth="1"/>
    <col min="10242" max="10242" width="9.140625" style="52"/>
    <col min="10243" max="10243" width="40.28515625" style="52" bestFit="1" customWidth="1"/>
    <col min="10244" max="10244" width="10" style="52" customWidth="1"/>
    <col min="10245" max="10245" width="10.140625" style="52" customWidth="1"/>
    <col min="10246" max="10246" width="12.28515625" style="52" customWidth="1"/>
    <col min="10247" max="10247" width="16.28515625" style="52" customWidth="1"/>
    <col min="10248" max="10248" width="12.85546875" style="52" customWidth="1"/>
    <col min="10249" max="10249" width="12.7109375" style="52" customWidth="1"/>
    <col min="10250" max="10250" width="14.42578125" style="52" customWidth="1"/>
    <col min="10251" max="10251" width="13.5703125" style="52" customWidth="1"/>
    <col min="10252" max="10496" width="9.140625" style="52"/>
    <col min="10497" max="10497" width="2.7109375" style="52" customWidth="1"/>
    <col min="10498" max="10498" width="9.140625" style="52"/>
    <col min="10499" max="10499" width="40.28515625" style="52" bestFit="1" customWidth="1"/>
    <col min="10500" max="10500" width="10" style="52" customWidth="1"/>
    <col min="10501" max="10501" width="10.140625" style="52" customWidth="1"/>
    <col min="10502" max="10502" width="12.28515625" style="52" customWidth="1"/>
    <col min="10503" max="10503" width="16.28515625" style="52" customWidth="1"/>
    <col min="10504" max="10504" width="12.85546875" style="52" customWidth="1"/>
    <col min="10505" max="10505" width="12.7109375" style="52" customWidth="1"/>
    <col min="10506" max="10506" width="14.42578125" style="52" customWidth="1"/>
    <col min="10507" max="10507" width="13.5703125" style="52" customWidth="1"/>
    <col min="10508" max="10752" width="9.140625" style="52"/>
    <col min="10753" max="10753" width="2.7109375" style="52" customWidth="1"/>
    <col min="10754" max="10754" width="9.140625" style="52"/>
    <col min="10755" max="10755" width="40.28515625" style="52" bestFit="1" customWidth="1"/>
    <col min="10756" max="10756" width="10" style="52" customWidth="1"/>
    <col min="10757" max="10757" width="10.140625" style="52" customWidth="1"/>
    <col min="10758" max="10758" width="12.28515625" style="52" customWidth="1"/>
    <col min="10759" max="10759" width="16.28515625" style="52" customWidth="1"/>
    <col min="10760" max="10760" width="12.85546875" style="52" customWidth="1"/>
    <col min="10761" max="10761" width="12.7109375" style="52" customWidth="1"/>
    <col min="10762" max="10762" width="14.42578125" style="52" customWidth="1"/>
    <col min="10763" max="10763" width="13.5703125" style="52" customWidth="1"/>
    <col min="10764" max="11008" width="9.140625" style="52"/>
    <col min="11009" max="11009" width="2.7109375" style="52" customWidth="1"/>
    <col min="11010" max="11010" width="9.140625" style="52"/>
    <col min="11011" max="11011" width="40.28515625" style="52" bestFit="1" customWidth="1"/>
    <col min="11012" max="11012" width="10" style="52" customWidth="1"/>
    <col min="11013" max="11013" width="10.140625" style="52" customWidth="1"/>
    <col min="11014" max="11014" width="12.28515625" style="52" customWidth="1"/>
    <col min="11015" max="11015" width="16.28515625" style="52" customWidth="1"/>
    <col min="11016" max="11016" width="12.85546875" style="52" customWidth="1"/>
    <col min="11017" max="11017" width="12.7109375" style="52" customWidth="1"/>
    <col min="11018" max="11018" width="14.42578125" style="52" customWidth="1"/>
    <col min="11019" max="11019" width="13.5703125" style="52" customWidth="1"/>
    <col min="11020" max="11264" width="9.140625" style="52"/>
    <col min="11265" max="11265" width="2.7109375" style="52" customWidth="1"/>
    <col min="11266" max="11266" width="9.140625" style="52"/>
    <col min="11267" max="11267" width="40.28515625" style="52" bestFit="1" customWidth="1"/>
    <col min="11268" max="11268" width="10" style="52" customWidth="1"/>
    <col min="11269" max="11269" width="10.140625" style="52" customWidth="1"/>
    <col min="11270" max="11270" width="12.28515625" style="52" customWidth="1"/>
    <col min="11271" max="11271" width="16.28515625" style="52" customWidth="1"/>
    <col min="11272" max="11272" width="12.85546875" style="52" customWidth="1"/>
    <col min="11273" max="11273" width="12.7109375" style="52" customWidth="1"/>
    <col min="11274" max="11274" width="14.42578125" style="52" customWidth="1"/>
    <col min="11275" max="11275" width="13.5703125" style="52" customWidth="1"/>
    <col min="11276" max="11520" width="9.140625" style="52"/>
    <col min="11521" max="11521" width="2.7109375" style="52" customWidth="1"/>
    <col min="11522" max="11522" width="9.140625" style="52"/>
    <col min="11523" max="11523" width="40.28515625" style="52" bestFit="1" customWidth="1"/>
    <col min="11524" max="11524" width="10" style="52" customWidth="1"/>
    <col min="11525" max="11525" width="10.140625" style="52" customWidth="1"/>
    <col min="11526" max="11526" width="12.28515625" style="52" customWidth="1"/>
    <col min="11527" max="11527" width="16.28515625" style="52" customWidth="1"/>
    <col min="11528" max="11528" width="12.85546875" style="52" customWidth="1"/>
    <col min="11529" max="11529" width="12.7109375" style="52" customWidth="1"/>
    <col min="11530" max="11530" width="14.42578125" style="52" customWidth="1"/>
    <col min="11531" max="11531" width="13.5703125" style="52" customWidth="1"/>
    <col min="11532" max="11776" width="9.140625" style="52"/>
    <col min="11777" max="11777" width="2.7109375" style="52" customWidth="1"/>
    <col min="11778" max="11778" width="9.140625" style="52"/>
    <col min="11779" max="11779" width="40.28515625" style="52" bestFit="1" customWidth="1"/>
    <col min="11780" max="11780" width="10" style="52" customWidth="1"/>
    <col min="11781" max="11781" width="10.140625" style="52" customWidth="1"/>
    <col min="11782" max="11782" width="12.28515625" style="52" customWidth="1"/>
    <col min="11783" max="11783" width="16.28515625" style="52" customWidth="1"/>
    <col min="11784" max="11784" width="12.85546875" style="52" customWidth="1"/>
    <col min="11785" max="11785" width="12.7109375" style="52" customWidth="1"/>
    <col min="11786" max="11786" width="14.42578125" style="52" customWidth="1"/>
    <col min="11787" max="11787" width="13.5703125" style="52" customWidth="1"/>
    <col min="11788" max="12032" width="9.140625" style="52"/>
    <col min="12033" max="12033" width="2.7109375" style="52" customWidth="1"/>
    <col min="12034" max="12034" width="9.140625" style="52"/>
    <col min="12035" max="12035" width="40.28515625" style="52" bestFit="1" customWidth="1"/>
    <col min="12036" max="12036" width="10" style="52" customWidth="1"/>
    <col min="12037" max="12037" width="10.140625" style="52" customWidth="1"/>
    <col min="12038" max="12038" width="12.28515625" style="52" customWidth="1"/>
    <col min="12039" max="12039" width="16.28515625" style="52" customWidth="1"/>
    <col min="12040" max="12040" width="12.85546875" style="52" customWidth="1"/>
    <col min="12041" max="12041" width="12.7109375" style="52" customWidth="1"/>
    <col min="12042" max="12042" width="14.42578125" style="52" customWidth="1"/>
    <col min="12043" max="12043" width="13.5703125" style="52" customWidth="1"/>
    <col min="12044" max="12288" width="9.140625" style="52"/>
    <col min="12289" max="12289" width="2.7109375" style="52" customWidth="1"/>
    <col min="12290" max="12290" width="9.140625" style="52"/>
    <col min="12291" max="12291" width="40.28515625" style="52" bestFit="1" customWidth="1"/>
    <col min="12292" max="12292" width="10" style="52" customWidth="1"/>
    <col min="12293" max="12293" width="10.140625" style="52" customWidth="1"/>
    <col min="12294" max="12294" width="12.28515625" style="52" customWidth="1"/>
    <col min="12295" max="12295" width="16.28515625" style="52" customWidth="1"/>
    <col min="12296" max="12296" width="12.85546875" style="52" customWidth="1"/>
    <col min="12297" max="12297" width="12.7109375" style="52" customWidth="1"/>
    <col min="12298" max="12298" width="14.42578125" style="52" customWidth="1"/>
    <col min="12299" max="12299" width="13.5703125" style="52" customWidth="1"/>
    <col min="12300" max="12544" width="9.140625" style="52"/>
    <col min="12545" max="12545" width="2.7109375" style="52" customWidth="1"/>
    <col min="12546" max="12546" width="9.140625" style="52"/>
    <col min="12547" max="12547" width="40.28515625" style="52" bestFit="1" customWidth="1"/>
    <col min="12548" max="12548" width="10" style="52" customWidth="1"/>
    <col min="12549" max="12549" width="10.140625" style="52" customWidth="1"/>
    <col min="12550" max="12550" width="12.28515625" style="52" customWidth="1"/>
    <col min="12551" max="12551" width="16.28515625" style="52" customWidth="1"/>
    <col min="12552" max="12552" width="12.85546875" style="52" customWidth="1"/>
    <col min="12553" max="12553" width="12.7109375" style="52" customWidth="1"/>
    <col min="12554" max="12554" width="14.42578125" style="52" customWidth="1"/>
    <col min="12555" max="12555" width="13.5703125" style="52" customWidth="1"/>
    <col min="12556" max="12800" width="9.140625" style="52"/>
    <col min="12801" max="12801" width="2.7109375" style="52" customWidth="1"/>
    <col min="12802" max="12802" width="9.140625" style="52"/>
    <col min="12803" max="12803" width="40.28515625" style="52" bestFit="1" customWidth="1"/>
    <col min="12804" max="12804" width="10" style="52" customWidth="1"/>
    <col min="12805" max="12805" width="10.140625" style="52" customWidth="1"/>
    <col min="12806" max="12806" width="12.28515625" style="52" customWidth="1"/>
    <col min="12807" max="12807" width="16.28515625" style="52" customWidth="1"/>
    <col min="12808" max="12808" width="12.85546875" style="52" customWidth="1"/>
    <col min="12809" max="12809" width="12.7109375" style="52" customWidth="1"/>
    <col min="12810" max="12810" width="14.42578125" style="52" customWidth="1"/>
    <col min="12811" max="12811" width="13.5703125" style="52" customWidth="1"/>
    <col min="12812" max="13056" width="9.140625" style="52"/>
    <col min="13057" max="13057" width="2.7109375" style="52" customWidth="1"/>
    <col min="13058" max="13058" width="9.140625" style="52"/>
    <col min="13059" max="13059" width="40.28515625" style="52" bestFit="1" customWidth="1"/>
    <col min="13060" max="13060" width="10" style="52" customWidth="1"/>
    <col min="13061" max="13061" width="10.140625" style="52" customWidth="1"/>
    <col min="13062" max="13062" width="12.28515625" style="52" customWidth="1"/>
    <col min="13063" max="13063" width="16.28515625" style="52" customWidth="1"/>
    <col min="13064" max="13064" width="12.85546875" style="52" customWidth="1"/>
    <col min="13065" max="13065" width="12.7109375" style="52" customWidth="1"/>
    <col min="13066" max="13066" width="14.42578125" style="52" customWidth="1"/>
    <col min="13067" max="13067" width="13.5703125" style="52" customWidth="1"/>
    <col min="13068" max="13312" width="9.140625" style="52"/>
    <col min="13313" max="13313" width="2.7109375" style="52" customWidth="1"/>
    <col min="13314" max="13314" width="9.140625" style="52"/>
    <col min="13315" max="13315" width="40.28515625" style="52" bestFit="1" customWidth="1"/>
    <col min="13316" max="13316" width="10" style="52" customWidth="1"/>
    <col min="13317" max="13317" width="10.140625" style="52" customWidth="1"/>
    <col min="13318" max="13318" width="12.28515625" style="52" customWidth="1"/>
    <col min="13319" max="13319" width="16.28515625" style="52" customWidth="1"/>
    <col min="13320" max="13320" width="12.85546875" style="52" customWidth="1"/>
    <col min="13321" max="13321" width="12.7109375" style="52" customWidth="1"/>
    <col min="13322" max="13322" width="14.42578125" style="52" customWidth="1"/>
    <col min="13323" max="13323" width="13.5703125" style="52" customWidth="1"/>
    <col min="13324" max="13568" width="9.140625" style="52"/>
    <col min="13569" max="13569" width="2.7109375" style="52" customWidth="1"/>
    <col min="13570" max="13570" width="9.140625" style="52"/>
    <col min="13571" max="13571" width="40.28515625" style="52" bestFit="1" customWidth="1"/>
    <col min="13572" max="13572" width="10" style="52" customWidth="1"/>
    <col min="13573" max="13573" width="10.140625" style="52" customWidth="1"/>
    <col min="13574" max="13574" width="12.28515625" style="52" customWidth="1"/>
    <col min="13575" max="13575" width="16.28515625" style="52" customWidth="1"/>
    <col min="13576" max="13576" width="12.85546875" style="52" customWidth="1"/>
    <col min="13577" max="13577" width="12.7109375" style="52" customWidth="1"/>
    <col min="13578" max="13578" width="14.42578125" style="52" customWidth="1"/>
    <col min="13579" max="13579" width="13.5703125" style="52" customWidth="1"/>
    <col min="13580" max="13824" width="9.140625" style="52"/>
    <col min="13825" max="13825" width="2.7109375" style="52" customWidth="1"/>
    <col min="13826" max="13826" width="9.140625" style="52"/>
    <col min="13827" max="13827" width="40.28515625" style="52" bestFit="1" customWidth="1"/>
    <col min="13828" max="13828" width="10" style="52" customWidth="1"/>
    <col min="13829" max="13829" width="10.140625" style="52" customWidth="1"/>
    <col min="13830" max="13830" width="12.28515625" style="52" customWidth="1"/>
    <col min="13831" max="13831" width="16.28515625" style="52" customWidth="1"/>
    <col min="13832" max="13832" width="12.85546875" style="52" customWidth="1"/>
    <col min="13833" max="13833" width="12.7109375" style="52" customWidth="1"/>
    <col min="13834" max="13834" width="14.42578125" style="52" customWidth="1"/>
    <col min="13835" max="13835" width="13.5703125" style="52" customWidth="1"/>
    <col min="13836" max="14080" width="9.140625" style="52"/>
    <col min="14081" max="14081" width="2.7109375" style="52" customWidth="1"/>
    <col min="14082" max="14082" width="9.140625" style="52"/>
    <col min="14083" max="14083" width="40.28515625" style="52" bestFit="1" customWidth="1"/>
    <col min="14084" max="14084" width="10" style="52" customWidth="1"/>
    <col min="14085" max="14085" width="10.140625" style="52" customWidth="1"/>
    <col min="14086" max="14086" width="12.28515625" style="52" customWidth="1"/>
    <col min="14087" max="14087" width="16.28515625" style="52" customWidth="1"/>
    <col min="14088" max="14088" width="12.85546875" style="52" customWidth="1"/>
    <col min="14089" max="14089" width="12.7109375" style="52" customWidth="1"/>
    <col min="14090" max="14090" width="14.42578125" style="52" customWidth="1"/>
    <col min="14091" max="14091" width="13.5703125" style="52" customWidth="1"/>
    <col min="14092" max="14336" width="9.140625" style="52"/>
    <col min="14337" max="14337" width="2.7109375" style="52" customWidth="1"/>
    <col min="14338" max="14338" width="9.140625" style="52"/>
    <col min="14339" max="14339" width="40.28515625" style="52" bestFit="1" customWidth="1"/>
    <col min="14340" max="14340" width="10" style="52" customWidth="1"/>
    <col min="14341" max="14341" width="10.140625" style="52" customWidth="1"/>
    <col min="14342" max="14342" width="12.28515625" style="52" customWidth="1"/>
    <col min="14343" max="14343" width="16.28515625" style="52" customWidth="1"/>
    <col min="14344" max="14344" width="12.85546875" style="52" customWidth="1"/>
    <col min="14345" max="14345" width="12.7109375" style="52" customWidth="1"/>
    <col min="14346" max="14346" width="14.42578125" style="52" customWidth="1"/>
    <col min="14347" max="14347" width="13.5703125" style="52" customWidth="1"/>
    <col min="14348" max="14592" width="9.140625" style="52"/>
    <col min="14593" max="14593" width="2.7109375" style="52" customWidth="1"/>
    <col min="14594" max="14594" width="9.140625" style="52"/>
    <col min="14595" max="14595" width="40.28515625" style="52" bestFit="1" customWidth="1"/>
    <col min="14596" max="14596" width="10" style="52" customWidth="1"/>
    <col min="14597" max="14597" width="10.140625" style="52" customWidth="1"/>
    <col min="14598" max="14598" width="12.28515625" style="52" customWidth="1"/>
    <col min="14599" max="14599" width="16.28515625" style="52" customWidth="1"/>
    <col min="14600" max="14600" width="12.85546875" style="52" customWidth="1"/>
    <col min="14601" max="14601" width="12.7109375" style="52" customWidth="1"/>
    <col min="14602" max="14602" width="14.42578125" style="52" customWidth="1"/>
    <col min="14603" max="14603" width="13.5703125" style="52" customWidth="1"/>
    <col min="14604" max="14848" width="9.140625" style="52"/>
    <col min="14849" max="14849" width="2.7109375" style="52" customWidth="1"/>
    <col min="14850" max="14850" width="9.140625" style="52"/>
    <col min="14851" max="14851" width="40.28515625" style="52" bestFit="1" customWidth="1"/>
    <col min="14852" max="14852" width="10" style="52" customWidth="1"/>
    <col min="14853" max="14853" width="10.140625" style="52" customWidth="1"/>
    <col min="14854" max="14854" width="12.28515625" style="52" customWidth="1"/>
    <col min="14855" max="14855" width="16.28515625" style="52" customWidth="1"/>
    <col min="14856" max="14856" width="12.85546875" style="52" customWidth="1"/>
    <col min="14857" max="14857" width="12.7109375" style="52" customWidth="1"/>
    <col min="14858" max="14858" width="14.42578125" style="52" customWidth="1"/>
    <col min="14859" max="14859" width="13.5703125" style="52" customWidth="1"/>
    <col min="14860" max="15104" width="9.140625" style="52"/>
    <col min="15105" max="15105" width="2.7109375" style="52" customWidth="1"/>
    <col min="15106" max="15106" width="9.140625" style="52"/>
    <col min="15107" max="15107" width="40.28515625" style="52" bestFit="1" customWidth="1"/>
    <col min="15108" max="15108" width="10" style="52" customWidth="1"/>
    <col min="15109" max="15109" width="10.140625" style="52" customWidth="1"/>
    <col min="15110" max="15110" width="12.28515625" style="52" customWidth="1"/>
    <col min="15111" max="15111" width="16.28515625" style="52" customWidth="1"/>
    <col min="15112" max="15112" width="12.85546875" style="52" customWidth="1"/>
    <col min="15113" max="15113" width="12.7109375" style="52" customWidth="1"/>
    <col min="15114" max="15114" width="14.42578125" style="52" customWidth="1"/>
    <col min="15115" max="15115" width="13.5703125" style="52" customWidth="1"/>
    <col min="15116" max="15360" width="9.140625" style="52"/>
    <col min="15361" max="15361" width="2.7109375" style="52" customWidth="1"/>
    <col min="15362" max="15362" width="9.140625" style="52"/>
    <col min="15363" max="15363" width="40.28515625" style="52" bestFit="1" customWidth="1"/>
    <col min="15364" max="15364" width="10" style="52" customWidth="1"/>
    <col min="15365" max="15365" width="10.140625" style="52" customWidth="1"/>
    <col min="15366" max="15366" width="12.28515625" style="52" customWidth="1"/>
    <col min="15367" max="15367" width="16.28515625" style="52" customWidth="1"/>
    <col min="15368" max="15368" width="12.85546875" style="52" customWidth="1"/>
    <col min="15369" max="15369" width="12.7109375" style="52" customWidth="1"/>
    <col min="15370" max="15370" width="14.42578125" style="52" customWidth="1"/>
    <col min="15371" max="15371" width="13.5703125" style="52" customWidth="1"/>
    <col min="15372" max="15616" width="9.140625" style="52"/>
    <col min="15617" max="15617" width="2.7109375" style="52" customWidth="1"/>
    <col min="15618" max="15618" width="9.140625" style="52"/>
    <col min="15619" max="15619" width="40.28515625" style="52" bestFit="1" customWidth="1"/>
    <col min="15620" max="15620" width="10" style="52" customWidth="1"/>
    <col min="15621" max="15621" width="10.140625" style="52" customWidth="1"/>
    <col min="15622" max="15622" width="12.28515625" style="52" customWidth="1"/>
    <col min="15623" max="15623" width="16.28515625" style="52" customWidth="1"/>
    <col min="15624" max="15624" width="12.85546875" style="52" customWidth="1"/>
    <col min="15625" max="15625" width="12.7109375" style="52" customWidth="1"/>
    <col min="15626" max="15626" width="14.42578125" style="52" customWidth="1"/>
    <col min="15627" max="15627" width="13.5703125" style="52" customWidth="1"/>
    <col min="15628" max="15872" width="9.140625" style="52"/>
    <col min="15873" max="15873" width="2.7109375" style="52" customWidth="1"/>
    <col min="15874" max="15874" width="9.140625" style="52"/>
    <col min="15875" max="15875" width="40.28515625" style="52" bestFit="1" customWidth="1"/>
    <col min="15876" max="15876" width="10" style="52" customWidth="1"/>
    <col min="15877" max="15877" width="10.140625" style="52" customWidth="1"/>
    <col min="15878" max="15878" width="12.28515625" style="52" customWidth="1"/>
    <col min="15879" max="15879" width="16.28515625" style="52" customWidth="1"/>
    <col min="15880" max="15880" width="12.85546875" style="52" customWidth="1"/>
    <col min="15881" max="15881" width="12.7109375" style="52" customWidth="1"/>
    <col min="15882" max="15882" width="14.42578125" style="52" customWidth="1"/>
    <col min="15883" max="15883" width="13.5703125" style="52" customWidth="1"/>
    <col min="15884" max="16128" width="9.140625" style="52"/>
    <col min="16129" max="16129" width="2.7109375" style="52" customWidth="1"/>
    <col min="16130" max="16130" width="9.140625" style="52"/>
    <col min="16131" max="16131" width="40.28515625" style="52" bestFit="1" customWidth="1"/>
    <col min="16132" max="16132" width="10" style="52" customWidth="1"/>
    <col min="16133" max="16133" width="10.140625" style="52" customWidth="1"/>
    <col min="16134" max="16134" width="12.28515625" style="52" customWidth="1"/>
    <col min="16135" max="16135" width="16.28515625" style="52" customWidth="1"/>
    <col min="16136" max="16136" width="12.85546875" style="52" customWidth="1"/>
    <col min="16137" max="16137" width="12.7109375" style="52" customWidth="1"/>
    <col min="16138" max="16138" width="14.42578125" style="52" customWidth="1"/>
    <col min="16139" max="16139" width="13.5703125" style="52" customWidth="1"/>
    <col min="16140" max="16384" width="9.140625" style="52"/>
  </cols>
  <sheetData>
    <row r="1" spans="1:15" x14ac:dyDescent="0.2">
      <c r="D1" s="154"/>
      <c r="E1" s="155"/>
      <c r="F1" s="155"/>
      <c r="G1" s="155"/>
      <c r="H1" s="155"/>
      <c r="J1" s="152" t="s">
        <v>301</v>
      </c>
      <c r="K1" s="1092" t="str">
        <f>EBNUMBER</f>
        <v>EB-2016-0066</v>
      </c>
      <c r="L1" s="155"/>
    </row>
    <row r="2" spans="1:15" x14ac:dyDescent="0.2">
      <c r="D2" s="154"/>
      <c r="E2" s="155"/>
      <c r="F2" s="155"/>
      <c r="G2" s="155"/>
      <c r="H2" s="155"/>
      <c r="J2" s="152" t="s">
        <v>302</v>
      </c>
      <c r="K2" s="51"/>
      <c r="L2" s="155"/>
    </row>
    <row r="3" spans="1:15" x14ac:dyDescent="0.2">
      <c r="D3" s="154"/>
      <c r="E3" s="155"/>
      <c r="F3" s="155"/>
      <c r="G3" s="155"/>
      <c r="H3" s="155"/>
      <c r="J3" s="152" t="s">
        <v>303</v>
      </c>
      <c r="K3" s="51"/>
      <c r="L3" s="155"/>
    </row>
    <row r="4" spans="1:15" x14ac:dyDescent="0.2">
      <c r="D4" s="154"/>
      <c r="E4" s="155"/>
      <c r="F4" s="155"/>
      <c r="G4" s="155"/>
      <c r="H4" s="155"/>
      <c r="J4" s="152" t="s">
        <v>304</v>
      </c>
      <c r="K4" s="51"/>
      <c r="L4" s="155"/>
    </row>
    <row r="5" spans="1:15" x14ac:dyDescent="0.2">
      <c r="D5" s="154"/>
      <c r="E5" s="155"/>
      <c r="F5" s="155"/>
      <c r="G5" s="155"/>
      <c r="H5" s="155"/>
      <c r="J5" s="152" t="s">
        <v>305</v>
      </c>
      <c r="K5" s="1093"/>
      <c r="L5" s="155"/>
    </row>
    <row r="6" spans="1:15" x14ac:dyDescent="0.2">
      <c r="D6" s="154"/>
      <c r="E6" s="155"/>
      <c r="F6" s="155"/>
      <c r="G6" s="155"/>
      <c r="H6" s="155"/>
      <c r="J6" s="152"/>
      <c r="K6" s="1092"/>
      <c r="L6" s="155"/>
    </row>
    <row r="7" spans="1:15" x14ac:dyDescent="0.2">
      <c r="D7" s="154"/>
      <c r="E7" s="155"/>
      <c r="F7" s="155"/>
      <c r="G7" s="155"/>
      <c r="H7" s="239"/>
      <c r="J7" s="152" t="s">
        <v>306</v>
      </c>
      <c r="K7" s="1093"/>
      <c r="L7" s="239"/>
    </row>
    <row r="9" spans="1:15" ht="18" x14ac:dyDescent="0.2">
      <c r="A9" s="1609" t="s">
        <v>1443</v>
      </c>
      <c r="B9" s="1609"/>
      <c r="C9" s="1609"/>
      <c r="D9" s="1609"/>
      <c r="E9" s="1609"/>
      <c r="F9" s="1609"/>
      <c r="G9" s="1609"/>
      <c r="H9" s="1609"/>
      <c r="I9" s="1609"/>
      <c r="J9" s="1609"/>
      <c r="K9" s="1609"/>
    </row>
    <row r="10" spans="1:15" ht="18" x14ac:dyDescent="0.2">
      <c r="A10" s="1609" t="s">
        <v>2</v>
      </c>
      <c r="B10" s="1609"/>
      <c r="C10" s="1609"/>
      <c r="D10" s="1609"/>
      <c r="E10" s="1609"/>
      <c r="F10" s="1609"/>
      <c r="G10" s="1609"/>
      <c r="H10" s="1609"/>
      <c r="I10" s="1609"/>
      <c r="J10" s="1609"/>
      <c r="K10" s="1609"/>
    </row>
    <row r="11" spans="1:15" ht="24" customHeight="1" x14ac:dyDescent="0.2">
      <c r="A11" s="1680" t="s">
        <v>1058</v>
      </c>
      <c r="B11" s="1680"/>
      <c r="C11" s="1680"/>
      <c r="D11" s="1680"/>
      <c r="E11" s="1680"/>
      <c r="F11" s="1680"/>
      <c r="G11" s="1680"/>
      <c r="H11" s="1680"/>
      <c r="I11" s="1680"/>
      <c r="J11" s="1680"/>
      <c r="K11" s="1680"/>
    </row>
    <row r="12" spans="1:15" ht="39.75" customHeight="1" x14ac:dyDescent="0.2">
      <c r="A12" s="1067"/>
      <c r="B12" s="1067"/>
      <c r="C12" s="1067"/>
      <c r="D12" s="1067"/>
      <c r="E12" s="1067"/>
      <c r="F12" s="1067"/>
      <c r="G12" s="1067"/>
      <c r="H12" s="1067"/>
      <c r="I12" s="1067"/>
      <c r="J12" s="1067"/>
      <c r="K12" s="1067"/>
    </row>
    <row r="13" spans="1:15" ht="39.75" customHeight="1" x14ac:dyDescent="0.25">
      <c r="A13" s="1700" t="s">
        <v>1042</v>
      </c>
      <c r="B13" s="1701"/>
      <c r="C13" s="878"/>
      <c r="D13" s="1115"/>
      <c r="E13" s="1110"/>
      <c r="F13" s="1110"/>
      <c r="G13" s="1110"/>
      <c r="H13" s="1109"/>
      <c r="I13" s="1109"/>
      <c r="J13" s="1116" t="s">
        <v>1057</v>
      </c>
      <c r="K13" s="1116" t="s">
        <v>882</v>
      </c>
      <c r="L13" s="159"/>
      <c r="M13" s="1120"/>
      <c r="N13" s="1102"/>
      <c r="O13" s="1102"/>
    </row>
    <row r="14" spans="1:15" ht="39.75" customHeight="1" x14ac:dyDescent="0.25">
      <c r="A14" s="1693" t="s">
        <v>1101</v>
      </c>
      <c r="B14" s="1694"/>
      <c r="C14" s="1682" t="s">
        <v>1076</v>
      </c>
      <c r="D14" s="1652"/>
      <c r="E14" s="1652"/>
      <c r="F14" s="1652"/>
      <c r="G14" s="1652"/>
      <c r="H14" s="1652"/>
      <c r="I14" s="1652"/>
      <c r="J14" s="1118">
        <v>2014</v>
      </c>
      <c r="K14" s="1125" t="s">
        <v>891</v>
      </c>
      <c r="L14" s="159"/>
      <c r="M14" s="1121"/>
      <c r="N14" s="1102"/>
      <c r="O14" s="1102"/>
    </row>
    <row r="15" spans="1:15" ht="39.75" customHeight="1" x14ac:dyDescent="0.2">
      <c r="A15" s="1693" t="s">
        <v>1102</v>
      </c>
      <c r="B15" s="1694"/>
      <c r="C15" s="1682" t="s">
        <v>1077</v>
      </c>
      <c r="D15" s="1652"/>
      <c r="E15" s="1652"/>
      <c r="F15" s="1652"/>
      <c r="G15" s="1652"/>
      <c r="H15" s="1652"/>
      <c r="I15" s="1652"/>
      <c r="J15" s="1118">
        <v>2015</v>
      </c>
      <c r="K15" s="1125" t="s">
        <v>105</v>
      </c>
      <c r="L15" s="159"/>
      <c r="M15" s="1121"/>
      <c r="N15" s="331"/>
      <c r="O15" s="331"/>
    </row>
    <row r="16" spans="1:15" ht="15" x14ac:dyDescent="0.2">
      <c r="A16" s="1126"/>
      <c r="B16" s="1126"/>
      <c r="C16" s="1111"/>
      <c r="D16" s="1111"/>
      <c r="E16" s="1111"/>
      <c r="F16" s="1111"/>
      <c r="G16" s="1111"/>
      <c r="H16" s="1111"/>
      <c r="I16" s="1111"/>
      <c r="J16" s="1119"/>
      <c r="K16" s="1127"/>
      <c r="L16" s="159"/>
      <c r="M16" s="1121"/>
      <c r="N16" s="331"/>
      <c r="O16" s="331"/>
    </row>
    <row r="17" spans="1:11" ht="13.5" thickBot="1" x14ac:dyDescent="0.25"/>
    <row r="18" spans="1:11" ht="52.5" customHeight="1" x14ac:dyDescent="0.2">
      <c r="A18" s="1685" t="s">
        <v>3</v>
      </c>
      <c r="B18" s="1687" t="s">
        <v>235</v>
      </c>
      <c r="C18" s="245" t="s">
        <v>237</v>
      </c>
      <c r="D18" s="245" t="s">
        <v>395</v>
      </c>
      <c r="E18" s="245" t="s">
        <v>385</v>
      </c>
      <c r="F18" s="277" t="s">
        <v>1080</v>
      </c>
      <c r="G18" s="1697" t="s">
        <v>1081</v>
      </c>
      <c r="H18" s="277" t="s">
        <v>388</v>
      </c>
      <c r="I18" s="277" t="s">
        <v>1047</v>
      </c>
      <c r="J18" s="1697" t="s">
        <v>1088</v>
      </c>
      <c r="K18" s="277" t="s">
        <v>1055</v>
      </c>
    </row>
    <row r="19" spans="1:11" ht="54" customHeight="1" thickBot="1" x14ac:dyDescent="0.25">
      <c r="A19" s="1695"/>
      <c r="B19" s="1696"/>
      <c r="C19" s="278" t="s">
        <v>5</v>
      </c>
      <c r="D19" s="278" t="s">
        <v>7</v>
      </c>
      <c r="E19" s="278" t="s">
        <v>8</v>
      </c>
      <c r="F19" s="296" t="s">
        <v>1085</v>
      </c>
      <c r="G19" s="1698"/>
      <c r="H19" s="281" t="s">
        <v>382</v>
      </c>
      <c r="I19" s="281" t="s">
        <v>396</v>
      </c>
      <c r="J19" s="1699"/>
      <c r="K19" s="297" t="s">
        <v>1056</v>
      </c>
    </row>
    <row r="20" spans="1:11" ht="25.5" x14ac:dyDescent="0.2">
      <c r="A20" s="1058">
        <v>1611</v>
      </c>
      <c r="B20" s="172" t="s">
        <v>381</v>
      </c>
      <c r="C20" s="173"/>
      <c r="D20" s="298"/>
      <c r="E20" s="299">
        <f t="shared" ref="E20:E56" si="0">IF(D20=0,0,1/D20)</f>
        <v>0</v>
      </c>
      <c r="F20" s="191">
        <f>IF(D20=0,+'App.2-CC_DepExp_Yr2'!K20,+'App.2-CC_DepExp_Yr2'!K20+((C20*0.5)/D20))</f>
        <v>0</v>
      </c>
      <c r="G20" s="173"/>
      <c r="H20" s="191">
        <f t="shared" ref="H20:H57" si="1">IF(ISERROR(+F20-G20), 0, +F20-G20)</f>
        <v>0</v>
      </c>
      <c r="I20" s="191">
        <f>IF(D20=0,0,+(C20)/D20)</f>
        <v>0</v>
      </c>
      <c r="J20" s="173"/>
      <c r="K20" s="191">
        <f>IF(ISERROR(+I20+'App.2-CC_DepExp_Yr2'!K20-J20), 0, +I20+'App.2-CC_DepExp_Yr2'!K20-J20)</f>
        <v>0</v>
      </c>
    </row>
    <row r="21" spans="1:11" ht="25.5" x14ac:dyDescent="0.2">
      <c r="A21" s="1058">
        <v>1612</v>
      </c>
      <c r="B21" s="172" t="s">
        <v>442</v>
      </c>
      <c r="C21" s="173"/>
      <c r="D21" s="250"/>
      <c r="E21" s="251">
        <f t="shared" si="0"/>
        <v>0</v>
      </c>
      <c r="F21" s="191">
        <f>IF(D21=0,+'App.2-CC_DepExp_Yr2'!K21,+'App.2-CC_DepExp_Yr2'!K21+((C21*0.5)/D21))</f>
        <v>0</v>
      </c>
      <c r="G21" s="173"/>
      <c r="H21" s="191">
        <f t="shared" si="1"/>
        <v>0</v>
      </c>
      <c r="I21" s="191">
        <f t="shared" ref="I21:I57" si="2">IF(D21=0,0,+(C21)/D21)</f>
        <v>0</v>
      </c>
      <c r="J21" s="173"/>
      <c r="K21" s="191">
        <f>IF(ISERROR(+I21+'App.2-CC_DepExp_Yr2'!K21-J21), 0, +I21+'App.2-CC_DepExp_Yr2'!K21-J21)</f>
        <v>0</v>
      </c>
    </row>
    <row r="22" spans="1:11" x14ac:dyDescent="0.2">
      <c r="A22" s="178">
        <v>1805</v>
      </c>
      <c r="B22" s="179" t="s">
        <v>267</v>
      </c>
      <c r="C22" s="173"/>
      <c r="D22" s="250"/>
      <c r="E22" s="251">
        <f t="shared" si="0"/>
        <v>0</v>
      </c>
      <c r="F22" s="191">
        <f>IF(D22=0,+'App.2-CC_DepExp_Yr2'!K22,+'App.2-CC_DepExp_Yr2'!K22+((C22*0.5)/D22))</f>
        <v>0</v>
      </c>
      <c r="G22" s="173"/>
      <c r="H22" s="191">
        <f t="shared" si="1"/>
        <v>0</v>
      </c>
      <c r="I22" s="191">
        <f t="shared" si="2"/>
        <v>0</v>
      </c>
      <c r="J22" s="173"/>
      <c r="K22" s="191">
        <f>IF(ISERROR(+I22+'App.2-CC_DepExp_Yr2'!K22-J22), 0, +I22+'App.2-CC_DepExp_Yr2'!K22-J22)</f>
        <v>0</v>
      </c>
    </row>
    <row r="23" spans="1:11" x14ac:dyDescent="0.2">
      <c r="A23" s="1058">
        <v>1808</v>
      </c>
      <c r="B23" s="180" t="s">
        <v>268</v>
      </c>
      <c r="C23" s="173"/>
      <c r="D23" s="250"/>
      <c r="E23" s="251">
        <f t="shared" si="0"/>
        <v>0</v>
      </c>
      <c r="F23" s="191">
        <f>IF(D23=0,+'App.2-CC_DepExp_Yr2'!K23,+'App.2-CC_DepExp_Yr2'!K23+((C23*0.5)/D23))</f>
        <v>0</v>
      </c>
      <c r="G23" s="173"/>
      <c r="H23" s="191">
        <f t="shared" si="1"/>
        <v>0</v>
      </c>
      <c r="I23" s="191">
        <f t="shared" si="2"/>
        <v>0</v>
      </c>
      <c r="J23" s="173"/>
      <c r="K23" s="191">
        <f>IF(ISERROR(+I23+'App.2-CC_DepExp_Yr2'!K23-J23), 0, +I23+'App.2-CC_DepExp_Yr2'!K23-J23)</f>
        <v>0</v>
      </c>
    </row>
    <row r="24" spans="1:11" x14ac:dyDescent="0.2">
      <c r="A24" s="1058">
        <v>1810</v>
      </c>
      <c r="B24" s="180" t="s">
        <v>299</v>
      </c>
      <c r="C24" s="173"/>
      <c r="D24" s="250"/>
      <c r="E24" s="251">
        <f t="shared" si="0"/>
        <v>0</v>
      </c>
      <c r="F24" s="191">
        <f>IF(D24=0,+'App.2-CC_DepExp_Yr2'!K24,+'App.2-CC_DepExp_Yr2'!K24+((C24*0.5)/D24))</f>
        <v>0</v>
      </c>
      <c r="G24" s="173"/>
      <c r="H24" s="191">
        <f t="shared" si="1"/>
        <v>0</v>
      </c>
      <c r="I24" s="191">
        <f t="shared" si="2"/>
        <v>0</v>
      </c>
      <c r="J24" s="173"/>
      <c r="K24" s="191">
        <f>IF(ISERROR(+I24+'App.2-CC_DepExp_Yr2'!K24-J24), 0, +I24+'App.2-CC_DepExp_Yr2'!K24-J24)</f>
        <v>0</v>
      </c>
    </row>
    <row r="25" spans="1:11" x14ac:dyDescent="0.2">
      <c r="A25" s="1058">
        <v>1815</v>
      </c>
      <c r="B25" s="180" t="s">
        <v>269</v>
      </c>
      <c r="C25" s="173"/>
      <c r="D25" s="250"/>
      <c r="E25" s="251">
        <f t="shared" si="0"/>
        <v>0</v>
      </c>
      <c r="F25" s="191">
        <f>IF(D25=0,+'App.2-CC_DepExp_Yr2'!K25,+'App.2-CC_DepExp_Yr2'!K25+((C25*0.5)/D25))</f>
        <v>0</v>
      </c>
      <c r="G25" s="173"/>
      <c r="H25" s="191">
        <f t="shared" si="1"/>
        <v>0</v>
      </c>
      <c r="I25" s="191">
        <f t="shared" si="2"/>
        <v>0</v>
      </c>
      <c r="J25" s="173"/>
      <c r="K25" s="191">
        <f>IF(ISERROR(+I25+'App.2-CC_DepExp_Yr2'!K25-J25), 0, +I25+'App.2-CC_DepExp_Yr2'!K25-J25)</f>
        <v>0</v>
      </c>
    </row>
    <row r="26" spans="1:11" x14ac:dyDescent="0.2">
      <c r="A26" s="1058">
        <v>1820</v>
      </c>
      <c r="B26" s="172" t="s">
        <v>207</v>
      </c>
      <c r="C26" s="173"/>
      <c r="D26" s="250"/>
      <c r="E26" s="251">
        <f t="shared" si="0"/>
        <v>0</v>
      </c>
      <c r="F26" s="191">
        <f>IF(D26=0,+'App.2-CC_DepExp_Yr2'!K26,+'App.2-CC_DepExp_Yr2'!K26+((C26*0.5)/D26))</f>
        <v>0</v>
      </c>
      <c r="G26" s="173"/>
      <c r="H26" s="191">
        <f t="shared" si="1"/>
        <v>0</v>
      </c>
      <c r="I26" s="191">
        <f t="shared" si="2"/>
        <v>0</v>
      </c>
      <c r="J26" s="173"/>
      <c r="K26" s="191">
        <f>IF(ISERROR(+I26+'App.2-CC_DepExp_Yr2'!K26-J26), 0, +I26+'App.2-CC_DepExp_Yr2'!K26-J26)</f>
        <v>0</v>
      </c>
    </row>
    <row r="27" spans="1:11" x14ac:dyDescent="0.2">
      <c r="A27" s="1058">
        <v>1825</v>
      </c>
      <c r="B27" s="180" t="s">
        <v>270</v>
      </c>
      <c r="C27" s="173"/>
      <c r="D27" s="250"/>
      <c r="E27" s="251">
        <f t="shared" si="0"/>
        <v>0</v>
      </c>
      <c r="F27" s="191">
        <f>IF(D27=0,+'App.2-CC_DepExp_Yr2'!K27,+'App.2-CC_DepExp_Yr2'!K27+((C27*0.5)/D27))</f>
        <v>0</v>
      </c>
      <c r="G27" s="173"/>
      <c r="H27" s="191">
        <f t="shared" si="1"/>
        <v>0</v>
      </c>
      <c r="I27" s="191">
        <f t="shared" si="2"/>
        <v>0</v>
      </c>
      <c r="J27" s="173"/>
      <c r="K27" s="191">
        <f>IF(ISERROR(+I27+'App.2-CC_DepExp_Yr2'!K27-J27), 0, +I27+'App.2-CC_DepExp_Yr2'!K27-J27)</f>
        <v>0</v>
      </c>
    </row>
    <row r="28" spans="1:11" x14ac:dyDescent="0.2">
      <c r="A28" s="1058">
        <v>1830</v>
      </c>
      <c r="B28" s="180" t="s">
        <v>271</v>
      </c>
      <c r="C28" s="173"/>
      <c r="D28" s="250"/>
      <c r="E28" s="251">
        <f t="shared" si="0"/>
        <v>0</v>
      </c>
      <c r="F28" s="191">
        <f>IF(D28=0,+'App.2-CC_DepExp_Yr2'!K28,+'App.2-CC_DepExp_Yr2'!K28+((C28*0.5)/D28))</f>
        <v>0</v>
      </c>
      <c r="G28" s="173"/>
      <c r="H28" s="191">
        <f t="shared" si="1"/>
        <v>0</v>
      </c>
      <c r="I28" s="191">
        <f t="shared" si="2"/>
        <v>0</v>
      </c>
      <c r="J28" s="173"/>
      <c r="K28" s="191">
        <f>IF(ISERROR(+I28+'App.2-CC_DepExp_Yr2'!K28-J28), 0, +I28+'App.2-CC_DepExp_Yr2'!K28-J28)</f>
        <v>0</v>
      </c>
    </row>
    <row r="29" spans="1:11" x14ac:dyDescent="0.2">
      <c r="A29" s="1058">
        <v>1835</v>
      </c>
      <c r="B29" s="180" t="s">
        <v>208</v>
      </c>
      <c r="C29" s="173"/>
      <c r="D29" s="250"/>
      <c r="E29" s="251">
        <f t="shared" si="0"/>
        <v>0</v>
      </c>
      <c r="F29" s="191">
        <f>IF(D29=0,+'App.2-CC_DepExp_Yr2'!K29,+'App.2-CC_DepExp_Yr2'!K29+((C29*0.5)/D29))</f>
        <v>0</v>
      </c>
      <c r="G29" s="173"/>
      <c r="H29" s="191">
        <f t="shared" si="1"/>
        <v>0</v>
      </c>
      <c r="I29" s="191">
        <f t="shared" si="2"/>
        <v>0</v>
      </c>
      <c r="J29" s="173"/>
      <c r="K29" s="191">
        <f>IF(ISERROR(+I29+'App.2-CC_DepExp_Yr2'!K29-J29), 0, +I29+'App.2-CC_DepExp_Yr2'!K29-J29)</f>
        <v>0</v>
      </c>
    </row>
    <row r="30" spans="1:11" x14ac:dyDescent="0.2">
      <c r="A30" s="1058">
        <v>1840</v>
      </c>
      <c r="B30" s="180" t="s">
        <v>209</v>
      </c>
      <c r="C30" s="173"/>
      <c r="D30" s="250"/>
      <c r="E30" s="251">
        <f t="shared" si="0"/>
        <v>0</v>
      </c>
      <c r="F30" s="191">
        <f>IF(D30=0,+'App.2-CC_DepExp_Yr2'!K30,+'App.2-CC_DepExp_Yr2'!K30+((C30*0.5)/D30))</f>
        <v>0</v>
      </c>
      <c r="G30" s="173"/>
      <c r="H30" s="191">
        <f t="shared" si="1"/>
        <v>0</v>
      </c>
      <c r="I30" s="191">
        <f t="shared" si="2"/>
        <v>0</v>
      </c>
      <c r="J30" s="173"/>
      <c r="K30" s="191">
        <f>IF(ISERROR(+I30+'App.2-CC_DepExp_Yr2'!K30-J30), 0, +I30+'App.2-CC_DepExp_Yr2'!K30-J30)</f>
        <v>0</v>
      </c>
    </row>
    <row r="31" spans="1:11" x14ac:dyDescent="0.2">
      <c r="A31" s="1058">
        <v>1845</v>
      </c>
      <c r="B31" s="180" t="s">
        <v>210</v>
      </c>
      <c r="C31" s="173"/>
      <c r="D31" s="250"/>
      <c r="E31" s="251">
        <f t="shared" si="0"/>
        <v>0</v>
      </c>
      <c r="F31" s="191">
        <f>IF(D31=0,+'App.2-CC_DepExp_Yr2'!K31,+'App.2-CC_DepExp_Yr2'!K31+((C31*0.5)/D31))</f>
        <v>0</v>
      </c>
      <c r="G31" s="173"/>
      <c r="H31" s="191">
        <f t="shared" si="1"/>
        <v>0</v>
      </c>
      <c r="I31" s="191">
        <f t="shared" si="2"/>
        <v>0</v>
      </c>
      <c r="J31" s="173"/>
      <c r="K31" s="191">
        <f>IF(ISERROR(+I31+'App.2-CC_DepExp_Yr2'!K31-J31), 0, +I31+'App.2-CC_DepExp_Yr2'!K31-J31)</f>
        <v>0</v>
      </c>
    </row>
    <row r="32" spans="1:11" x14ac:dyDescent="0.2">
      <c r="A32" s="1058">
        <v>1850</v>
      </c>
      <c r="B32" s="180" t="s">
        <v>272</v>
      </c>
      <c r="C32" s="173"/>
      <c r="D32" s="250"/>
      <c r="E32" s="251">
        <f t="shared" si="0"/>
        <v>0</v>
      </c>
      <c r="F32" s="191">
        <f>IF(D32=0,+'App.2-CC_DepExp_Yr2'!K32,+'App.2-CC_DepExp_Yr2'!K32+((C32*0.5)/D32))</f>
        <v>0</v>
      </c>
      <c r="G32" s="173"/>
      <c r="H32" s="191">
        <f t="shared" si="1"/>
        <v>0</v>
      </c>
      <c r="I32" s="191">
        <f t="shared" si="2"/>
        <v>0</v>
      </c>
      <c r="J32" s="173"/>
      <c r="K32" s="191">
        <f>IF(ISERROR(+I32+'App.2-CC_DepExp_Yr2'!K32-J32), 0, +I32+'App.2-CC_DepExp_Yr2'!K32-J32)</f>
        <v>0</v>
      </c>
    </row>
    <row r="33" spans="1:11" x14ac:dyDescent="0.2">
      <c r="A33" s="1058">
        <v>1855</v>
      </c>
      <c r="B33" s="180" t="s">
        <v>211</v>
      </c>
      <c r="C33" s="173"/>
      <c r="D33" s="250"/>
      <c r="E33" s="251">
        <f t="shared" si="0"/>
        <v>0</v>
      </c>
      <c r="F33" s="191">
        <f>IF(D33=0,+'App.2-CC_DepExp_Yr2'!K33,+'App.2-CC_DepExp_Yr2'!K33+((C33*0.5)/D33))</f>
        <v>0</v>
      </c>
      <c r="G33" s="173"/>
      <c r="H33" s="191">
        <f t="shared" si="1"/>
        <v>0</v>
      </c>
      <c r="I33" s="191">
        <f t="shared" si="2"/>
        <v>0</v>
      </c>
      <c r="J33" s="173"/>
      <c r="K33" s="191">
        <f>IF(ISERROR(+I33+'App.2-CC_DepExp_Yr2'!K33-J33), 0, +I33+'App.2-CC_DepExp_Yr2'!K33-J33)</f>
        <v>0</v>
      </c>
    </row>
    <row r="34" spans="1:11" x14ac:dyDescent="0.2">
      <c r="A34" s="1058">
        <v>1860</v>
      </c>
      <c r="B34" s="180" t="s">
        <v>273</v>
      </c>
      <c r="C34" s="173"/>
      <c r="D34" s="250"/>
      <c r="E34" s="251">
        <f t="shared" si="0"/>
        <v>0</v>
      </c>
      <c r="F34" s="191">
        <f>IF(D34=0,+'App.2-CC_DepExp_Yr2'!K34,+'App.2-CC_DepExp_Yr2'!K34+((C34*0.5)/D34))</f>
        <v>0</v>
      </c>
      <c r="G34" s="173"/>
      <c r="H34" s="191">
        <f t="shared" si="1"/>
        <v>0</v>
      </c>
      <c r="I34" s="191">
        <f t="shared" si="2"/>
        <v>0</v>
      </c>
      <c r="J34" s="173"/>
      <c r="K34" s="191">
        <f>IF(ISERROR(+I34+'App.2-CC_DepExp_Yr2'!K34-J34), 0, +I34+'App.2-CC_DepExp_Yr2'!K34-J34)</f>
        <v>0</v>
      </c>
    </row>
    <row r="35" spans="1:11" x14ac:dyDescent="0.2">
      <c r="A35" s="178">
        <v>1860</v>
      </c>
      <c r="B35" s="179" t="s">
        <v>212</v>
      </c>
      <c r="C35" s="173"/>
      <c r="D35" s="250"/>
      <c r="E35" s="251">
        <f t="shared" si="0"/>
        <v>0</v>
      </c>
      <c r="F35" s="191">
        <f>IF(D35=0,+'App.2-CC_DepExp_Yr2'!K35,+'App.2-CC_DepExp_Yr2'!K35+((C35*0.5)/D35))</f>
        <v>0</v>
      </c>
      <c r="G35" s="173"/>
      <c r="H35" s="191">
        <f t="shared" si="1"/>
        <v>0</v>
      </c>
      <c r="I35" s="191">
        <f t="shared" si="2"/>
        <v>0</v>
      </c>
      <c r="J35" s="173"/>
      <c r="K35" s="191">
        <f>IF(ISERROR(+I35+'App.2-CC_DepExp_Yr2'!K35-J35), 0, +I35+'App.2-CC_DepExp_Yr2'!K35-J35)</f>
        <v>0</v>
      </c>
    </row>
    <row r="36" spans="1:11" x14ac:dyDescent="0.2">
      <c r="A36" s="178">
        <v>1905</v>
      </c>
      <c r="B36" s="179" t="s">
        <v>267</v>
      </c>
      <c r="C36" s="173"/>
      <c r="D36" s="250"/>
      <c r="E36" s="251">
        <f t="shared" si="0"/>
        <v>0</v>
      </c>
      <c r="F36" s="191">
        <f>IF(D36=0,+'App.2-CC_DepExp_Yr2'!K36,+'App.2-CC_DepExp_Yr2'!K36+((C36*0.5)/D36))</f>
        <v>0</v>
      </c>
      <c r="G36" s="173"/>
      <c r="H36" s="191">
        <f t="shared" si="1"/>
        <v>0</v>
      </c>
      <c r="I36" s="191">
        <f t="shared" si="2"/>
        <v>0</v>
      </c>
      <c r="J36" s="173"/>
      <c r="K36" s="191">
        <f>IF(ISERROR(+I36+'App.2-CC_DepExp_Yr2'!K36-J36), 0, +I36+'App.2-CC_DepExp_Yr2'!K36-J36)</f>
        <v>0</v>
      </c>
    </row>
    <row r="37" spans="1:11" x14ac:dyDescent="0.2">
      <c r="A37" s="1058">
        <v>1908</v>
      </c>
      <c r="B37" s="180" t="s">
        <v>275</v>
      </c>
      <c r="C37" s="173"/>
      <c r="D37" s="250"/>
      <c r="E37" s="251">
        <f t="shared" si="0"/>
        <v>0</v>
      </c>
      <c r="F37" s="191">
        <f>IF(D37=0,+'App.2-CC_DepExp_Yr2'!K37,+'App.2-CC_DepExp_Yr2'!K37+((C37*0.5)/D37))</f>
        <v>0</v>
      </c>
      <c r="G37" s="173"/>
      <c r="H37" s="191">
        <f t="shared" si="1"/>
        <v>0</v>
      </c>
      <c r="I37" s="191">
        <f t="shared" si="2"/>
        <v>0</v>
      </c>
      <c r="J37" s="173"/>
      <c r="K37" s="191">
        <f>IF(ISERROR(+I37+'App.2-CC_DepExp_Yr2'!K37-J37), 0, +I37+'App.2-CC_DepExp_Yr2'!K37-J37)</f>
        <v>0</v>
      </c>
    </row>
    <row r="38" spans="1:11" x14ac:dyDescent="0.2">
      <c r="A38" s="1058">
        <v>1910</v>
      </c>
      <c r="B38" s="180" t="s">
        <v>299</v>
      </c>
      <c r="C38" s="173"/>
      <c r="D38" s="250"/>
      <c r="E38" s="251">
        <f t="shared" si="0"/>
        <v>0</v>
      </c>
      <c r="F38" s="191">
        <f>IF(D38=0,+'App.2-CC_DepExp_Yr2'!K38,+'App.2-CC_DepExp_Yr2'!K38+((C38*0.5)/D38))</f>
        <v>0</v>
      </c>
      <c r="G38" s="173"/>
      <c r="H38" s="191">
        <f t="shared" si="1"/>
        <v>0</v>
      </c>
      <c r="I38" s="191">
        <f t="shared" si="2"/>
        <v>0</v>
      </c>
      <c r="J38" s="173"/>
      <c r="K38" s="191">
        <f>IF(ISERROR(+I38+'App.2-CC_DepExp_Yr2'!K38-J38), 0, +I38+'App.2-CC_DepExp_Yr2'!K38-J38)</f>
        <v>0</v>
      </c>
    </row>
    <row r="39" spans="1:11" x14ac:dyDescent="0.2">
      <c r="A39" s="1058">
        <v>1915</v>
      </c>
      <c r="B39" s="180" t="s">
        <v>213</v>
      </c>
      <c r="C39" s="173"/>
      <c r="D39" s="250"/>
      <c r="E39" s="251">
        <f t="shared" si="0"/>
        <v>0</v>
      </c>
      <c r="F39" s="191">
        <f>IF(D39=0,+'App.2-CC_DepExp_Yr2'!K39,+'App.2-CC_DepExp_Yr2'!K39+((C39*0.5)/D39))</f>
        <v>0</v>
      </c>
      <c r="G39" s="173"/>
      <c r="H39" s="191">
        <f t="shared" si="1"/>
        <v>0</v>
      </c>
      <c r="I39" s="191">
        <f t="shared" si="2"/>
        <v>0</v>
      </c>
      <c r="J39" s="173"/>
      <c r="K39" s="191">
        <f>IF(ISERROR(+I39+'App.2-CC_DepExp_Yr2'!K39-J39), 0, +I39+'App.2-CC_DepExp_Yr2'!K39-J39)</f>
        <v>0</v>
      </c>
    </row>
    <row r="40" spans="1:11" x14ac:dyDescent="0.2">
      <c r="A40" s="1058">
        <v>1915</v>
      </c>
      <c r="B40" s="180" t="s">
        <v>214</v>
      </c>
      <c r="C40" s="173"/>
      <c r="D40" s="250"/>
      <c r="E40" s="251">
        <f t="shared" si="0"/>
        <v>0</v>
      </c>
      <c r="F40" s="191">
        <f>IF(D40=0,+'App.2-CC_DepExp_Yr2'!K40,+'App.2-CC_DepExp_Yr2'!K40+((C40*0.5)/D40))</f>
        <v>0</v>
      </c>
      <c r="G40" s="173"/>
      <c r="H40" s="191">
        <f t="shared" si="1"/>
        <v>0</v>
      </c>
      <c r="I40" s="191">
        <f t="shared" si="2"/>
        <v>0</v>
      </c>
      <c r="J40" s="173"/>
      <c r="K40" s="191">
        <f>IF(ISERROR(+I40+'App.2-CC_DepExp_Yr2'!K40-J40), 0, +I40+'App.2-CC_DepExp_Yr2'!K40-J40)</f>
        <v>0</v>
      </c>
    </row>
    <row r="41" spans="1:11" x14ac:dyDescent="0.2">
      <c r="A41" s="1058">
        <v>1920</v>
      </c>
      <c r="B41" s="180" t="s">
        <v>215</v>
      </c>
      <c r="C41" s="173"/>
      <c r="D41" s="250"/>
      <c r="E41" s="251">
        <f t="shared" si="0"/>
        <v>0</v>
      </c>
      <c r="F41" s="191">
        <f>IF(D41=0,+'App.2-CC_DepExp_Yr2'!K41,+'App.2-CC_DepExp_Yr2'!K41+((C41*0.5)/D41))</f>
        <v>0</v>
      </c>
      <c r="G41" s="173"/>
      <c r="H41" s="191">
        <f t="shared" si="1"/>
        <v>0</v>
      </c>
      <c r="I41" s="191">
        <f t="shared" si="2"/>
        <v>0</v>
      </c>
      <c r="J41" s="173"/>
      <c r="K41" s="191">
        <f>IF(ISERROR(+I41+'App.2-CC_DepExp_Yr2'!K41-J41), 0, +I41+'App.2-CC_DepExp_Yr2'!K41-J41)</f>
        <v>0</v>
      </c>
    </row>
    <row r="42" spans="1:11" x14ac:dyDescent="0.2">
      <c r="A42" s="185">
        <v>1920</v>
      </c>
      <c r="B42" s="172" t="s">
        <v>217</v>
      </c>
      <c r="C42" s="173"/>
      <c r="D42" s="250"/>
      <c r="E42" s="251">
        <f t="shared" si="0"/>
        <v>0</v>
      </c>
      <c r="F42" s="191">
        <f>IF(D42=0,+'App.2-CC_DepExp_Yr2'!K42,+'App.2-CC_DepExp_Yr2'!K42+((C42*0.5)/D42))</f>
        <v>0</v>
      </c>
      <c r="G42" s="173"/>
      <c r="H42" s="191">
        <f t="shared" si="1"/>
        <v>0</v>
      </c>
      <c r="I42" s="191">
        <f t="shared" si="2"/>
        <v>0</v>
      </c>
      <c r="J42" s="173"/>
      <c r="K42" s="191">
        <f>IF(ISERROR(+I42+'App.2-CC_DepExp_Yr2'!K42-J42), 0, +I42+'App.2-CC_DepExp_Yr2'!K42-J42)</f>
        <v>0</v>
      </c>
    </row>
    <row r="43" spans="1:11" x14ac:dyDescent="0.2">
      <c r="A43" s="185">
        <v>1920</v>
      </c>
      <c r="B43" s="172" t="s">
        <v>216</v>
      </c>
      <c r="C43" s="173"/>
      <c r="D43" s="250"/>
      <c r="E43" s="251">
        <f t="shared" si="0"/>
        <v>0</v>
      </c>
      <c r="F43" s="191">
        <f>IF(D43=0,+'App.2-CC_DepExp_Yr2'!K43,+'App.2-CC_DepExp_Yr2'!K43+((C43*0.5)/D43))</f>
        <v>0</v>
      </c>
      <c r="G43" s="173"/>
      <c r="H43" s="191">
        <f t="shared" si="1"/>
        <v>0</v>
      </c>
      <c r="I43" s="191">
        <f t="shared" si="2"/>
        <v>0</v>
      </c>
      <c r="J43" s="173"/>
      <c r="K43" s="191">
        <f>IF(ISERROR(+I43+'App.2-CC_DepExp_Yr2'!K43-J43), 0, +I43+'App.2-CC_DepExp_Yr2'!K43-J43)</f>
        <v>0</v>
      </c>
    </row>
    <row r="44" spans="1:11" x14ac:dyDescent="0.2">
      <c r="A44" s="1058">
        <v>1930</v>
      </c>
      <c r="B44" s="180" t="s">
        <v>286</v>
      </c>
      <c r="C44" s="173"/>
      <c r="D44" s="250"/>
      <c r="E44" s="251">
        <f t="shared" si="0"/>
        <v>0</v>
      </c>
      <c r="F44" s="191">
        <f>IF(D44=0,+'App.2-CC_DepExp_Yr2'!K44,+'App.2-CC_DepExp_Yr2'!K44+((C44*0.5)/D44))</f>
        <v>0</v>
      </c>
      <c r="G44" s="173"/>
      <c r="H44" s="191">
        <f t="shared" si="1"/>
        <v>0</v>
      </c>
      <c r="I44" s="191">
        <f t="shared" si="2"/>
        <v>0</v>
      </c>
      <c r="J44" s="173"/>
      <c r="K44" s="191">
        <f>IF(ISERROR(+I44+'App.2-CC_DepExp_Yr2'!K44-J44), 0, +I44+'App.2-CC_DepExp_Yr2'!K44-J44)</f>
        <v>0</v>
      </c>
    </row>
    <row r="45" spans="1:11" x14ac:dyDescent="0.2">
      <c r="A45" s="1058">
        <v>1935</v>
      </c>
      <c r="B45" s="180" t="s">
        <v>287</v>
      </c>
      <c r="C45" s="173"/>
      <c r="D45" s="250"/>
      <c r="E45" s="251">
        <f t="shared" si="0"/>
        <v>0</v>
      </c>
      <c r="F45" s="191">
        <f>IF(D45=0,+'App.2-CC_DepExp_Yr2'!K45,+'App.2-CC_DepExp_Yr2'!K45+((C45*0.5)/D45))</f>
        <v>0</v>
      </c>
      <c r="G45" s="173"/>
      <c r="H45" s="191">
        <f t="shared" si="1"/>
        <v>0</v>
      </c>
      <c r="I45" s="191">
        <f t="shared" si="2"/>
        <v>0</v>
      </c>
      <c r="J45" s="173"/>
      <c r="K45" s="191">
        <f>IF(ISERROR(+I45+'App.2-CC_DepExp_Yr2'!K45-J45), 0, +I45+'App.2-CC_DepExp_Yr2'!K45-J45)</f>
        <v>0</v>
      </c>
    </row>
    <row r="46" spans="1:11" x14ac:dyDescent="0.2">
      <c r="A46" s="1058">
        <v>1940</v>
      </c>
      <c r="B46" s="180" t="s">
        <v>288</v>
      </c>
      <c r="C46" s="173"/>
      <c r="D46" s="250"/>
      <c r="E46" s="251">
        <f t="shared" si="0"/>
        <v>0</v>
      </c>
      <c r="F46" s="191">
        <f>IF(D46=0,+'App.2-CC_DepExp_Yr2'!K46,+'App.2-CC_DepExp_Yr2'!K46+((C46*0.5)/D46))</f>
        <v>0</v>
      </c>
      <c r="G46" s="173"/>
      <c r="H46" s="191">
        <f t="shared" si="1"/>
        <v>0</v>
      </c>
      <c r="I46" s="191">
        <f t="shared" si="2"/>
        <v>0</v>
      </c>
      <c r="J46" s="173"/>
      <c r="K46" s="191">
        <f>IF(ISERROR(+I46+'App.2-CC_DepExp_Yr2'!K46-J46), 0, +I46+'App.2-CC_DepExp_Yr2'!K46-J46)</f>
        <v>0</v>
      </c>
    </row>
    <row r="47" spans="1:11" x14ac:dyDescent="0.2">
      <c r="A47" s="1058">
        <v>1945</v>
      </c>
      <c r="B47" s="180" t="s">
        <v>289</v>
      </c>
      <c r="C47" s="173"/>
      <c r="D47" s="250"/>
      <c r="E47" s="251">
        <f t="shared" si="0"/>
        <v>0</v>
      </c>
      <c r="F47" s="191">
        <f>IF(D47=0,+'App.2-CC_DepExp_Yr2'!K47,+'App.2-CC_DepExp_Yr2'!K47+((C47*0.5)/D47))</f>
        <v>0</v>
      </c>
      <c r="G47" s="173"/>
      <c r="H47" s="191">
        <f t="shared" si="1"/>
        <v>0</v>
      </c>
      <c r="I47" s="191">
        <f t="shared" si="2"/>
        <v>0</v>
      </c>
      <c r="J47" s="173"/>
      <c r="K47" s="191">
        <f>IF(ISERROR(+I47+'App.2-CC_DepExp_Yr2'!K47-J47), 0, +I47+'App.2-CC_DepExp_Yr2'!K47-J47)</f>
        <v>0</v>
      </c>
    </row>
    <row r="48" spans="1:11" x14ac:dyDescent="0.2">
      <c r="A48" s="1058">
        <v>1950</v>
      </c>
      <c r="B48" s="180" t="s">
        <v>218</v>
      </c>
      <c r="C48" s="173"/>
      <c r="D48" s="250"/>
      <c r="E48" s="251">
        <f t="shared" si="0"/>
        <v>0</v>
      </c>
      <c r="F48" s="191">
        <f>IF(D48=0,+'App.2-CC_DepExp_Yr2'!K48,+'App.2-CC_DepExp_Yr2'!K48+((C48*0.5)/D48))</f>
        <v>0</v>
      </c>
      <c r="G48" s="173"/>
      <c r="H48" s="191">
        <f t="shared" si="1"/>
        <v>0</v>
      </c>
      <c r="I48" s="191">
        <f t="shared" si="2"/>
        <v>0</v>
      </c>
      <c r="J48" s="173"/>
      <c r="K48" s="191">
        <f>IF(ISERROR(+I48+'App.2-CC_DepExp_Yr2'!K48-J48), 0, +I48+'App.2-CC_DepExp_Yr2'!K48-J48)</f>
        <v>0</v>
      </c>
    </row>
    <row r="49" spans="1:11" x14ac:dyDescent="0.2">
      <c r="A49" s="1058">
        <v>1955</v>
      </c>
      <c r="B49" s="180" t="s">
        <v>290</v>
      </c>
      <c r="C49" s="173"/>
      <c r="D49" s="250"/>
      <c r="E49" s="251">
        <f t="shared" si="0"/>
        <v>0</v>
      </c>
      <c r="F49" s="191">
        <f>IF(D49=0,+'App.2-CC_DepExp_Yr2'!K49,+'App.2-CC_DepExp_Yr2'!K49+((C49*0.5)/D49))</f>
        <v>0</v>
      </c>
      <c r="G49" s="173"/>
      <c r="H49" s="191">
        <f t="shared" si="1"/>
        <v>0</v>
      </c>
      <c r="I49" s="191">
        <f t="shared" si="2"/>
        <v>0</v>
      </c>
      <c r="J49" s="173"/>
      <c r="K49" s="191">
        <f>IF(ISERROR(+I49+'App.2-CC_DepExp_Yr2'!K49-J49), 0, +I49+'App.2-CC_DepExp_Yr2'!K49-J49)</f>
        <v>0</v>
      </c>
    </row>
    <row r="50" spans="1:11" x14ac:dyDescent="0.2">
      <c r="A50" s="181">
        <v>1955</v>
      </c>
      <c r="B50" s="184" t="s">
        <v>219</v>
      </c>
      <c r="C50" s="173"/>
      <c r="D50" s="250"/>
      <c r="E50" s="251">
        <f t="shared" si="0"/>
        <v>0</v>
      </c>
      <c r="F50" s="191">
        <f>IF(D50=0,+'App.2-CC_DepExp_Yr2'!K50,+'App.2-CC_DepExp_Yr2'!K50+((C50*0.5)/D50))</f>
        <v>0</v>
      </c>
      <c r="G50" s="173"/>
      <c r="H50" s="191">
        <f t="shared" si="1"/>
        <v>0</v>
      </c>
      <c r="I50" s="191">
        <f t="shared" si="2"/>
        <v>0</v>
      </c>
      <c r="J50" s="173"/>
      <c r="K50" s="191">
        <f>IF(ISERROR(+I50+'App.2-CC_DepExp_Yr2'!K50-J50), 0, +I50+'App.2-CC_DepExp_Yr2'!K50-J50)</f>
        <v>0</v>
      </c>
    </row>
    <row r="51" spans="1:11" x14ac:dyDescent="0.2">
      <c r="A51" s="185">
        <v>1960</v>
      </c>
      <c r="B51" s="172" t="s">
        <v>220</v>
      </c>
      <c r="C51" s="173"/>
      <c r="D51" s="250"/>
      <c r="E51" s="251">
        <f t="shared" si="0"/>
        <v>0</v>
      </c>
      <c r="F51" s="191">
        <f>IF(D51=0,+'App.2-CC_DepExp_Yr2'!K51,+'App.2-CC_DepExp_Yr2'!K51+((C51*0.5)/D51))</f>
        <v>0</v>
      </c>
      <c r="G51" s="173"/>
      <c r="H51" s="191">
        <f t="shared" si="1"/>
        <v>0</v>
      </c>
      <c r="I51" s="191">
        <f t="shared" si="2"/>
        <v>0</v>
      </c>
      <c r="J51" s="173"/>
      <c r="K51" s="191">
        <f>IF(ISERROR(+I51+'App.2-CC_DepExp_Yr2'!K51-J51), 0, +I51+'App.2-CC_DepExp_Yr2'!K51-J51)</f>
        <v>0</v>
      </c>
    </row>
    <row r="52" spans="1:11" x14ac:dyDescent="0.2">
      <c r="A52" s="181">
        <v>1970</v>
      </c>
      <c r="B52" s="256" t="s">
        <v>501</v>
      </c>
      <c r="C52" s="173"/>
      <c r="D52" s="250"/>
      <c r="E52" s="251">
        <f t="shared" si="0"/>
        <v>0</v>
      </c>
      <c r="F52" s="191">
        <f>IF(D52=0,+'App.2-CC_DepExp_Yr2'!K52,+'App.2-CC_DepExp_Yr2'!K52+((C52*0.5)/D52))</f>
        <v>0</v>
      </c>
      <c r="G52" s="173"/>
      <c r="H52" s="191">
        <f t="shared" si="1"/>
        <v>0</v>
      </c>
      <c r="I52" s="191">
        <f t="shared" si="2"/>
        <v>0</v>
      </c>
      <c r="J52" s="173"/>
      <c r="K52" s="191">
        <f>IF(ISERROR(+I52+'App.2-CC_DepExp_Yr2'!K52-J52), 0, +I52+'App.2-CC_DepExp_Yr2'!K52-J52)</f>
        <v>0</v>
      </c>
    </row>
    <row r="53" spans="1:11" x14ac:dyDescent="0.2">
      <c r="A53" s="1058">
        <v>1975</v>
      </c>
      <c r="B53" s="180" t="s">
        <v>291</v>
      </c>
      <c r="C53" s="173"/>
      <c r="D53" s="250"/>
      <c r="E53" s="251">
        <f t="shared" si="0"/>
        <v>0</v>
      </c>
      <c r="F53" s="191">
        <f>IF(D53=0,+'App.2-CC_DepExp_Yr2'!K53,+'App.2-CC_DepExp_Yr2'!K53+((C53*0.5)/D53))</f>
        <v>0</v>
      </c>
      <c r="G53" s="173"/>
      <c r="H53" s="191">
        <f t="shared" si="1"/>
        <v>0</v>
      </c>
      <c r="I53" s="191">
        <f t="shared" si="2"/>
        <v>0</v>
      </c>
      <c r="J53" s="173"/>
      <c r="K53" s="191">
        <f>IF(ISERROR(+I53+'App.2-CC_DepExp_Yr2'!K53-J53), 0, +I53+'App.2-CC_DepExp_Yr2'!K53-J53)</f>
        <v>0</v>
      </c>
    </row>
    <row r="54" spans="1:11" x14ac:dyDescent="0.2">
      <c r="A54" s="1058">
        <v>1980</v>
      </c>
      <c r="B54" s="180" t="s">
        <v>292</v>
      </c>
      <c r="C54" s="173"/>
      <c r="D54" s="250"/>
      <c r="E54" s="251">
        <f t="shared" si="0"/>
        <v>0</v>
      </c>
      <c r="F54" s="191">
        <f>IF(D54=0,+'App.2-CC_DepExp_Yr2'!K54,+'App.2-CC_DepExp_Yr2'!K54+((C54*0.5)/D54))</f>
        <v>0</v>
      </c>
      <c r="G54" s="173"/>
      <c r="H54" s="191">
        <f t="shared" si="1"/>
        <v>0</v>
      </c>
      <c r="I54" s="191">
        <f t="shared" si="2"/>
        <v>0</v>
      </c>
      <c r="J54" s="173"/>
      <c r="K54" s="191">
        <f>IF(ISERROR(+I54+'App.2-CC_DepExp_Yr2'!K54-J54), 0, +I54+'App.2-CC_DepExp_Yr2'!K54-J54)</f>
        <v>0</v>
      </c>
    </row>
    <row r="55" spans="1:11" x14ac:dyDescent="0.2">
      <c r="A55" s="1058">
        <v>1985</v>
      </c>
      <c r="B55" s="180" t="s">
        <v>293</v>
      </c>
      <c r="C55" s="173"/>
      <c r="D55" s="250"/>
      <c r="E55" s="251">
        <f t="shared" si="0"/>
        <v>0</v>
      </c>
      <c r="F55" s="191">
        <f>IF(D55=0,+'App.2-CC_DepExp_Yr2'!K55,+'App.2-CC_DepExp_Yr2'!K55+((C55*0.5)/D55))</f>
        <v>0</v>
      </c>
      <c r="G55" s="173"/>
      <c r="H55" s="191">
        <f t="shared" si="1"/>
        <v>0</v>
      </c>
      <c r="I55" s="191">
        <f t="shared" si="2"/>
        <v>0</v>
      </c>
      <c r="J55" s="173"/>
      <c r="K55" s="191">
        <f>IF(ISERROR(+I55+'App.2-CC_DepExp_Yr2'!K55-J55), 0, +I55+'App.2-CC_DepExp_Yr2'!K55-J55)</f>
        <v>0</v>
      </c>
    </row>
    <row r="56" spans="1:11" x14ac:dyDescent="0.2">
      <c r="A56" s="1058">
        <v>1990</v>
      </c>
      <c r="B56" s="1061" t="s">
        <v>502</v>
      </c>
      <c r="C56" s="173"/>
      <c r="D56" s="250"/>
      <c r="E56" s="251">
        <f t="shared" si="0"/>
        <v>0</v>
      </c>
      <c r="F56" s="191">
        <f>IF(D56=0,+'App.2-CC_DepExp_Yr2'!K56,+'App.2-CC_DepExp_Yr2'!K56+((C56*0.5)/D56))</f>
        <v>0</v>
      </c>
      <c r="G56" s="173"/>
      <c r="H56" s="191">
        <f t="shared" si="1"/>
        <v>0</v>
      </c>
      <c r="I56" s="191">
        <f t="shared" si="2"/>
        <v>0</v>
      </c>
      <c r="J56" s="173"/>
      <c r="K56" s="191">
        <f>IF(ISERROR(+I56+'App.2-CC_DepExp_Yr2'!K56-J56), 0, +I56+'App.2-CC_DepExp_Yr2'!K56-J56)</f>
        <v>0</v>
      </c>
    </row>
    <row r="57" spans="1:11" ht="13.5" thickBot="1" x14ac:dyDescent="0.25">
      <c r="A57" s="1058">
        <v>1995</v>
      </c>
      <c r="B57" s="180" t="s">
        <v>294</v>
      </c>
      <c r="C57" s="259"/>
      <c r="D57" s="259"/>
      <c r="E57" s="306">
        <f>IF(D57=0,0,1/D57)</f>
        <v>0</v>
      </c>
      <c r="F57" s="285">
        <f>IF(D57=0,+'App.2-CC_DepExp_Yr2'!K57,+'App.2-CC_DepExp_Yr2'!K57+((C57*0.5)/D57))</f>
        <v>0</v>
      </c>
      <c r="G57" s="257"/>
      <c r="H57" s="285">
        <f t="shared" si="1"/>
        <v>0</v>
      </c>
      <c r="I57" s="285">
        <f t="shared" si="2"/>
        <v>0</v>
      </c>
      <c r="J57" s="257"/>
      <c r="K57" s="285">
        <f>IF(ISERROR(+I57+'App.2-CC_DepExp_Yr2'!K57-J57), 0, +I57+'App.2-CC_DepExp_Yr2'!K57-J57)</f>
        <v>0</v>
      </c>
    </row>
    <row r="58" spans="1:11" ht="14.25" thickTop="1" thickBot="1" x14ac:dyDescent="0.25">
      <c r="A58" s="300"/>
      <c r="B58" s="301" t="s">
        <v>295</v>
      </c>
      <c r="C58" s="307">
        <f>SUM(C20:C57)</f>
        <v>0</v>
      </c>
      <c r="D58" s="308"/>
      <c r="E58" s="309"/>
      <c r="F58" s="310">
        <f t="shared" ref="F58:K58" si="3">SUM(F20:F57)</f>
        <v>0</v>
      </c>
      <c r="G58" s="286">
        <f t="shared" si="3"/>
        <v>0</v>
      </c>
      <c r="H58" s="286">
        <f t="shared" si="3"/>
        <v>0</v>
      </c>
      <c r="I58" s="286">
        <f t="shared" si="3"/>
        <v>0</v>
      </c>
      <c r="J58" s="286">
        <f t="shared" si="3"/>
        <v>0</v>
      </c>
      <c r="K58" s="286">
        <f t="shared" si="3"/>
        <v>0</v>
      </c>
    </row>
    <row r="59" spans="1:11" ht="32.25" customHeight="1" x14ac:dyDescent="0.2">
      <c r="B59" s="1707" t="s">
        <v>1078</v>
      </c>
      <c r="C59" s="1707"/>
      <c r="D59" s="1707"/>
      <c r="E59" s="1708"/>
      <c r="F59" s="173"/>
    </row>
    <row r="60" spans="1:11" ht="17.25" customHeight="1" x14ac:dyDescent="0.2">
      <c r="B60" s="290" t="s">
        <v>937</v>
      </c>
      <c r="C60" s="312"/>
      <c r="D60" s="312"/>
      <c r="E60" s="312"/>
      <c r="F60" s="191">
        <f>+F59+F58</f>
        <v>0</v>
      </c>
    </row>
    <row r="61" spans="1:11" ht="17.25" customHeight="1" x14ac:dyDescent="0.2">
      <c r="B61" s="290"/>
      <c r="C61" s="312"/>
      <c r="D61" s="312"/>
      <c r="E61" s="312"/>
      <c r="F61" s="291"/>
    </row>
    <row r="62" spans="1:11" x14ac:dyDescent="0.2">
      <c r="A62" s="152" t="s">
        <v>11</v>
      </c>
      <c r="H62" s="56"/>
    </row>
    <row r="63" spans="1:11" ht="27" customHeight="1" x14ac:dyDescent="0.2">
      <c r="A63" s="305">
        <v>1</v>
      </c>
      <c r="B63" s="1593" t="s">
        <v>424</v>
      </c>
      <c r="C63" s="1593"/>
      <c r="D63" s="1593"/>
      <c r="E63" s="1593"/>
      <c r="F63" s="1593"/>
      <c r="G63" s="1593"/>
      <c r="H63" s="1593"/>
      <c r="I63" s="1593"/>
      <c r="J63" s="1593"/>
      <c r="K63" s="1593"/>
    </row>
    <row r="64" spans="1:11" x14ac:dyDescent="0.2">
      <c r="A64" s="305">
        <v>2</v>
      </c>
      <c r="B64" s="1593" t="s">
        <v>865</v>
      </c>
      <c r="C64" s="1593"/>
      <c r="D64" s="1593"/>
      <c r="E64" s="1593"/>
      <c r="F64" s="1593"/>
      <c r="G64" s="1593"/>
      <c r="H64" s="1593"/>
      <c r="I64" s="1593"/>
      <c r="J64" s="1593"/>
      <c r="K64" s="1593"/>
    </row>
    <row r="65" spans="1:15" ht="27.75" customHeight="1" x14ac:dyDescent="0.2">
      <c r="A65" s="270">
        <v>3</v>
      </c>
      <c r="B65" s="1590" t="s">
        <v>481</v>
      </c>
      <c r="C65" s="1590"/>
      <c r="D65" s="1590"/>
      <c r="E65" s="1590"/>
      <c r="F65" s="1590"/>
      <c r="G65" s="1590"/>
      <c r="H65" s="1590"/>
      <c r="I65" s="1590"/>
      <c r="J65" s="1590"/>
      <c r="K65" s="1590"/>
      <c r="L65" s="1066"/>
      <c r="M65" s="1066"/>
      <c r="N65" s="1066"/>
      <c r="O65" s="1066"/>
    </row>
    <row r="66" spans="1:15" x14ac:dyDescent="0.2">
      <c r="A66" s="270"/>
      <c r="B66" s="1051"/>
      <c r="C66" s="1051"/>
      <c r="D66" s="1051"/>
      <c r="E66" s="1051"/>
      <c r="F66" s="1051"/>
      <c r="G66" s="1051"/>
      <c r="H66" s="1051"/>
      <c r="I66" s="1051"/>
      <c r="J66" s="1051"/>
      <c r="K66" s="1051"/>
      <c r="L66" s="1066"/>
      <c r="M66" s="1066"/>
      <c r="N66" s="1066"/>
      <c r="O66" s="1066"/>
    </row>
    <row r="67" spans="1:15" x14ac:dyDescent="0.2">
      <c r="A67" s="152" t="s">
        <v>226</v>
      </c>
      <c r="B67" s="1684" t="s">
        <v>190</v>
      </c>
      <c r="C67" s="1684"/>
      <c r="D67" s="1684"/>
      <c r="E67" s="1684"/>
      <c r="F67" s="1684"/>
      <c r="G67" s="1684"/>
      <c r="H67" s="1684"/>
      <c r="I67" s="1684"/>
      <c r="J67" s="1684"/>
      <c r="K67" s="1684"/>
    </row>
    <row r="68" spans="1:15" ht="12.75" customHeight="1" x14ac:dyDescent="0.2">
      <c r="B68" s="1684"/>
      <c r="C68" s="1684"/>
      <c r="D68" s="1684"/>
      <c r="E68" s="1684"/>
      <c r="F68" s="1684"/>
      <c r="G68" s="1684"/>
      <c r="H68" s="1684"/>
      <c r="I68" s="1684"/>
      <c r="J68" s="1684"/>
      <c r="K68" s="1684"/>
      <c r="L68" s="271"/>
      <c r="M68" s="271"/>
    </row>
    <row r="69" spans="1:15" x14ac:dyDescent="0.2">
      <c r="L69" s="271"/>
      <c r="M69" s="271"/>
    </row>
    <row r="70" spans="1:15" x14ac:dyDescent="0.2">
      <c r="L70" s="271"/>
      <c r="M70" s="271"/>
    </row>
    <row r="76" spans="1:15" x14ac:dyDescent="0.2">
      <c r="L76" s="1068"/>
    </row>
    <row r="77" spans="1:15" x14ac:dyDescent="0.2">
      <c r="E77" s="56"/>
      <c r="F77" s="56"/>
      <c r="G77" s="56"/>
      <c r="H77" s="56"/>
      <c r="I77" s="56"/>
      <c r="J77" s="56"/>
      <c r="K77" s="56"/>
      <c r="L77" s="56"/>
      <c r="M77" s="56"/>
    </row>
    <row r="78" spans="1:15" x14ac:dyDescent="0.2">
      <c r="K78" s="56"/>
      <c r="L78" s="56"/>
      <c r="M78" s="56"/>
    </row>
    <row r="79" spans="1:15" x14ac:dyDescent="0.2">
      <c r="K79" s="56"/>
      <c r="L79" s="56"/>
      <c r="M79" s="56"/>
    </row>
    <row r="80" spans="1:15" x14ac:dyDescent="0.2">
      <c r="K80" s="56"/>
      <c r="L80" s="56"/>
      <c r="M80" s="56"/>
    </row>
    <row r="82" spans="5:5" x14ac:dyDescent="0.2">
      <c r="E82" s="56"/>
    </row>
    <row r="83" spans="5:5" x14ac:dyDescent="0.2">
      <c r="E83" s="56"/>
    </row>
  </sheetData>
  <mergeCells count="17">
    <mergeCell ref="B63:K63"/>
    <mergeCell ref="B64:K64"/>
    <mergeCell ref="B65:K65"/>
    <mergeCell ref="B67:K68"/>
    <mergeCell ref="B59:E59"/>
    <mergeCell ref="A9:K9"/>
    <mergeCell ref="A10:K10"/>
    <mergeCell ref="A11:K11"/>
    <mergeCell ref="A18:A19"/>
    <mergeCell ref="B18:B19"/>
    <mergeCell ref="G18:G19"/>
    <mergeCell ref="J18:J19"/>
    <mergeCell ref="A13:B13"/>
    <mergeCell ref="A14:B14"/>
    <mergeCell ref="A15:B15"/>
    <mergeCell ref="C14:I14"/>
    <mergeCell ref="C15:I15"/>
  </mergeCells>
  <dataValidations count="1">
    <dataValidation allowBlank="1" showInputMessage="1" showErrorMessage="1" promptTitle="Date Format" prompt="E.g:  &quot;August 1, 2011&quot;" sqref="H7 JE7 TA7 ACW7 AMS7 AWO7 BGK7 BQG7 CAC7 CJY7 CTU7 DDQ7 DNM7 DXI7 EHE7 ERA7 FAW7 FKS7 FUO7 GEK7 GOG7 GYC7 HHY7 HRU7 IBQ7 ILM7 IVI7 JFE7 JPA7 JYW7 KIS7 KSO7 LCK7 LMG7 LWC7 MFY7 MPU7 MZQ7 NJM7 NTI7 ODE7 ONA7 OWW7 PGS7 PQO7 QAK7 QKG7 QUC7 RDY7 RNU7 RXQ7 SHM7 SRI7 TBE7 TLA7 TUW7 UES7 UOO7 UYK7 VIG7 VSC7 WBY7 WLU7 WVQ7 H65550 JE65550 TA65550 ACW65550 AMS65550 AWO65550 BGK65550 BQG65550 CAC65550 CJY65550 CTU65550 DDQ65550 DNM65550 DXI65550 EHE65550 ERA65550 FAW65550 FKS65550 FUO65550 GEK65550 GOG65550 GYC65550 HHY65550 HRU65550 IBQ65550 ILM65550 IVI65550 JFE65550 JPA65550 JYW65550 KIS65550 KSO65550 LCK65550 LMG65550 LWC65550 MFY65550 MPU65550 MZQ65550 NJM65550 NTI65550 ODE65550 ONA65550 OWW65550 PGS65550 PQO65550 QAK65550 QKG65550 QUC65550 RDY65550 RNU65550 RXQ65550 SHM65550 SRI65550 TBE65550 TLA65550 TUW65550 UES65550 UOO65550 UYK65550 VIG65550 VSC65550 WBY65550 WLU65550 WVQ65550 H131086 JE131086 TA131086 ACW131086 AMS131086 AWO131086 BGK131086 BQG131086 CAC131086 CJY131086 CTU131086 DDQ131086 DNM131086 DXI131086 EHE131086 ERA131086 FAW131086 FKS131086 FUO131086 GEK131086 GOG131086 GYC131086 HHY131086 HRU131086 IBQ131086 ILM131086 IVI131086 JFE131086 JPA131086 JYW131086 KIS131086 KSO131086 LCK131086 LMG131086 LWC131086 MFY131086 MPU131086 MZQ131086 NJM131086 NTI131086 ODE131086 ONA131086 OWW131086 PGS131086 PQO131086 QAK131086 QKG131086 QUC131086 RDY131086 RNU131086 RXQ131086 SHM131086 SRI131086 TBE131086 TLA131086 TUW131086 UES131086 UOO131086 UYK131086 VIG131086 VSC131086 WBY131086 WLU131086 WVQ131086 H196622 JE196622 TA196622 ACW196622 AMS196622 AWO196622 BGK196622 BQG196622 CAC196622 CJY196622 CTU196622 DDQ196622 DNM196622 DXI196622 EHE196622 ERA196622 FAW196622 FKS196622 FUO196622 GEK196622 GOG196622 GYC196622 HHY196622 HRU196622 IBQ196622 ILM196622 IVI196622 JFE196622 JPA196622 JYW196622 KIS196622 KSO196622 LCK196622 LMG196622 LWC196622 MFY196622 MPU196622 MZQ196622 NJM196622 NTI196622 ODE196622 ONA196622 OWW196622 PGS196622 PQO196622 QAK196622 QKG196622 QUC196622 RDY196622 RNU196622 RXQ196622 SHM196622 SRI196622 TBE196622 TLA196622 TUW196622 UES196622 UOO196622 UYK196622 VIG196622 VSC196622 WBY196622 WLU196622 WVQ196622 H262158 JE262158 TA262158 ACW262158 AMS262158 AWO262158 BGK262158 BQG262158 CAC262158 CJY262158 CTU262158 DDQ262158 DNM262158 DXI262158 EHE262158 ERA262158 FAW262158 FKS262158 FUO262158 GEK262158 GOG262158 GYC262158 HHY262158 HRU262158 IBQ262158 ILM262158 IVI262158 JFE262158 JPA262158 JYW262158 KIS262158 KSO262158 LCK262158 LMG262158 LWC262158 MFY262158 MPU262158 MZQ262158 NJM262158 NTI262158 ODE262158 ONA262158 OWW262158 PGS262158 PQO262158 QAK262158 QKG262158 QUC262158 RDY262158 RNU262158 RXQ262158 SHM262158 SRI262158 TBE262158 TLA262158 TUW262158 UES262158 UOO262158 UYK262158 VIG262158 VSC262158 WBY262158 WLU262158 WVQ262158 H327694 JE327694 TA327694 ACW327694 AMS327694 AWO327694 BGK327694 BQG327694 CAC327694 CJY327694 CTU327694 DDQ327694 DNM327694 DXI327694 EHE327694 ERA327694 FAW327694 FKS327694 FUO327694 GEK327694 GOG327694 GYC327694 HHY327694 HRU327694 IBQ327694 ILM327694 IVI327694 JFE327694 JPA327694 JYW327694 KIS327694 KSO327694 LCK327694 LMG327694 LWC327694 MFY327694 MPU327694 MZQ327694 NJM327694 NTI327694 ODE327694 ONA327694 OWW327694 PGS327694 PQO327694 QAK327694 QKG327694 QUC327694 RDY327694 RNU327694 RXQ327694 SHM327694 SRI327694 TBE327694 TLA327694 TUW327694 UES327694 UOO327694 UYK327694 VIG327694 VSC327694 WBY327694 WLU327694 WVQ327694 H393230 JE393230 TA393230 ACW393230 AMS393230 AWO393230 BGK393230 BQG393230 CAC393230 CJY393230 CTU393230 DDQ393230 DNM393230 DXI393230 EHE393230 ERA393230 FAW393230 FKS393230 FUO393230 GEK393230 GOG393230 GYC393230 HHY393230 HRU393230 IBQ393230 ILM393230 IVI393230 JFE393230 JPA393230 JYW393230 KIS393230 KSO393230 LCK393230 LMG393230 LWC393230 MFY393230 MPU393230 MZQ393230 NJM393230 NTI393230 ODE393230 ONA393230 OWW393230 PGS393230 PQO393230 QAK393230 QKG393230 QUC393230 RDY393230 RNU393230 RXQ393230 SHM393230 SRI393230 TBE393230 TLA393230 TUW393230 UES393230 UOO393230 UYK393230 VIG393230 VSC393230 WBY393230 WLU393230 WVQ393230 H458766 JE458766 TA458766 ACW458766 AMS458766 AWO458766 BGK458766 BQG458766 CAC458766 CJY458766 CTU458766 DDQ458766 DNM458766 DXI458766 EHE458766 ERA458766 FAW458766 FKS458766 FUO458766 GEK458766 GOG458766 GYC458766 HHY458766 HRU458766 IBQ458766 ILM458766 IVI458766 JFE458766 JPA458766 JYW458766 KIS458766 KSO458766 LCK458766 LMG458766 LWC458766 MFY458766 MPU458766 MZQ458766 NJM458766 NTI458766 ODE458766 ONA458766 OWW458766 PGS458766 PQO458766 QAK458766 QKG458766 QUC458766 RDY458766 RNU458766 RXQ458766 SHM458766 SRI458766 TBE458766 TLA458766 TUW458766 UES458766 UOO458766 UYK458766 VIG458766 VSC458766 WBY458766 WLU458766 WVQ458766 H524302 JE524302 TA524302 ACW524302 AMS524302 AWO524302 BGK524302 BQG524302 CAC524302 CJY524302 CTU524302 DDQ524302 DNM524302 DXI524302 EHE524302 ERA524302 FAW524302 FKS524302 FUO524302 GEK524302 GOG524302 GYC524302 HHY524302 HRU524302 IBQ524302 ILM524302 IVI524302 JFE524302 JPA524302 JYW524302 KIS524302 KSO524302 LCK524302 LMG524302 LWC524302 MFY524302 MPU524302 MZQ524302 NJM524302 NTI524302 ODE524302 ONA524302 OWW524302 PGS524302 PQO524302 QAK524302 QKG524302 QUC524302 RDY524302 RNU524302 RXQ524302 SHM524302 SRI524302 TBE524302 TLA524302 TUW524302 UES524302 UOO524302 UYK524302 VIG524302 VSC524302 WBY524302 WLU524302 WVQ524302 H589838 JE589838 TA589838 ACW589838 AMS589838 AWO589838 BGK589838 BQG589838 CAC589838 CJY589838 CTU589838 DDQ589838 DNM589838 DXI589838 EHE589838 ERA589838 FAW589838 FKS589838 FUO589838 GEK589838 GOG589838 GYC589838 HHY589838 HRU589838 IBQ589838 ILM589838 IVI589838 JFE589838 JPA589838 JYW589838 KIS589838 KSO589838 LCK589838 LMG589838 LWC589838 MFY589838 MPU589838 MZQ589838 NJM589838 NTI589838 ODE589838 ONA589838 OWW589838 PGS589838 PQO589838 QAK589838 QKG589838 QUC589838 RDY589838 RNU589838 RXQ589838 SHM589838 SRI589838 TBE589838 TLA589838 TUW589838 UES589838 UOO589838 UYK589838 VIG589838 VSC589838 WBY589838 WLU589838 WVQ589838 H655374 JE655374 TA655374 ACW655374 AMS655374 AWO655374 BGK655374 BQG655374 CAC655374 CJY655374 CTU655374 DDQ655374 DNM655374 DXI655374 EHE655374 ERA655374 FAW655374 FKS655374 FUO655374 GEK655374 GOG655374 GYC655374 HHY655374 HRU655374 IBQ655374 ILM655374 IVI655374 JFE655374 JPA655374 JYW655374 KIS655374 KSO655374 LCK655374 LMG655374 LWC655374 MFY655374 MPU655374 MZQ655374 NJM655374 NTI655374 ODE655374 ONA655374 OWW655374 PGS655374 PQO655374 QAK655374 QKG655374 QUC655374 RDY655374 RNU655374 RXQ655374 SHM655374 SRI655374 TBE655374 TLA655374 TUW655374 UES655374 UOO655374 UYK655374 VIG655374 VSC655374 WBY655374 WLU655374 WVQ655374 H720910 JE720910 TA720910 ACW720910 AMS720910 AWO720910 BGK720910 BQG720910 CAC720910 CJY720910 CTU720910 DDQ720910 DNM720910 DXI720910 EHE720910 ERA720910 FAW720910 FKS720910 FUO720910 GEK720910 GOG720910 GYC720910 HHY720910 HRU720910 IBQ720910 ILM720910 IVI720910 JFE720910 JPA720910 JYW720910 KIS720910 KSO720910 LCK720910 LMG720910 LWC720910 MFY720910 MPU720910 MZQ720910 NJM720910 NTI720910 ODE720910 ONA720910 OWW720910 PGS720910 PQO720910 QAK720910 QKG720910 QUC720910 RDY720910 RNU720910 RXQ720910 SHM720910 SRI720910 TBE720910 TLA720910 TUW720910 UES720910 UOO720910 UYK720910 VIG720910 VSC720910 WBY720910 WLU720910 WVQ720910 H786446 JE786446 TA786446 ACW786446 AMS786446 AWO786446 BGK786446 BQG786446 CAC786446 CJY786446 CTU786446 DDQ786446 DNM786446 DXI786446 EHE786446 ERA786446 FAW786446 FKS786446 FUO786446 GEK786446 GOG786446 GYC786446 HHY786446 HRU786446 IBQ786446 ILM786446 IVI786446 JFE786446 JPA786446 JYW786446 KIS786446 KSO786446 LCK786446 LMG786446 LWC786446 MFY786446 MPU786446 MZQ786446 NJM786446 NTI786446 ODE786446 ONA786446 OWW786446 PGS786446 PQO786446 QAK786446 QKG786446 QUC786446 RDY786446 RNU786446 RXQ786446 SHM786446 SRI786446 TBE786446 TLA786446 TUW786446 UES786446 UOO786446 UYK786446 VIG786446 VSC786446 WBY786446 WLU786446 WVQ786446 H851982 JE851982 TA851982 ACW851982 AMS851982 AWO851982 BGK851982 BQG851982 CAC851982 CJY851982 CTU851982 DDQ851982 DNM851982 DXI851982 EHE851982 ERA851982 FAW851982 FKS851982 FUO851982 GEK851982 GOG851982 GYC851982 HHY851982 HRU851982 IBQ851982 ILM851982 IVI851982 JFE851982 JPA851982 JYW851982 KIS851982 KSO851982 LCK851982 LMG851982 LWC851982 MFY851982 MPU851982 MZQ851982 NJM851982 NTI851982 ODE851982 ONA851982 OWW851982 PGS851982 PQO851982 QAK851982 QKG851982 QUC851982 RDY851982 RNU851982 RXQ851982 SHM851982 SRI851982 TBE851982 TLA851982 TUW851982 UES851982 UOO851982 UYK851982 VIG851982 VSC851982 WBY851982 WLU851982 WVQ851982 H917518 JE917518 TA917518 ACW917518 AMS917518 AWO917518 BGK917518 BQG917518 CAC917518 CJY917518 CTU917518 DDQ917518 DNM917518 DXI917518 EHE917518 ERA917518 FAW917518 FKS917518 FUO917518 GEK917518 GOG917518 GYC917518 HHY917518 HRU917518 IBQ917518 ILM917518 IVI917518 JFE917518 JPA917518 JYW917518 KIS917518 KSO917518 LCK917518 LMG917518 LWC917518 MFY917518 MPU917518 MZQ917518 NJM917518 NTI917518 ODE917518 ONA917518 OWW917518 PGS917518 PQO917518 QAK917518 QKG917518 QUC917518 RDY917518 RNU917518 RXQ917518 SHM917518 SRI917518 TBE917518 TLA917518 TUW917518 UES917518 UOO917518 UYK917518 VIG917518 VSC917518 WBY917518 WLU917518 WVQ917518 H983054 JE983054 TA983054 ACW983054 AMS983054 AWO983054 BGK983054 BQG983054 CAC983054 CJY983054 CTU983054 DDQ983054 DNM983054 DXI983054 EHE983054 ERA983054 FAW983054 FKS983054 FUO983054 GEK983054 GOG983054 GYC983054 HHY983054 HRU983054 IBQ983054 ILM983054 IVI983054 JFE983054 JPA983054 JYW983054 KIS983054 KSO983054 LCK983054 LMG983054 LWC983054 MFY983054 MPU983054 MZQ983054 NJM983054 NTI983054 ODE983054 ONA983054 OWW983054 PGS983054 PQO983054 QAK983054 QKG983054 QUC983054 RDY983054 RNU983054 RXQ983054 SHM983054 SRI983054 TBE983054 TLA983054 TUW983054 UES983054 UOO983054 UYK983054 VIG983054 VSC983054 WBY983054 WLU983054 WVQ983054"/>
  </dataValidations>
  <printOptions horizontalCentered="1"/>
  <pageMargins left="0.74803149606299213" right="0.74803149606299213" top="0.70866141732283472" bottom="0.39370078740157483" header="0.39370078740157483" footer="0.27559055118110237"/>
  <pageSetup scale="44" orientation="landscape"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02760" r:id="rId4" name="Check Box 8">
              <controlPr defaultSize="0" autoFill="0" autoLine="0" autoPict="0">
                <anchor moveWithCells="1">
                  <from>
                    <xdr:col>0</xdr:col>
                    <xdr:colOff>323850</xdr:colOff>
                    <xdr:row>13</xdr:row>
                    <xdr:rowOff>47625</xdr:rowOff>
                  </from>
                  <to>
                    <xdr:col>0</xdr:col>
                    <xdr:colOff>590550</xdr:colOff>
                    <xdr:row>13</xdr:row>
                    <xdr:rowOff>447675</xdr:rowOff>
                  </to>
                </anchor>
              </controlPr>
            </control>
          </mc:Choice>
        </mc:AlternateContent>
        <mc:AlternateContent xmlns:mc="http://schemas.openxmlformats.org/markup-compatibility/2006">
          <mc:Choice Requires="x14">
            <control shapeId="202761" r:id="rId5" name="Check Box 9">
              <controlPr defaultSize="0" autoFill="0" autoLine="0" autoPict="0">
                <anchor moveWithCells="1">
                  <from>
                    <xdr:col>0</xdr:col>
                    <xdr:colOff>304800</xdr:colOff>
                    <xdr:row>14</xdr:row>
                    <xdr:rowOff>47625</xdr:rowOff>
                  </from>
                  <to>
                    <xdr:col>0</xdr:col>
                    <xdr:colOff>571500</xdr:colOff>
                    <xdr:row>14</xdr:row>
                    <xdr:rowOff>466725</xdr:rowOff>
                  </to>
                </anchor>
              </controlPr>
            </control>
          </mc:Choice>
        </mc:AlternateContent>
      </controls>
    </mc:Choice>
  </mc:AlternateContent>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43">
    <tabColor rgb="FF00B0F0"/>
    <pageSetUpPr fitToPage="1"/>
  </sheetPr>
  <dimension ref="A1:M73"/>
  <sheetViews>
    <sheetView showGridLines="0" view="pageBreakPreview" zoomScale="60" zoomScaleNormal="100" workbookViewId="0">
      <selection activeCell="S62" sqref="S62"/>
    </sheetView>
  </sheetViews>
  <sheetFormatPr defaultRowHeight="12.75" x14ac:dyDescent="0.2"/>
  <cols>
    <col min="1" max="1" width="9.140625" style="52"/>
    <col min="2" max="2" width="41.140625" style="52" customWidth="1"/>
    <col min="3" max="3" width="10" style="52" customWidth="1"/>
    <col min="4" max="4" width="10.140625" style="52" customWidth="1"/>
    <col min="5" max="5" width="12.28515625" style="52" customWidth="1"/>
    <col min="6" max="6" width="15.7109375" style="52" customWidth="1"/>
    <col min="7" max="7" width="17.7109375" style="52" customWidth="1"/>
    <col min="8" max="8" width="12.7109375" style="52" customWidth="1"/>
    <col min="9" max="9" width="14.42578125" style="52" customWidth="1"/>
    <col min="10" max="10" width="16.85546875" style="52" customWidth="1"/>
    <col min="11" max="11" width="14.28515625" style="52" customWidth="1"/>
    <col min="12" max="254" width="9.140625" style="52"/>
    <col min="255" max="255" width="2.7109375" style="52" customWidth="1"/>
    <col min="256" max="256" width="9.140625" style="52"/>
    <col min="257" max="257" width="40.28515625" style="52" bestFit="1" customWidth="1"/>
    <col min="258" max="258" width="10" style="52" customWidth="1"/>
    <col min="259" max="259" width="10.140625" style="52" customWidth="1"/>
    <col min="260" max="260" width="12.28515625" style="52" customWidth="1"/>
    <col min="261" max="261" width="15.7109375" style="52" customWidth="1"/>
    <col min="262" max="262" width="12.85546875" style="52" customWidth="1"/>
    <col min="263" max="263" width="12.7109375" style="52" customWidth="1"/>
    <col min="264" max="264" width="12.85546875" style="52" customWidth="1"/>
    <col min="265" max="265" width="14.42578125" style="52" customWidth="1"/>
    <col min="266" max="510" width="9.140625" style="52"/>
    <col min="511" max="511" width="2.7109375" style="52" customWidth="1"/>
    <col min="512" max="512" width="9.140625" style="52"/>
    <col min="513" max="513" width="40.28515625" style="52" bestFit="1" customWidth="1"/>
    <col min="514" max="514" width="10" style="52" customWidth="1"/>
    <col min="515" max="515" width="10.140625" style="52" customWidth="1"/>
    <col min="516" max="516" width="12.28515625" style="52" customWidth="1"/>
    <col min="517" max="517" width="15.7109375" style="52" customWidth="1"/>
    <col min="518" max="518" width="12.85546875" style="52" customWidth="1"/>
    <col min="519" max="519" width="12.7109375" style="52" customWidth="1"/>
    <col min="520" max="520" width="12.85546875" style="52" customWidth="1"/>
    <col min="521" max="521" width="14.42578125" style="52" customWidth="1"/>
    <col min="522" max="766" width="9.140625" style="52"/>
    <col min="767" max="767" width="2.7109375" style="52" customWidth="1"/>
    <col min="768" max="768" width="9.140625" style="52"/>
    <col min="769" max="769" width="40.28515625" style="52" bestFit="1" customWidth="1"/>
    <col min="770" max="770" width="10" style="52" customWidth="1"/>
    <col min="771" max="771" width="10.140625" style="52" customWidth="1"/>
    <col min="772" max="772" width="12.28515625" style="52" customWidth="1"/>
    <col min="773" max="773" width="15.7109375" style="52" customWidth="1"/>
    <col min="774" max="774" width="12.85546875" style="52" customWidth="1"/>
    <col min="775" max="775" width="12.7109375" style="52" customWidth="1"/>
    <col min="776" max="776" width="12.85546875" style="52" customWidth="1"/>
    <col min="777" max="777" width="14.42578125" style="52" customWidth="1"/>
    <col min="778" max="1022" width="9.140625" style="52"/>
    <col min="1023" max="1023" width="2.7109375" style="52" customWidth="1"/>
    <col min="1024" max="1024" width="9.140625" style="52"/>
    <col min="1025" max="1025" width="40.28515625" style="52" bestFit="1" customWidth="1"/>
    <col min="1026" max="1026" width="10" style="52" customWidth="1"/>
    <col min="1027" max="1027" width="10.140625" style="52" customWidth="1"/>
    <col min="1028" max="1028" width="12.28515625" style="52" customWidth="1"/>
    <col min="1029" max="1029" width="15.7109375" style="52" customWidth="1"/>
    <col min="1030" max="1030" width="12.85546875" style="52" customWidth="1"/>
    <col min="1031" max="1031" width="12.7109375" style="52" customWidth="1"/>
    <col min="1032" max="1032" width="12.85546875" style="52" customWidth="1"/>
    <col min="1033" max="1033" width="14.42578125" style="52" customWidth="1"/>
    <col min="1034" max="1278" width="9.140625" style="52"/>
    <col min="1279" max="1279" width="2.7109375" style="52" customWidth="1"/>
    <col min="1280" max="1280" width="9.140625" style="52"/>
    <col min="1281" max="1281" width="40.28515625" style="52" bestFit="1" customWidth="1"/>
    <col min="1282" max="1282" width="10" style="52" customWidth="1"/>
    <col min="1283" max="1283" width="10.140625" style="52" customWidth="1"/>
    <col min="1284" max="1284" width="12.28515625" style="52" customWidth="1"/>
    <col min="1285" max="1285" width="15.7109375" style="52" customWidth="1"/>
    <col min="1286" max="1286" width="12.85546875" style="52" customWidth="1"/>
    <col min="1287" max="1287" width="12.7109375" style="52" customWidth="1"/>
    <col min="1288" max="1288" width="12.85546875" style="52" customWidth="1"/>
    <col min="1289" max="1289" width="14.42578125" style="52" customWidth="1"/>
    <col min="1290" max="1534" width="9.140625" style="52"/>
    <col min="1535" max="1535" width="2.7109375" style="52" customWidth="1"/>
    <col min="1536" max="1536" width="9.140625" style="52"/>
    <col min="1537" max="1537" width="40.28515625" style="52" bestFit="1" customWidth="1"/>
    <col min="1538" max="1538" width="10" style="52" customWidth="1"/>
    <col min="1539" max="1539" width="10.140625" style="52" customWidth="1"/>
    <col min="1540" max="1540" width="12.28515625" style="52" customWidth="1"/>
    <col min="1541" max="1541" width="15.7109375" style="52" customWidth="1"/>
    <col min="1542" max="1542" width="12.85546875" style="52" customWidth="1"/>
    <col min="1543" max="1543" width="12.7109375" style="52" customWidth="1"/>
    <col min="1544" max="1544" width="12.85546875" style="52" customWidth="1"/>
    <col min="1545" max="1545" width="14.42578125" style="52" customWidth="1"/>
    <col min="1546" max="1790" width="9.140625" style="52"/>
    <col min="1791" max="1791" width="2.7109375" style="52" customWidth="1"/>
    <col min="1792" max="1792" width="9.140625" style="52"/>
    <col min="1793" max="1793" width="40.28515625" style="52" bestFit="1" customWidth="1"/>
    <col min="1794" max="1794" width="10" style="52" customWidth="1"/>
    <col min="1795" max="1795" width="10.140625" style="52" customWidth="1"/>
    <col min="1796" max="1796" width="12.28515625" style="52" customWidth="1"/>
    <col min="1797" max="1797" width="15.7109375" style="52" customWidth="1"/>
    <col min="1798" max="1798" width="12.85546875" style="52" customWidth="1"/>
    <col min="1799" max="1799" width="12.7109375" style="52" customWidth="1"/>
    <col min="1800" max="1800" width="12.85546875" style="52" customWidth="1"/>
    <col min="1801" max="1801" width="14.42578125" style="52" customWidth="1"/>
    <col min="1802" max="2046" width="9.140625" style="52"/>
    <col min="2047" max="2047" width="2.7109375" style="52" customWidth="1"/>
    <col min="2048" max="2048" width="9.140625" style="52"/>
    <col min="2049" max="2049" width="40.28515625" style="52" bestFit="1" customWidth="1"/>
    <col min="2050" max="2050" width="10" style="52" customWidth="1"/>
    <col min="2051" max="2051" width="10.140625" style="52" customWidth="1"/>
    <col min="2052" max="2052" width="12.28515625" style="52" customWidth="1"/>
    <col min="2053" max="2053" width="15.7109375" style="52" customWidth="1"/>
    <col min="2054" max="2054" width="12.85546875" style="52" customWidth="1"/>
    <col min="2055" max="2055" width="12.7109375" style="52" customWidth="1"/>
    <col min="2056" max="2056" width="12.85546875" style="52" customWidth="1"/>
    <col min="2057" max="2057" width="14.42578125" style="52" customWidth="1"/>
    <col min="2058" max="2302" width="9.140625" style="52"/>
    <col min="2303" max="2303" width="2.7109375" style="52" customWidth="1"/>
    <col min="2304" max="2304" width="9.140625" style="52"/>
    <col min="2305" max="2305" width="40.28515625" style="52" bestFit="1" customWidth="1"/>
    <col min="2306" max="2306" width="10" style="52" customWidth="1"/>
    <col min="2307" max="2307" width="10.140625" style="52" customWidth="1"/>
    <col min="2308" max="2308" width="12.28515625" style="52" customWidth="1"/>
    <col min="2309" max="2309" width="15.7109375" style="52" customWidth="1"/>
    <col min="2310" max="2310" width="12.85546875" style="52" customWidth="1"/>
    <col min="2311" max="2311" width="12.7109375" style="52" customWidth="1"/>
    <col min="2312" max="2312" width="12.85546875" style="52" customWidth="1"/>
    <col min="2313" max="2313" width="14.42578125" style="52" customWidth="1"/>
    <col min="2314" max="2558" width="9.140625" style="52"/>
    <col min="2559" max="2559" width="2.7109375" style="52" customWidth="1"/>
    <col min="2560" max="2560" width="9.140625" style="52"/>
    <col min="2561" max="2561" width="40.28515625" style="52" bestFit="1" customWidth="1"/>
    <col min="2562" max="2562" width="10" style="52" customWidth="1"/>
    <col min="2563" max="2563" width="10.140625" style="52" customWidth="1"/>
    <col min="2564" max="2564" width="12.28515625" style="52" customWidth="1"/>
    <col min="2565" max="2565" width="15.7109375" style="52" customWidth="1"/>
    <col min="2566" max="2566" width="12.85546875" style="52" customWidth="1"/>
    <col min="2567" max="2567" width="12.7109375" style="52" customWidth="1"/>
    <col min="2568" max="2568" width="12.85546875" style="52" customWidth="1"/>
    <col min="2569" max="2569" width="14.42578125" style="52" customWidth="1"/>
    <col min="2570" max="2814" width="9.140625" style="52"/>
    <col min="2815" max="2815" width="2.7109375" style="52" customWidth="1"/>
    <col min="2816" max="2816" width="9.140625" style="52"/>
    <col min="2817" max="2817" width="40.28515625" style="52" bestFit="1" customWidth="1"/>
    <col min="2818" max="2818" width="10" style="52" customWidth="1"/>
    <col min="2819" max="2819" width="10.140625" style="52" customWidth="1"/>
    <col min="2820" max="2820" width="12.28515625" style="52" customWidth="1"/>
    <col min="2821" max="2821" width="15.7109375" style="52" customWidth="1"/>
    <col min="2822" max="2822" width="12.85546875" style="52" customWidth="1"/>
    <col min="2823" max="2823" width="12.7109375" style="52" customWidth="1"/>
    <col min="2824" max="2824" width="12.85546875" style="52" customWidth="1"/>
    <col min="2825" max="2825" width="14.42578125" style="52" customWidth="1"/>
    <col min="2826" max="3070" width="9.140625" style="52"/>
    <col min="3071" max="3071" width="2.7109375" style="52" customWidth="1"/>
    <col min="3072" max="3072" width="9.140625" style="52"/>
    <col min="3073" max="3073" width="40.28515625" style="52" bestFit="1" customWidth="1"/>
    <col min="3074" max="3074" width="10" style="52" customWidth="1"/>
    <col min="3075" max="3075" width="10.140625" style="52" customWidth="1"/>
    <col min="3076" max="3076" width="12.28515625" style="52" customWidth="1"/>
    <col min="3077" max="3077" width="15.7109375" style="52" customWidth="1"/>
    <col min="3078" max="3078" width="12.85546875" style="52" customWidth="1"/>
    <col min="3079" max="3079" width="12.7109375" style="52" customWidth="1"/>
    <col min="3080" max="3080" width="12.85546875" style="52" customWidth="1"/>
    <col min="3081" max="3081" width="14.42578125" style="52" customWidth="1"/>
    <col min="3082" max="3326" width="9.140625" style="52"/>
    <col min="3327" max="3327" width="2.7109375" style="52" customWidth="1"/>
    <col min="3328" max="3328" width="9.140625" style="52"/>
    <col min="3329" max="3329" width="40.28515625" style="52" bestFit="1" customWidth="1"/>
    <col min="3330" max="3330" width="10" style="52" customWidth="1"/>
    <col min="3331" max="3331" width="10.140625" style="52" customWidth="1"/>
    <col min="3332" max="3332" width="12.28515625" style="52" customWidth="1"/>
    <col min="3333" max="3333" width="15.7109375" style="52" customWidth="1"/>
    <col min="3334" max="3334" width="12.85546875" style="52" customWidth="1"/>
    <col min="3335" max="3335" width="12.7109375" style="52" customWidth="1"/>
    <col min="3336" max="3336" width="12.85546875" style="52" customWidth="1"/>
    <col min="3337" max="3337" width="14.42578125" style="52" customWidth="1"/>
    <col min="3338" max="3582" width="9.140625" style="52"/>
    <col min="3583" max="3583" width="2.7109375" style="52" customWidth="1"/>
    <col min="3584" max="3584" width="9.140625" style="52"/>
    <col min="3585" max="3585" width="40.28515625" style="52" bestFit="1" customWidth="1"/>
    <col min="3586" max="3586" width="10" style="52" customWidth="1"/>
    <col min="3587" max="3587" width="10.140625" style="52" customWidth="1"/>
    <col min="3588" max="3588" width="12.28515625" style="52" customWidth="1"/>
    <col min="3589" max="3589" width="15.7109375" style="52" customWidth="1"/>
    <col min="3590" max="3590" width="12.85546875" style="52" customWidth="1"/>
    <col min="3591" max="3591" width="12.7109375" style="52" customWidth="1"/>
    <col min="3592" max="3592" width="12.85546875" style="52" customWidth="1"/>
    <col min="3593" max="3593" width="14.42578125" style="52" customWidth="1"/>
    <col min="3594" max="3838" width="9.140625" style="52"/>
    <col min="3839" max="3839" width="2.7109375" style="52" customWidth="1"/>
    <col min="3840" max="3840" width="9.140625" style="52"/>
    <col min="3841" max="3841" width="40.28515625" style="52" bestFit="1" customWidth="1"/>
    <col min="3842" max="3842" width="10" style="52" customWidth="1"/>
    <col min="3843" max="3843" width="10.140625" style="52" customWidth="1"/>
    <col min="3844" max="3844" width="12.28515625" style="52" customWidth="1"/>
    <col min="3845" max="3845" width="15.7109375" style="52" customWidth="1"/>
    <col min="3846" max="3846" width="12.85546875" style="52" customWidth="1"/>
    <col min="3847" max="3847" width="12.7109375" style="52" customWidth="1"/>
    <col min="3848" max="3848" width="12.85546875" style="52" customWidth="1"/>
    <col min="3849" max="3849" width="14.42578125" style="52" customWidth="1"/>
    <col min="3850" max="4094" width="9.140625" style="52"/>
    <col min="4095" max="4095" width="2.7109375" style="52" customWidth="1"/>
    <col min="4096" max="4096" width="9.140625" style="52"/>
    <col min="4097" max="4097" width="40.28515625" style="52" bestFit="1" customWidth="1"/>
    <col min="4098" max="4098" width="10" style="52" customWidth="1"/>
    <col min="4099" max="4099" width="10.140625" style="52" customWidth="1"/>
    <col min="4100" max="4100" width="12.28515625" style="52" customWidth="1"/>
    <col min="4101" max="4101" width="15.7109375" style="52" customWidth="1"/>
    <col min="4102" max="4102" width="12.85546875" style="52" customWidth="1"/>
    <col min="4103" max="4103" width="12.7109375" style="52" customWidth="1"/>
    <col min="4104" max="4104" width="12.85546875" style="52" customWidth="1"/>
    <col min="4105" max="4105" width="14.42578125" style="52" customWidth="1"/>
    <col min="4106" max="4350" width="9.140625" style="52"/>
    <col min="4351" max="4351" width="2.7109375" style="52" customWidth="1"/>
    <col min="4352" max="4352" width="9.140625" style="52"/>
    <col min="4353" max="4353" width="40.28515625" style="52" bestFit="1" customWidth="1"/>
    <col min="4354" max="4354" width="10" style="52" customWidth="1"/>
    <col min="4355" max="4355" width="10.140625" style="52" customWidth="1"/>
    <col min="4356" max="4356" width="12.28515625" style="52" customWidth="1"/>
    <col min="4357" max="4357" width="15.7109375" style="52" customWidth="1"/>
    <col min="4358" max="4358" width="12.85546875" style="52" customWidth="1"/>
    <col min="4359" max="4359" width="12.7109375" style="52" customWidth="1"/>
    <col min="4360" max="4360" width="12.85546875" style="52" customWidth="1"/>
    <col min="4361" max="4361" width="14.42578125" style="52" customWidth="1"/>
    <col min="4362" max="4606" width="9.140625" style="52"/>
    <col min="4607" max="4607" width="2.7109375" style="52" customWidth="1"/>
    <col min="4608" max="4608" width="9.140625" style="52"/>
    <col min="4609" max="4609" width="40.28515625" style="52" bestFit="1" customWidth="1"/>
    <col min="4610" max="4610" width="10" style="52" customWidth="1"/>
    <col min="4611" max="4611" width="10.140625" style="52" customWidth="1"/>
    <col min="4612" max="4612" width="12.28515625" style="52" customWidth="1"/>
    <col min="4613" max="4613" width="15.7109375" style="52" customWidth="1"/>
    <col min="4614" max="4614" width="12.85546875" style="52" customWidth="1"/>
    <col min="4615" max="4615" width="12.7109375" style="52" customWidth="1"/>
    <col min="4616" max="4616" width="12.85546875" style="52" customWidth="1"/>
    <col min="4617" max="4617" width="14.42578125" style="52" customWidth="1"/>
    <col min="4618" max="4862" width="9.140625" style="52"/>
    <col min="4863" max="4863" width="2.7109375" style="52" customWidth="1"/>
    <col min="4864" max="4864" width="9.140625" style="52"/>
    <col min="4865" max="4865" width="40.28515625" style="52" bestFit="1" customWidth="1"/>
    <col min="4866" max="4866" width="10" style="52" customWidth="1"/>
    <col min="4867" max="4867" width="10.140625" style="52" customWidth="1"/>
    <col min="4868" max="4868" width="12.28515625" style="52" customWidth="1"/>
    <col min="4869" max="4869" width="15.7109375" style="52" customWidth="1"/>
    <col min="4870" max="4870" width="12.85546875" style="52" customWidth="1"/>
    <col min="4871" max="4871" width="12.7109375" style="52" customWidth="1"/>
    <col min="4872" max="4872" width="12.85546875" style="52" customWidth="1"/>
    <col min="4873" max="4873" width="14.42578125" style="52" customWidth="1"/>
    <col min="4874" max="5118" width="9.140625" style="52"/>
    <col min="5119" max="5119" width="2.7109375" style="52" customWidth="1"/>
    <col min="5120" max="5120" width="9.140625" style="52"/>
    <col min="5121" max="5121" width="40.28515625" style="52" bestFit="1" customWidth="1"/>
    <col min="5122" max="5122" width="10" style="52" customWidth="1"/>
    <col min="5123" max="5123" width="10.140625" style="52" customWidth="1"/>
    <col min="5124" max="5124" width="12.28515625" style="52" customWidth="1"/>
    <col min="5125" max="5125" width="15.7109375" style="52" customWidth="1"/>
    <col min="5126" max="5126" width="12.85546875" style="52" customWidth="1"/>
    <col min="5127" max="5127" width="12.7109375" style="52" customWidth="1"/>
    <col min="5128" max="5128" width="12.85546875" style="52" customWidth="1"/>
    <col min="5129" max="5129" width="14.42578125" style="52" customWidth="1"/>
    <col min="5130" max="5374" width="9.140625" style="52"/>
    <col min="5375" max="5375" width="2.7109375" style="52" customWidth="1"/>
    <col min="5376" max="5376" width="9.140625" style="52"/>
    <col min="5377" max="5377" width="40.28515625" style="52" bestFit="1" customWidth="1"/>
    <col min="5378" max="5378" width="10" style="52" customWidth="1"/>
    <col min="5379" max="5379" width="10.140625" style="52" customWidth="1"/>
    <col min="5380" max="5380" width="12.28515625" style="52" customWidth="1"/>
    <col min="5381" max="5381" width="15.7109375" style="52" customWidth="1"/>
    <col min="5382" max="5382" width="12.85546875" style="52" customWidth="1"/>
    <col min="5383" max="5383" width="12.7109375" style="52" customWidth="1"/>
    <col min="5384" max="5384" width="12.85546875" style="52" customWidth="1"/>
    <col min="5385" max="5385" width="14.42578125" style="52" customWidth="1"/>
    <col min="5386" max="5630" width="9.140625" style="52"/>
    <col min="5631" max="5631" width="2.7109375" style="52" customWidth="1"/>
    <col min="5632" max="5632" width="9.140625" style="52"/>
    <col min="5633" max="5633" width="40.28515625" style="52" bestFit="1" customWidth="1"/>
    <col min="5634" max="5634" width="10" style="52" customWidth="1"/>
    <col min="5635" max="5635" width="10.140625" style="52" customWidth="1"/>
    <col min="5636" max="5636" width="12.28515625" style="52" customWidth="1"/>
    <col min="5637" max="5637" width="15.7109375" style="52" customWidth="1"/>
    <col min="5638" max="5638" width="12.85546875" style="52" customWidth="1"/>
    <col min="5639" max="5639" width="12.7109375" style="52" customWidth="1"/>
    <col min="5640" max="5640" width="12.85546875" style="52" customWidth="1"/>
    <col min="5641" max="5641" width="14.42578125" style="52" customWidth="1"/>
    <col min="5642" max="5886" width="9.140625" style="52"/>
    <col min="5887" max="5887" width="2.7109375" style="52" customWidth="1"/>
    <col min="5888" max="5888" width="9.140625" style="52"/>
    <col min="5889" max="5889" width="40.28515625" style="52" bestFit="1" customWidth="1"/>
    <col min="5890" max="5890" width="10" style="52" customWidth="1"/>
    <col min="5891" max="5891" width="10.140625" style="52" customWidth="1"/>
    <col min="5892" max="5892" width="12.28515625" style="52" customWidth="1"/>
    <col min="5893" max="5893" width="15.7109375" style="52" customWidth="1"/>
    <col min="5894" max="5894" width="12.85546875" style="52" customWidth="1"/>
    <col min="5895" max="5895" width="12.7109375" style="52" customWidth="1"/>
    <col min="5896" max="5896" width="12.85546875" style="52" customWidth="1"/>
    <col min="5897" max="5897" width="14.42578125" style="52" customWidth="1"/>
    <col min="5898" max="6142" width="9.140625" style="52"/>
    <col min="6143" max="6143" width="2.7109375" style="52" customWidth="1"/>
    <col min="6144" max="6144" width="9.140625" style="52"/>
    <col min="6145" max="6145" width="40.28515625" style="52" bestFit="1" customWidth="1"/>
    <col min="6146" max="6146" width="10" style="52" customWidth="1"/>
    <col min="6147" max="6147" width="10.140625" style="52" customWidth="1"/>
    <col min="6148" max="6148" width="12.28515625" style="52" customWidth="1"/>
    <col min="6149" max="6149" width="15.7109375" style="52" customWidth="1"/>
    <col min="6150" max="6150" width="12.85546875" style="52" customWidth="1"/>
    <col min="6151" max="6151" width="12.7109375" style="52" customWidth="1"/>
    <col min="6152" max="6152" width="12.85546875" style="52" customWidth="1"/>
    <col min="6153" max="6153" width="14.42578125" style="52" customWidth="1"/>
    <col min="6154" max="6398" width="9.140625" style="52"/>
    <col min="6399" max="6399" width="2.7109375" style="52" customWidth="1"/>
    <col min="6400" max="6400" width="9.140625" style="52"/>
    <col min="6401" max="6401" width="40.28515625" style="52" bestFit="1" customWidth="1"/>
    <col min="6402" max="6402" width="10" style="52" customWidth="1"/>
    <col min="6403" max="6403" width="10.140625" style="52" customWidth="1"/>
    <col min="6404" max="6404" width="12.28515625" style="52" customWidth="1"/>
    <col min="6405" max="6405" width="15.7109375" style="52" customWidth="1"/>
    <col min="6406" max="6406" width="12.85546875" style="52" customWidth="1"/>
    <col min="6407" max="6407" width="12.7109375" style="52" customWidth="1"/>
    <col min="6408" max="6408" width="12.85546875" style="52" customWidth="1"/>
    <col min="6409" max="6409" width="14.42578125" style="52" customWidth="1"/>
    <col min="6410" max="6654" width="9.140625" style="52"/>
    <col min="6655" max="6655" width="2.7109375" style="52" customWidth="1"/>
    <col min="6656" max="6656" width="9.140625" style="52"/>
    <col min="6657" max="6657" width="40.28515625" style="52" bestFit="1" customWidth="1"/>
    <col min="6658" max="6658" width="10" style="52" customWidth="1"/>
    <col min="6659" max="6659" width="10.140625" style="52" customWidth="1"/>
    <col min="6660" max="6660" width="12.28515625" style="52" customWidth="1"/>
    <col min="6661" max="6661" width="15.7109375" style="52" customWidth="1"/>
    <col min="6662" max="6662" width="12.85546875" style="52" customWidth="1"/>
    <col min="6663" max="6663" width="12.7109375" style="52" customWidth="1"/>
    <col min="6664" max="6664" width="12.85546875" style="52" customWidth="1"/>
    <col min="6665" max="6665" width="14.42578125" style="52" customWidth="1"/>
    <col min="6666" max="6910" width="9.140625" style="52"/>
    <col min="6911" max="6911" width="2.7109375" style="52" customWidth="1"/>
    <col min="6912" max="6912" width="9.140625" style="52"/>
    <col min="6913" max="6913" width="40.28515625" style="52" bestFit="1" customWidth="1"/>
    <col min="6914" max="6914" width="10" style="52" customWidth="1"/>
    <col min="6915" max="6915" width="10.140625" style="52" customWidth="1"/>
    <col min="6916" max="6916" width="12.28515625" style="52" customWidth="1"/>
    <col min="6917" max="6917" width="15.7109375" style="52" customWidth="1"/>
    <col min="6918" max="6918" width="12.85546875" style="52" customWidth="1"/>
    <col min="6919" max="6919" width="12.7109375" style="52" customWidth="1"/>
    <col min="6920" max="6920" width="12.85546875" style="52" customWidth="1"/>
    <col min="6921" max="6921" width="14.42578125" style="52" customWidth="1"/>
    <col min="6922" max="7166" width="9.140625" style="52"/>
    <col min="7167" max="7167" width="2.7109375" style="52" customWidth="1"/>
    <col min="7168" max="7168" width="9.140625" style="52"/>
    <col min="7169" max="7169" width="40.28515625" style="52" bestFit="1" customWidth="1"/>
    <col min="7170" max="7170" width="10" style="52" customWidth="1"/>
    <col min="7171" max="7171" width="10.140625" style="52" customWidth="1"/>
    <col min="7172" max="7172" width="12.28515625" style="52" customWidth="1"/>
    <col min="7173" max="7173" width="15.7109375" style="52" customWidth="1"/>
    <col min="7174" max="7174" width="12.85546875" style="52" customWidth="1"/>
    <col min="7175" max="7175" width="12.7109375" style="52" customWidth="1"/>
    <col min="7176" max="7176" width="12.85546875" style="52" customWidth="1"/>
    <col min="7177" max="7177" width="14.42578125" style="52" customWidth="1"/>
    <col min="7178" max="7422" width="9.140625" style="52"/>
    <col min="7423" max="7423" width="2.7109375" style="52" customWidth="1"/>
    <col min="7424" max="7424" width="9.140625" style="52"/>
    <col min="7425" max="7425" width="40.28515625" style="52" bestFit="1" customWidth="1"/>
    <col min="7426" max="7426" width="10" style="52" customWidth="1"/>
    <col min="7427" max="7427" width="10.140625" style="52" customWidth="1"/>
    <col min="7428" max="7428" width="12.28515625" style="52" customWidth="1"/>
    <col min="7429" max="7429" width="15.7109375" style="52" customWidth="1"/>
    <col min="7430" max="7430" width="12.85546875" style="52" customWidth="1"/>
    <col min="7431" max="7431" width="12.7109375" style="52" customWidth="1"/>
    <col min="7432" max="7432" width="12.85546875" style="52" customWidth="1"/>
    <col min="7433" max="7433" width="14.42578125" style="52" customWidth="1"/>
    <col min="7434" max="7678" width="9.140625" style="52"/>
    <col min="7679" max="7679" width="2.7109375" style="52" customWidth="1"/>
    <col min="7680" max="7680" width="9.140625" style="52"/>
    <col min="7681" max="7681" width="40.28515625" style="52" bestFit="1" customWidth="1"/>
    <col min="7682" max="7682" width="10" style="52" customWidth="1"/>
    <col min="7683" max="7683" width="10.140625" style="52" customWidth="1"/>
    <col min="7684" max="7684" width="12.28515625" style="52" customWidth="1"/>
    <col min="7685" max="7685" width="15.7109375" style="52" customWidth="1"/>
    <col min="7686" max="7686" width="12.85546875" style="52" customWidth="1"/>
    <col min="7687" max="7687" width="12.7109375" style="52" customWidth="1"/>
    <col min="7688" max="7688" width="12.85546875" style="52" customWidth="1"/>
    <col min="7689" max="7689" width="14.42578125" style="52" customWidth="1"/>
    <col min="7690" max="7934" width="9.140625" style="52"/>
    <col min="7935" max="7935" width="2.7109375" style="52" customWidth="1"/>
    <col min="7936" max="7936" width="9.140625" style="52"/>
    <col min="7937" max="7937" width="40.28515625" style="52" bestFit="1" customWidth="1"/>
    <col min="7938" max="7938" width="10" style="52" customWidth="1"/>
    <col min="7939" max="7939" width="10.140625" style="52" customWidth="1"/>
    <col min="7940" max="7940" width="12.28515625" style="52" customWidth="1"/>
    <col min="7941" max="7941" width="15.7109375" style="52" customWidth="1"/>
    <col min="7942" max="7942" width="12.85546875" style="52" customWidth="1"/>
    <col min="7943" max="7943" width="12.7109375" style="52" customWidth="1"/>
    <col min="7944" max="7944" width="12.85546875" style="52" customWidth="1"/>
    <col min="7945" max="7945" width="14.42578125" style="52" customWidth="1"/>
    <col min="7946" max="8190" width="9.140625" style="52"/>
    <col min="8191" max="8191" width="2.7109375" style="52" customWidth="1"/>
    <col min="8192" max="8192" width="9.140625" style="52"/>
    <col min="8193" max="8193" width="40.28515625" style="52" bestFit="1" customWidth="1"/>
    <col min="8194" max="8194" width="10" style="52" customWidth="1"/>
    <col min="8195" max="8195" width="10.140625" style="52" customWidth="1"/>
    <col min="8196" max="8196" width="12.28515625" style="52" customWidth="1"/>
    <col min="8197" max="8197" width="15.7109375" style="52" customWidth="1"/>
    <col min="8198" max="8198" width="12.85546875" style="52" customWidth="1"/>
    <col min="8199" max="8199" width="12.7109375" style="52" customWidth="1"/>
    <col min="8200" max="8200" width="12.85546875" style="52" customWidth="1"/>
    <col min="8201" max="8201" width="14.42578125" style="52" customWidth="1"/>
    <col min="8202" max="8446" width="9.140625" style="52"/>
    <col min="8447" max="8447" width="2.7109375" style="52" customWidth="1"/>
    <col min="8448" max="8448" width="9.140625" style="52"/>
    <col min="8449" max="8449" width="40.28515625" style="52" bestFit="1" customWidth="1"/>
    <col min="8450" max="8450" width="10" style="52" customWidth="1"/>
    <col min="8451" max="8451" width="10.140625" style="52" customWidth="1"/>
    <col min="8452" max="8452" width="12.28515625" style="52" customWidth="1"/>
    <col min="8453" max="8453" width="15.7109375" style="52" customWidth="1"/>
    <col min="8454" max="8454" width="12.85546875" style="52" customWidth="1"/>
    <col min="8455" max="8455" width="12.7109375" style="52" customWidth="1"/>
    <col min="8456" max="8456" width="12.85546875" style="52" customWidth="1"/>
    <col min="8457" max="8457" width="14.42578125" style="52" customWidth="1"/>
    <col min="8458" max="8702" width="9.140625" style="52"/>
    <col min="8703" max="8703" width="2.7109375" style="52" customWidth="1"/>
    <col min="8704" max="8704" width="9.140625" style="52"/>
    <col min="8705" max="8705" width="40.28515625" style="52" bestFit="1" customWidth="1"/>
    <col min="8706" max="8706" width="10" style="52" customWidth="1"/>
    <col min="8707" max="8707" width="10.140625" style="52" customWidth="1"/>
    <col min="8708" max="8708" width="12.28515625" style="52" customWidth="1"/>
    <col min="8709" max="8709" width="15.7109375" style="52" customWidth="1"/>
    <col min="8710" max="8710" width="12.85546875" style="52" customWidth="1"/>
    <col min="8711" max="8711" width="12.7109375" style="52" customWidth="1"/>
    <col min="8712" max="8712" width="12.85546875" style="52" customWidth="1"/>
    <col min="8713" max="8713" width="14.42578125" style="52" customWidth="1"/>
    <col min="8714" max="8958" width="9.140625" style="52"/>
    <col min="8959" max="8959" width="2.7109375" style="52" customWidth="1"/>
    <col min="8960" max="8960" width="9.140625" style="52"/>
    <col min="8961" max="8961" width="40.28515625" style="52" bestFit="1" customWidth="1"/>
    <col min="8962" max="8962" width="10" style="52" customWidth="1"/>
    <col min="8963" max="8963" width="10.140625" style="52" customWidth="1"/>
    <col min="8964" max="8964" width="12.28515625" style="52" customWidth="1"/>
    <col min="8965" max="8965" width="15.7109375" style="52" customWidth="1"/>
    <col min="8966" max="8966" width="12.85546875" style="52" customWidth="1"/>
    <col min="8967" max="8967" width="12.7109375" style="52" customWidth="1"/>
    <col min="8968" max="8968" width="12.85546875" style="52" customWidth="1"/>
    <col min="8969" max="8969" width="14.42578125" style="52" customWidth="1"/>
    <col min="8970" max="9214" width="9.140625" style="52"/>
    <col min="9215" max="9215" width="2.7109375" style="52" customWidth="1"/>
    <col min="9216" max="9216" width="9.140625" style="52"/>
    <col min="9217" max="9217" width="40.28515625" style="52" bestFit="1" customWidth="1"/>
    <col min="9218" max="9218" width="10" style="52" customWidth="1"/>
    <col min="9219" max="9219" width="10.140625" style="52" customWidth="1"/>
    <col min="9220" max="9220" width="12.28515625" style="52" customWidth="1"/>
    <col min="9221" max="9221" width="15.7109375" style="52" customWidth="1"/>
    <col min="9222" max="9222" width="12.85546875" style="52" customWidth="1"/>
    <col min="9223" max="9223" width="12.7109375" style="52" customWidth="1"/>
    <col min="9224" max="9224" width="12.85546875" style="52" customWidth="1"/>
    <col min="9225" max="9225" width="14.42578125" style="52" customWidth="1"/>
    <col min="9226" max="9470" width="9.140625" style="52"/>
    <col min="9471" max="9471" width="2.7109375" style="52" customWidth="1"/>
    <col min="9472" max="9472" width="9.140625" style="52"/>
    <col min="9473" max="9473" width="40.28515625" style="52" bestFit="1" customWidth="1"/>
    <col min="9474" max="9474" width="10" style="52" customWidth="1"/>
    <col min="9475" max="9475" width="10.140625" style="52" customWidth="1"/>
    <col min="9476" max="9476" width="12.28515625" style="52" customWidth="1"/>
    <col min="9477" max="9477" width="15.7109375" style="52" customWidth="1"/>
    <col min="9478" max="9478" width="12.85546875" style="52" customWidth="1"/>
    <col min="9479" max="9479" width="12.7109375" style="52" customWidth="1"/>
    <col min="9480" max="9480" width="12.85546875" style="52" customWidth="1"/>
    <col min="9481" max="9481" width="14.42578125" style="52" customWidth="1"/>
    <col min="9482" max="9726" width="9.140625" style="52"/>
    <col min="9727" max="9727" width="2.7109375" style="52" customWidth="1"/>
    <col min="9728" max="9728" width="9.140625" style="52"/>
    <col min="9729" max="9729" width="40.28515625" style="52" bestFit="1" customWidth="1"/>
    <col min="9730" max="9730" width="10" style="52" customWidth="1"/>
    <col min="9731" max="9731" width="10.140625" style="52" customWidth="1"/>
    <col min="9732" max="9732" width="12.28515625" style="52" customWidth="1"/>
    <col min="9733" max="9733" width="15.7109375" style="52" customWidth="1"/>
    <col min="9734" max="9734" width="12.85546875" style="52" customWidth="1"/>
    <col min="9735" max="9735" width="12.7109375" style="52" customWidth="1"/>
    <col min="9736" max="9736" width="12.85546875" style="52" customWidth="1"/>
    <col min="9737" max="9737" width="14.42578125" style="52" customWidth="1"/>
    <col min="9738" max="9982" width="9.140625" style="52"/>
    <col min="9983" max="9983" width="2.7109375" style="52" customWidth="1"/>
    <col min="9984" max="9984" width="9.140625" style="52"/>
    <col min="9985" max="9985" width="40.28515625" style="52" bestFit="1" customWidth="1"/>
    <col min="9986" max="9986" width="10" style="52" customWidth="1"/>
    <col min="9987" max="9987" width="10.140625" style="52" customWidth="1"/>
    <col min="9988" max="9988" width="12.28515625" style="52" customWidth="1"/>
    <col min="9989" max="9989" width="15.7109375" style="52" customWidth="1"/>
    <col min="9990" max="9990" width="12.85546875" style="52" customWidth="1"/>
    <col min="9991" max="9991" width="12.7109375" style="52" customWidth="1"/>
    <col min="9992" max="9992" width="12.85546875" style="52" customWidth="1"/>
    <col min="9993" max="9993" width="14.42578125" style="52" customWidth="1"/>
    <col min="9994" max="10238" width="9.140625" style="52"/>
    <col min="10239" max="10239" width="2.7109375" style="52" customWidth="1"/>
    <col min="10240" max="10240" width="9.140625" style="52"/>
    <col min="10241" max="10241" width="40.28515625" style="52" bestFit="1" customWidth="1"/>
    <col min="10242" max="10242" width="10" style="52" customWidth="1"/>
    <col min="10243" max="10243" width="10.140625" style="52" customWidth="1"/>
    <col min="10244" max="10244" width="12.28515625" style="52" customWidth="1"/>
    <col min="10245" max="10245" width="15.7109375" style="52" customWidth="1"/>
    <col min="10246" max="10246" width="12.85546875" style="52" customWidth="1"/>
    <col min="10247" max="10247" width="12.7109375" style="52" customWidth="1"/>
    <col min="10248" max="10248" width="12.85546875" style="52" customWidth="1"/>
    <col min="10249" max="10249" width="14.42578125" style="52" customWidth="1"/>
    <col min="10250" max="10494" width="9.140625" style="52"/>
    <col min="10495" max="10495" width="2.7109375" style="52" customWidth="1"/>
    <col min="10496" max="10496" width="9.140625" style="52"/>
    <col min="10497" max="10497" width="40.28515625" style="52" bestFit="1" customWidth="1"/>
    <col min="10498" max="10498" width="10" style="52" customWidth="1"/>
    <col min="10499" max="10499" width="10.140625" style="52" customWidth="1"/>
    <col min="10500" max="10500" width="12.28515625" style="52" customWidth="1"/>
    <col min="10501" max="10501" width="15.7109375" style="52" customWidth="1"/>
    <col min="10502" max="10502" width="12.85546875" style="52" customWidth="1"/>
    <col min="10503" max="10503" width="12.7109375" style="52" customWidth="1"/>
    <col min="10504" max="10504" width="12.85546875" style="52" customWidth="1"/>
    <col min="10505" max="10505" width="14.42578125" style="52" customWidth="1"/>
    <col min="10506" max="10750" width="9.140625" style="52"/>
    <col min="10751" max="10751" width="2.7109375" style="52" customWidth="1"/>
    <col min="10752" max="10752" width="9.140625" style="52"/>
    <col min="10753" max="10753" width="40.28515625" style="52" bestFit="1" customWidth="1"/>
    <col min="10754" max="10754" width="10" style="52" customWidth="1"/>
    <col min="10755" max="10755" width="10.140625" style="52" customWidth="1"/>
    <col min="10756" max="10756" width="12.28515625" style="52" customWidth="1"/>
    <col min="10757" max="10757" width="15.7109375" style="52" customWidth="1"/>
    <col min="10758" max="10758" width="12.85546875" style="52" customWidth="1"/>
    <col min="10759" max="10759" width="12.7109375" style="52" customWidth="1"/>
    <col min="10760" max="10760" width="12.85546875" style="52" customWidth="1"/>
    <col min="10761" max="10761" width="14.42578125" style="52" customWidth="1"/>
    <col min="10762" max="11006" width="9.140625" style="52"/>
    <col min="11007" max="11007" width="2.7109375" style="52" customWidth="1"/>
    <col min="11008" max="11008" width="9.140625" style="52"/>
    <col min="11009" max="11009" width="40.28515625" style="52" bestFit="1" customWidth="1"/>
    <col min="11010" max="11010" width="10" style="52" customWidth="1"/>
    <col min="11011" max="11011" width="10.140625" style="52" customWidth="1"/>
    <col min="11012" max="11012" width="12.28515625" style="52" customWidth="1"/>
    <col min="11013" max="11013" width="15.7109375" style="52" customWidth="1"/>
    <col min="11014" max="11014" width="12.85546875" style="52" customWidth="1"/>
    <col min="11015" max="11015" width="12.7109375" style="52" customWidth="1"/>
    <col min="11016" max="11016" width="12.85546875" style="52" customWidth="1"/>
    <col min="11017" max="11017" width="14.42578125" style="52" customWidth="1"/>
    <col min="11018" max="11262" width="9.140625" style="52"/>
    <col min="11263" max="11263" width="2.7109375" style="52" customWidth="1"/>
    <col min="11264" max="11264" width="9.140625" style="52"/>
    <col min="11265" max="11265" width="40.28515625" style="52" bestFit="1" customWidth="1"/>
    <col min="11266" max="11266" width="10" style="52" customWidth="1"/>
    <col min="11267" max="11267" width="10.140625" style="52" customWidth="1"/>
    <col min="11268" max="11268" width="12.28515625" style="52" customWidth="1"/>
    <col min="11269" max="11269" width="15.7109375" style="52" customWidth="1"/>
    <col min="11270" max="11270" width="12.85546875" style="52" customWidth="1"/>
    <col min="11271" max="11271" width="12.7109375" style="52" customWidth="1"/>
    <col min="11272" max="11272" width="12.85546875" style="52" customWidth="1"/>
    <col min="11273" max="11273" width="14.42578125" style="52" customWidth="1"/>
    <col min="11274" max="11518" width="9.140625" style="52"/>
    <col min="11519" max="11519" width="2.7109375" style="52" customWidth="1"/>
    <col min="11520" max="11520" width="9.140625" style="52"/>
    <col min="11521" max="11521" width="40.28515625" style="52" bestFit="1" customWidth="1"/>
    <col min="11522" max="11522" width="10" style="52" customWidth="1"/>
    <col min="11523" max="11523" width="10.140625" style="52" customWidth="1"/>
    <col min="11524" max="11524" width="12.28515625" style="52" customWidth="1"/>
    <col min="11525" max="11525" width="15.7109375" style="52" customWidth="1"/>
    <col min="11526" max="11526" width="12.85546875" style="52" customWidth="1"/>
    <col min="11527" max="11527" width="12.7109375" style="52" customWidth="1"/>
    <col min="11528" max="11528" width="12.85546875" style="52" customWidth="1"/>
    <col min="11529" max="11529" width="14.42578125" style="52" customWidth="1"/>
    <col min="11530" max="11774" width="9.140625" style="52"/>
    <col min="11775" max="11775" width="2.7109375" style="52" customWidth="1"/>
    <col min="11776" max="11776" width="9.140625" style="52"/>
    <col min="11777" max="11777" width="40.28515625" style="52" bestFit="1" customWidth="1"/>
    <col min="11778" max="11778" width="10" style="52" customWidth="1"/>
    <col min="11779" max="11779" width="10.140625" style="52" customWidth="1"/>
    <col min="11780" max="11780" width="12.28515625" style="52" customWidth="1"/>
    <col min="11781" max="11781" width="15.7109375" style="52" customWidth="1"/>
    <col min="11782" max="11782" width="12.85546875" style="52" customWidth="1"/>
    <col min="11783" max="11783" width="12.7109375" style="52" customWidth="1"/>
    <col min="11784" max="11784" width="12.85546875" style="52" customWidth="1"/>
    <col min="11785" max="11785" width="14.42578125" style="52" customWidth="1"/>
    <col min="11786" max="12030" width="9.140625" style="52"/>
    <col min="12031" max="12031" width="2.7109375" style="52" customWidth="1"/>
    <col min="12032" max="12032" width="9.140625" style="52"/>
    <col min="12033" max="12033" width="40.28515625" style="52" bestFit="1" customWidth="1"/>
    <col min="12034" max="12034" width="10" style="52" customWidth="1"/>
    <col min="12035" max="12035" width="10.140625" style="52" customWidth="1"/>
    <col min="12036" max="12036" width="12.28515625" style="52" customWidth="1"/>
    <col min="12037" max="12037" width="15.7109375" style="52" customWidth="1"/>
    <col min="12038" max="12038" width="12.85546875" style="52" customWidth="1"/>
    <col min="12039" max="12039" width="12.7109375" style="52" customWidth="1"/>
    <col min="12040" max="12040" width="12.85546875" style="52" customWidth="1"/>
    <col min="12041" max="12041" width="14.42578125" style="52" customWidth="1"/>
    <col min="12042" max="12286" width="9.140625" style="52"/>
    <col min="12287" max="12287" width="2.7109375" style="52" customWidth="1"/>
    <col min="12288" max="12288" width="9.140625" style="52"/>
    <col min="12289" max="12289" width="40.28515625" style="52" bestFit="1" customWidth="1"/>
    <col min="12290" max="12290" width="10" style="52" customWidth="1"/>
    <col min="12291" max="12291" width="10.140625" style="52" customWidth="1"/>
    <col min="12292" max="12292" width="12.28515625" style="52" customWidth="1"/>
    <col min="12293" max="12293" width="15.7109375" style="52" customWidth="1"/>
    <col min="12294" max="12294" width="12.85546875" style="52" customWidth="1"/>
    <col min="12295" max="12295" width="12.7109375" style="52" customWidth="1"/>
    <col min="12296" max="12296" width="12.85546875" style="52" customWidth="1"/>
    <col min="12297" max="12297" width="14.42578125" style="52" customWidth="1"/>
    <col min="12298" max="12542" width="9.140625" style="52"/>
    <col min="12543" max="12543" width="2.7109375" style="52" customWidth="1"/>
    <col min="12544" max="12544" width="9.140625" style="52"/>
    <col min="12545" max="12545" width="40.28515625" style="52" bestFit="1" customWidth="1"/>
    <col min="12546" max="12546" width="10" style="52" customWidth="1"/>
    <col min="12547" max="12547" width="10.140625" style="52" customWidth="1"/>
    <col min="12548" max="12548" width="12.28515625" style="52" customWidth="1"/>
    <col min="12549" max="12549" width="15.7109375" style="52" customWidth="1"/>
    <col min="12550" max="12550" width="12.85546875" style="52" customWidth="1"/>
    <col min="12551" max="12551" width="12.7109375" style="52" customWidth="1"/>
    <col min="12552" max="12552" width="12.85546875" style="52" customWidth="1"/>
    <col min="12553" max="12553" width="14.42578125" style="52" customWidth="1"/>
    <col min="12554" max="12798" width="9.140625" style="52"/>
    <col min="12799" max="12799" width="2.7109375" style="52" customWidth="1"/>
    <col min="12800" max="12800" width="9.140625" style="52"/>
    <col min="12801" max="12801" width="40.28515625" style="52" bestFit="1" customWidth="1"/>
    <col min="12802" max="12802" width="10" style="52" customWidth="1"/>
    <col min="12803" max="12803" width="10.140625" style="52" customWidth="1"/>
    <col min="12804" max="12804" width="12.28515625" style="52" customWidth="1"/>
    <col min="12805" max="12805" width="15.7109375" style="52" customWidth="1"/>
    <col min="12806" max="12806" width="12.85546875" style="52" customWidth="1"/>
    <col min="12807" max="12807" width="12.7109375" style="52" customWidth="1"/>
    <col min="12808" max="12808" width="12.85546875" style="52" customWidth="1"/>
    <col min="12809" max="12809" width="14.42578125" style="52" customWidth="1"/>
    <col min="12810" max="13054" width="9.140625" style="52"/>
    <col min="13055" max="13055" width="2.7109375" style="52" customWidth="1"/>
    <col min="13056" max="13056" width="9.140625" style="52"/>
    <col min="13057" max="13057" width="40.28515625" style="52" bestFit="1" customWidth="1"/>
    <col min="13058" max="13058" width="10" style="52" customWidth="1"/>
    <col min="13059" max="13059" width="10.140625" style="52" customWidth="1"/>
    <col min="13060" max="13060" width="12.28515625" style="52" customWidth="1"/>
    <col min="13061" max="13061" width="15.7109375" style="52" customWidth="1"/>
    <col min="13062" max="13062" width="12.85546875" style="52" customWidth="1"/>
    <col min="13063" max="13063" width="12.7109375" style="52" customWidth="1"/>
    <col min="13064" max="13064" width="12.85546875" style="52" customWidth="1"/>
    <col min="13065" max="13065" width="14.42578125" style="52" customWidth="1"/>
    <col min="13066" max="13310" width="9.140625" style="52"/>
    <col min="13311" max="13311" width="2.7109375" style="52" customWidth="1"/>
    <col min="13312" max="13312" width="9.140625" style="52"/>
    <col min="13313" max="13313" width="40.28515625" style="52" bestFit="1" customWidth="1"/>
    <col min="13314" max="13314" width="10" style="52" customWidth="1"/>
    <col min="13315" max="13315" width="10.140625" style="52" customWidth="1"/>
    <col min="13316" max="13316" width="12.28515625" style="52" customWidth="1"/>
    <col min="13317" max="13317" width="15.7109375" style="52" customWidth="1"/>
    <col min="13318" max="13318" width="12.85546875" style="52" customWidth="1"/>
    <col min="13319" max="13319" width="12.7109375" style="52" customWidth="1"/>
    <col min="13320" max="13320" width="12.85546875" style="52" customWidth="1"/>
    <col min="13321" max="13321" width="14.42578125" style="52" customWidth="1"/>
    <col min="13322" max="13566" width="9.140625" style="52"/>
    <col min="13567" max="13567" width="2.7109375" style="52" customWidth="1"/>
    <col min="13568" max="13568" width="9.140625" style="52"/>
    <col min="13569" max="13569" width="40.28515625" style="52" bestFit="1" customWidth="1"/>
    <col min="13570" max="13570" width="10" style="52" customWidth="1"/>
    <col min="13571" max="13571" width="10.140625" style="52" customWidth="1"/>
    <col min="13572" max="13572" width="12.28515625" style="52" customWidth="1"/>
    <col min="13573" max="13573" width="15.7109375" style="52" customWidth="1"/>
    <col min="13574" max="13574" width="12.85546875" style="52" customWidth="1"/>
    <col min="13575" max="13575" width="12.7109375" style="52" customWidth="1"/>
    <col min="13576" max="13576" width="12.85546875" style="52" customWidth="1"/>
    <col min="13577" max="13577" width="14.42578125" style="52" customWidth="1"/>
    <col min="13578" max="13822" width="9.140625" style="52"/>
    <col min="13823" max="13823" width="2.7109375" style="52" customWidth="1"/>
    <col min="13824" max="13824" width="9.140625" style="52"/>
    <col min="13825" max="13825" width="40.28515625" style="52" bestFit="1" customWidth="1"/>
    <col min="13826" max="13826" width="10" style="52" customWidth="1"/>
    <col min="13827" max="13827" width="10.140625" style="52" customWidth="1"/>
    <col min="13828" max="13828" width="12.28515625" style="52" customWidth="1"/>
    <col min="13829" max="13829" width="15.7109375" style="52" customWidth="1"/>
    <col min="13830" max="13830" width="12.85546875" style="52" customWidth="1"/>
    <col min="13831" max="13831" width="12.7109375" style="52" customWidth="1"/>
    <col min="13832" max="13832" width="12.85546875" style="52" customWidth="1"/>
    <col min="13833" max="13833" width="14.42578125" style="52" customWidth="1"/>
    <col min="13834" max="14078" width="9.140625" style="52"/>
    <col min="14079" max="14079" width="2.7109375" style="52" customWidth="1"/>
    <col min="14080" max="14080" width="9.140625" style="52"/>
    <col min="14081" max="14081" width="40.28515625" style="52" bestFit="1" customWidth="1"/>
    <col min="14082" max="14082" width="10" style="52" customWidth="1"/>
    <col min="14083" max="14083" width="10.140625" style="52" customWidth="1"/>
    <col min="14084" max="14084" width="12.28515625" style="52" customWidth="1"/>
    <col min="14085" max="14085" width="15.7109375" style="52" customWidth="1"/>
    <col min="14086" max="14086" width="12.85546875" style="52" customWidth="1"/>
    <col min="14087" max="14087" width="12.7109375" style="52" customWidth="1"/>
    <col min="14088" max="14088" width="12.85546875" style="52" customWidth="1"/>
    <col min="14089" max="14089" width="14.42578125" style="52" customWidth="1"/>
    <col min="14090" max="14334" width="9.140625" style="52"/>
    <col min="14335" max="14335" width="2.7109375" style="52" customWidth="1"/>
    <col min="14336" max="14336" width="9.140625" style="52"/>
    <col min="14337" max="14337" width="40.28515625" style="52" bestFit="1" customWidth="1"/>
    <col min="14338" max="14338" width="10" style="52" customWidth="1"/>
    <col min="14339" max="14339" width="10.140625" style="52" customWidth="1"/>
    <col min="14340" max="14340" width="12.28515625" style="52" customWidth="1"/>
    <col min="14341" max="14341" width="15.7109375" style="52" customWidth="1"/>
    <col min="14342" max="14342" width="12.85546875" style="52" customWidth="1"/>
    <col min="14343" max="14343" width="12.7109375" style="52" customWidth="1"/>
    <col min="14344" max="14344" width="12.85546875" style="52" customWidth="1"/>
    <col min="14345" max="14345" width="14.42578125" style="52" customWidth="1"/>
    <col min="14346" max="14590" width="9.140625" style="52"/>
    <col min="14591" max="14591" width="2.7109375" style="52" customWidth="1"/>
    <col min="14592" max="14592" width="9.140625" style="52"/>
    <col min="14593" max="14593" width="40.28515625" style="52" bestFit="1" customWidth="1"/>
    <col min="14594" max="14594" width="10" style="52" customWidth="1"/>
    <col min="14595" max="14595" width="10.140625" style="52" customWidth="1"/>
    <col min="14596" max="14596" width="12.28515625" style="52" customWidth="1"/>
    <col min="14597" max="14597" width="15.7109375" style="52" customWidth="1"/>
    <col min="14598" max="14598" width="12.85546875" style="52" customWidth="1"/>
    <col min="14599" max="14599" width="12.7109375" style="52" customWidth="1"/>
    <col min="14600" max="14600" width="12.85546875" style="52" customWidth="1"/>
    <col min="14601" max="14601" width="14.42578125" style="52" customWidth="1"/>
    <col min="14602" max="14846" width="9.140625" style="52"/>
    <col min="14847" max="14847" width="2.7109375" style="52" customWidth="1"/>
    <col min="14848" max="14848" width="9.140625" style="52"/>
    <col min="14849" max="14849" width="40.28515625" style="52" bestFit="1" customWidth="1"/>
    <col min="14850" max="14850" width="10" style="52" customWidth="1"/>
    <col min="14851" max="14851" width="10.140625" style="52" customWidth="1"/>
    <col min="14852" max="14852" width="12.28515625" style="52" customWidth="1"/>
    <col min="14853" max="14853" width="15.7109375" style="52" customWidth="1"/>
    <col min="14854" max="14854" width="12.85546875" style="52" customWidth="1"/>
    <col min="14855" max="14855" width="12.7109375" style="52" customWidth="1"/>
    <col min="14856" max="14856" width="12.85546875" style="52" customWidth="1"/>
    <col min="14857" max="14857" width="14.42578125" style="52" customWidth="1"/>
    <col min="14858" max="15102" width="9.140625" style="52"/>
    <col min="15103" max="15103" width="2.7109375" style="52" customWidth="1"/>
    <col min="15104" max="15104" width="9.140625" style="52"/>
    <col min="15105" max="15105" width="40.28515625" style="52" bestFit="1" customWidth="1"/>
    <col min="15106" max="15106" width="10" style="52" customWidth="1"/>
    <col min="15107" max="15107" width="10.140625" style="52" customWidth="1"/>
    <col min="15108" max="15108" width="12.28515625" style="52" customWidth="1"/>
    <col min="15109" max="15109" width="15.7109375" style="52" customWidth="1"/>
    <col min="15110" max="15110" width="12.85546875" style="52" customWidth="1"/>
    <col min="15111" max="15111" width="12.7109375" style="52" customWidth="1"/>
    <col min="15112" max="15112" width="12.85546875" style="52" customWidth="1"/>
    <col min="15113" max="15113" width="14.42578125" style="52" customWidth="1"/>
    <col min="15114" max="15358" width="9.140625" style="52"/>
    <col min="15359" max="15359" width="2.7109375" style="52" customWidth="1"/>
    <col min="15360" max="15360" width="9.140625" style="52"/>
    <col min="15361" max="15361" width="40.28515625" style="52" bestFit="1" customWidth="1"/>
    <col min="15362" max="15362" width="10" style="52" customWidth="1"/>
    <col min="15363" max="15363" width="10.140625" style="52" customWidth="1"/>
    <col min="15364" max="15364" width="12.28515625" style="52" customWidth="1"/>
    <col min="15365" max="15365" width="15.7109375" style="52" customWidth="1"/>
    <col min="15366" max="15366" width="12.85546875" style="52" customWidth="1"/>
    <col min="15367" max="15367" width="12.7109375" style="52" customWidth="1"/>
    <col min="15368" max="15368" width="12.85546875" style="52" customWidth="1"/>
    <col min="15369" max="15369" width="14.42578125" style="52" customWidth="1"/>
    <col min="15370" max="15614" width="9.140625" style="52"/>
    <col min="15615" max="15615" width="2.7109375" style="52" customWidth="1"/>
    <col min="15616" max="15616" width="9.140625" style="52"/>
    <col min="15617" max="15617" width="40.28515625" style="52" bestFit="1" customWidth="1"/>
    <col min="15618" max="15618" width="10" style="52" customWidth="1"/>
    <col min="15619" max="15619" width="10.140625" style="52" customWidth="1"/>
    <col min="15620" max="15620" width="12.28515625" style="52" customWidth="1"/>
    <col min="15621" max="15621" width="15.7109375" style="52" customWidth="1"/>
    <col min="15622" max="15622" width="12.85546875" style="52" customWidth="1"/>
    <col min="15623" max="15623" width="12.7109375" style="52" customWidth="1"/>
    <col min="15624" max="15624" width="12.85546875" style="52" customWidth="1"/>
    <col min="15625" max="15625" width="14.42578125" style="52" customWidth="1"/>
    <col min="15626" max="15870" width="9.140625" style="52"/>
    <col min="15871" max="15871" width="2.7109375" style="52" customWidth="1"/>
    <col min="15872" max="15872" width="9.140625" style="52"/>
    <col min="15873" max="15873" width="40.28515625" style="52" bestFit="1" customWidth="1"/>
    <col min="15874" max="15874" width="10" style="52" customWidth="1"/>
    <col min="15875" max="15875" width="10.140625" style="52" customWidth="1"/>
    <col min="15876" max="15876" width="12.28515625" style="52" customWidth="1"/>
    <col min="15877" max="15877" width="15.7109375" style="52" customWidth="1"/>
    <col min="15878" max="15878" width="12.85546875" style="52" customWidth="1"/>
    <col min="15879" max="15879" width="12.7109375" style="52" customWidth="1"/>
    <col min="15880" max="15880" width="12.85546875" style="52" customWidth="1"/>
    <col min="15881" max="15881" width="14.42578125" style="52" customWidth="1"/>
    <col min="15882" max="16126" width="9.140625" style="52"/>
    <col min="16127" max="16127" width="2.7109375" style="52" customWidth="1"/>
    <col min="16128" max="16128" width="9.140625" style="52"/>
    <col min="16129" max="16129" width="40.28515625" style="52" bestFit="1" customWidth="1"/>
    <col min="16130" max="16130" width="10" style="52" customWidth="1"/>
    <col min="16131" max="16131" width="10.140625" style="52" customWidth="1"/>
    <col min="16132" max="16132" width="12.28515625" style="52" customWidth="1"/>
    <col min="16133" max="16133" width="15.7109375" style="52" customWidth="1"/>
    <col min="16134" max="16134" width="12.85546875" style="52" customWidth="1"/>
    <col min="16135" max="16135" width="12.7109375" style="52" customWidth="1"/>
    <col min="16136" max="16136" width="12.85546875" style="52" customWidth="1"/>
    <col min="16137" max="16137" width="14.42578125" style="52" customWidth="1"/>
    <col min="16138" max="16384" width="9.140625" style="52"/>
  </cols>
  <sheetData>
    <row r="1" spans="1:13" x14ac:dyDescent="0.2">
      <c r="C1" s="155"/>
      <c r="D1" s="154"/>
      <c r="E1" s="155"/>
      <c r="F1" s="155"/>
      <c r="G1" s="155"/>
      <c r="H1" s="155"/>
      <c r="I1" s="155"/>
      <c r="J1" s="152" t="s">
        <v>301</v>
      </c>
      <c r="K1" s="1092" t="str">
        <f>EBNUMBER</f>
        <v>EB-2016-0066</v>
      </c>
      <c r="M1" s="155"/>
    </row>
    <row r="2" spans="1:13" x14ac:dyDescent="0.2">
      <c r="C2" s="155"/>
      <c r="D2" s="154"/>
      <c r="E2" s="155"/>
      <c r="F2" s="155"/>
      <c r="G2" s="155"/>
      <c r="H2" s="155"/>
      <c r="I2" s="155"/>
      <c r="J2" s="152" t="s">
        <v>302</v>
      </c>
      <c r="K2" s="51"/>
      <c r="M2" s="155"/>
    </row>
    <row r="3" spans="1:13" x14ac:dyDescent="0.2">
      <c r="C3" s="155"/>
      <c r="D3" s="154"/>
      <c r="E3" s="155"/>
      <c r="F3" s="155"/>
      <c r="G3" s="155"/>
      <c r="H3" s="155"/>
      <c r="I3" s="155"/>
      <c r="J3" s="152" t="s">
        <v>303</v>
      </c>
      <c r="K3" s="51"/>
      <c r="M3" s="155"/>
    </row>
    <row r="4" spans="1:13" x14ac:dyDescent="0.2">
      <c r="C4" s="155"/>
      <c r="D4" s="154"/>
      <c r="E4" s="155"/>
      <c r="F4" s="155"/>
      <c r="G4" s="155"/>
      <c r="H4" s="155"/>
      <c r="I4" s="155"/>
      <c r="J4" s="152" t="s">
        <v>304</v>
      </c>
      <c r="K4" s="51"/>
      <c r="M4" s="155"/>
    </row>
    <row r="5" spans="1:13" x14ac:dyDescent="0.2">
      <c r="C5" s="155"/>
      <c r="D5" s="154"/>
      <c r="E5" s="155"/>
      <c r="F5" s="155"/>
      <c r="G5" s="155"/>
      <c r="H5" s="155"/>
      <c r="I5" s="155"/>
      <c r="J5" s="152" t="s">
        <v>305</v>
      </c>
      <c r="K5" s="1093"/>
      <c r="M5" s="155"/>
    </row>
    <row r="6" spans="1:13" x14ac:dyDescent="0.2">
      <c r="C6" s="155"/>
      <c r="D6" s="154"/>
      <c r="E6" s="155"/>
      <c r="F6" s="155"/>
      <c r="G6" s="155"/>
      <c r="H6" s="155"/>
      <c r="I6" s="155"/>
      <c r="J6" s="152"/>
      <c r="K6" s="1092"/>
      <c r="M6" s="155"/>
    </row>
    <row r="7" spans="1:13" x14ac:dyDescent="0.2">
      <c r="C7" s="155"/>
      <c r="D7" s="154"/>
      <c r="E7" s="155"/>
      <c r="F7" s="155"/>
      <c r="G7" s="155"/>
      <c r="H7" s="155"/>
      <c r="I7" s="155"/>
      <c r="J7" s="152" t="s">
        <v>306</v>
      </c>
      <c r="K7" s="1093"/>
      <c r="M7" s="239"/>
    </row>
    <row r="9" spans="1:13" ht="18" x14ac:dyDescent="0.2">
      <c r="A9" s="1679" t="s">
        <v>1444</v>
      </c>
      <c r="B9" s="1679"/>
      <c r="C9" s="1679"/>
      <c r="D9" s="1679"/>
      <c r="E9" s="1679"/>
      <c r="F9" s="1679"/>
      <c r="G9" s="1679"/>
      <c r="H9" s="1679"/>
      <c r="I9" s="1679"/>
    </row>
    <row r="10" spans="1:13" ht="18" x14ac:dyDescent="0.2">
      <c r="A10" s="1679" t="s">
        <v>2</v>
      </c>
      <c r="B10" s="1679"/>
      <c r="C10" s="1679"/>
      <c r="D10" s="1679"/>
      <c r="E10" s="1679"/>
      <c r="F10" s="1679"/>
      <c r="G10" s="1679"/>
      <c r="H10" s="1679"/>
      <c r="I10" s="1679"/>
    </row>
    <row r="11" spans="1:13" ht="24" customHeight="1" x14ac:dyDescent="0.2">
      <c r="A11" s="1680" t="s">
        <v>1059</v>
      </c>
      <c r="B11" s="1680"/>
      <c r="C11" s="1680"/>
      <c r="D11" s="1680"/>
      <c r="E11" s="1680"/>
      <c r="F11" s="1680"/>
      <c r="G11" s="1680"/>
      <c r="H11" s="1680"/>
      <c r="I11" s="295"/>
      <c r="J11" s="295"/>
    </row>
    <row r="12" spans="1:13" ht="24" customHeight="1" x14ac:dyDescent="0.2">
      <c r="A12" s="1108"/>
      <c r="B12" s="1108"/>
      <c r="C12" s="1108"/>
      <c r="D12" s="1108"/>
      <c r="E12" s="1108"/>
      <c r="F12" s="1108"/>
      <c r="G12" s="1108"/>
      <c r="H12" s="1108"/>
      <c r="I12" s="295"/>
      <c r="J12" s="295"/>
    </row>
    <row r="13" spans="1:13" ht="24" customHeight="1" x14ac:dyDescent="0.25">
      <c r="A13" s="1700" t="s">
        <v>1042</v>
      </c>
      <c r="B13" s="1701"/>
      <c r="C13" s="878"/>
      <c r="D13" s="1115"/>
      <c r="E13" s="1110"/>
      <c r="F13" s="1110"/>
      <c r="G13" s="1110"/>
      <c r="H13" s="1109"/>
      <c r="I13" s="1109"/>
      <c r="J13" s="1116" t="s">
        <v>1057</v>
      </c>
      <c r="K13" s="1116" t="s">
        <v>882</v>
      </c>
    </row>
    <row r="14" spans="1:13" ht="44.25" customHeight="1" x14ac:dyDescent="0.2">
      <c r="A14" s="1693" t="s">
        <v>1101</v>
      </c>
      <c r="B14" s="1694"/>
      <c r="C14" s="1682" t="s">
        <v>1076</v>
      </c>
      <c r="D14" s="1652"/>
      <c r="E14" s="1652"/>
      <c r="F14" s="1652"/>
      <c r="G14" s="1652"/>
      <c r="H14" s="1652"/>
      <c r="I14" s="1652"/>
      <c r="J14" s="1118">
        <v>2015</v>
      </c>
      <c r="K14" s="1125" t="s">
        <v>105</v>
      </c>
    </row>
    <row r="15" spans="1:13" ht="37.5" customHeight="1" x14ac:dyDescent="0.2">
      <c r="A15" s="1693" t="s">
        <v>1102</v>
      </c>
      <c r="B15" s="1694"/>
      <c r="C15" s="1682" t="s">
        <v>1077</v>
      </c>
      <c r="D15" s="1652"/>
      <c r="E15" s="1652"/>
      <c r="F15" s="1652"/>
      <c r="G15" s="1652"/>
      <c r="H15" s="1652"/>
      <c r="I15" s="1652"/>
      <c r="J15" s="1118">
        <v>2016</v>
      </c>
      <c r="K15" s="1125" t="s">
        <v>105</v>
      </c>
    </row>
    <row r="16" spans="1:13" ht="13.5" customHeight="1" x14ac:dyDescent="0.25">
      <c r="A16" s="1046"/>
      <c r="B16" s="1046"/>
      <c r="C16" s="274"/>
      <c r="D16" s="274"/>
      <c r="E16" s="1046"/>
      <c r="F16" s="1046"/>
      <c r="G16" s="1046"/>
      <c r="H16" s="1046"/>
    </row>
    <row r="17" spans="1:11" ht="13.5" thickBot="1" x14ac:dyDescent="0.25"/>
    <row r="18" spans="1:11" ht="62.25" customHeight="1" x14ac:dyDescent="0.2">
      <c r="A18" s="313" t="s">
        <v>3</v>
      </c>
      <c r="B18" s="1687" t="s">
        <v>235</v>
      </c>
      <c r="C18" s="245" t="s">
        <v>237</v>
      </c>
      <c r="D18" s="245" t="s">
        <v>395</v>
      </c>
      <c r="E18" s="245" t="s">
        <v>385</v>
      </c>
      <c r="F18" s="277" t="s">
        <v>1080</v>
      </c>
      <c r="G18" s="1697" t="s">
        <v>1060</v>
      </c>
      <c r="H18" s="277" t="s">
        <v>388</v>
      </c>
      <c r="I18" s="277" t="s">
        <v>1047</v>
      </c>
      <c r="J18" s="1697" t="s">
        <v>1088</v>
      </c>
      <c r="K18" s="277" t="s">
        <v>1055</v>
      </c>
    </row>
    <row r="19" spans="1:11" ht="51.75" thickBot="1" x14ac:dyDescent="0.25">
      <c r="A19" s="314"/>
      <c r="B19" s="1696"/>
      <c r="C19" s="278" t="s">
        <v>5</v>
      </c>
      <c r="D19" s="278" t="s">
        <v>7</v>
      </c>
      <c r="E19" s="278" t="s">
        <v>8</v>
      </c>
      <c r="F19" s="296" t="s">
        <v>1084</v>
      </c>
      <c r="G19" s="1698"/>
      <c r="H19" s="281" t="s">
        <v>382</v>
      </c>
      <c r="I19" s="281" t="s">
        <v>396</v>
      </c>
      <c r="J19" s="1699"/>
      <c r="K19" s="297" t="s">
        <v>1056</v>
      </c>
    </row>
    <row r="20" spans="1:11" ht="25.5" x14ac:dyDescent="0.2">
      <c r="A20" s="315">
        <v>1611</v>
      </c>
      <c r="B20" s="316" t="s">
        <v>381</v>
      </c>
      <c r="C20" s="173"/>
      <c r="D20" s="317"/>
      <c r="E20" s="318">
        <f t="shared" ref="E20:E57" si="0">IF(D20=0,0,1/D20)</f>
        <v>0</v>
      </c>
      <c r="F20" s="191">
        <f>IF(D20=0,'App.2-CD_DepExp_Yr3'!K20,+'App.2-CD_DepExp_Yr3'!K20+((C20*0.5)/D20))</f>
        <v>0</v>
      </c>
      <c r="G20" s="319"/>
      <c r="H20" s="191">
        <f t="shared" ref="H20:H57" si="1">IF(ISERROR(+F20-G20), 0, +F20-G20)</f>
        <v>0</v>
      </c>
      <c r="I20" s="191">
        <f>IF(D20=0,0,+(C20)/D20)</f>
        <v>0</v>
      </c>
      <c r="J20" s="173"/>
      <c r="K20" s="191">
        <f>IF(ISERROR(+I20+'App.2-CD_DepExp_Yr3'!K20-J20), 0, +I20+'App.2-CD_DepExp_Yr3'!K20-J20)</f>
        <v>0</v>
      </c>
    </row>
    <row r="21" spans="1:11" x14ac:dyDescent="0.2">
      <c r="A21" s="1064">
        <v>1612</v>
      </c>
      <c r="B21" s="172" t="s">
        <v>442</v>
      </c>
      <c r="C21" s="173"/>
      <c r="D21" s="250"/>
      <c r="E21" s="252">
        <f t="shared" si="0"/>
        <v>0</v>
      </c>
      <c r="F21" s="191">
        <f>IF(D21=0,'App.2-CD_DepExp_Yr3'!K21,+'App.2-CD_DepExp_Yr3'!K21+((C21*0.5)/D21))</f>
        <v>0</v>
      </c>
      <c r="G21" s="320"/>
      <c r="H21" s="191">
        <f t="shared" si="1"/>
        <v>0</v>
      </c>
      <c r="I21" s="191">
        <f t="shared" ref="I21:I57" si="2">IF(D21=0,0,+(C21)/D21)</f>
        <v>0</v>
      </c>
      <c r="J21" s="173"/>
      <c r="K21" s="191">
        <f>IF(ISERROR(+I21+'App.2-CD_DepExp_Yr3'!K21-J21), 0, +I21+'App.2-CD_DepExp_Yr3'!K21-J21)</f>
        <v>0</v>
      </c>
    </row>
    <row r="22" spans="1:11" x14ac:dyDescent="0.2">
      <c r="A22" s="253">
        <v>1805</v>
      </c>
      <c r="B22" s="179" t="s">
        <v>267</v>
      </c>
      <c r="C22" s="173"/>
      <c r="D22" s="250"/>
      <c r="E22" s="252">
        <f t="shared" si="0"/>
        <v>0</v>
      </c>
      <c r="F22" s="191">
        <f>IF(D22=0,'App.2-CD_DepExp_Yr3'!K22,+'App.2-CD_DepExp_Yr3'!K22+((C22*0.5)/D22))</f>
        <v>0</v>
      </c>
      <c r="G22" s="320"/>
      <c r="H22" s="191">
        <f t="shared" si="1"/>
        <v>0</v>
      </c>
      <c r="I22" s="191">
        <f t="shared" si="2"/>
        <v>0</v>
      </c>
      <c r="J22" s="173"/>
      <c r="K22" s="191">
        <f>IF(ISERROR(+I22+'App.2-CD_DepExp_Yr3'!K22-J22), 0, +I22+'App.2-CD_DepExp_Yr3'!K22-J22)</f>
        <v>0</v>
      </c>
    </row>
    <row r="23" spans="1:11" x14ac:dyDescent="0.2">
      <c r="A23" s="1064">
        <v>1808</v>
      </c>
      <c r="B23" s="180" t="s">
        <v>268</v>
      </c>
      <c r="C23" s="173"/>
      <c r="D23" s="250"/>
      <c r="E23" s="252">
        <f t="shared" si="0"/>
        <v>0</v>
      </c>
      <c r="F23" s="191">
        <f>IF(D23=0,'App.2-CD_DepExp_Yr3'!K23,+'App.2-CD_DepExp_Yr3'!K23+((C23*0.5)/D23))</f>
        <v>0</v>
      </c>
      <c r="G23" s="320"/>
      <c r="H23" s="191">
        <f t="shared" si="1"/>
        <v>0</v>
      </c>
      <c r="I23" s="191">
        <f t="shared" si="2"/>
        <v>0</v>
      </c>
      <c r="J23" s="173"/>
      <c r="K23" s="191">
        <f>IF(ISERROR(+I23+'App.2-CD_DepExp_Yr3'!K23-J23), 0, +I23+'App.2-CD_DepExp_Yr3'!K23-J23)</f>
        <v>0</v>
      </c>
    </row>
    <row r="24" spans="1:11" x14ac:dyDescent="0.2">
      <c r="A24" s="1064">
        <v>1810</v>
      </c>
      <c r="B24" s="180" t="s">
        <v>299</v>
      </c>
      <c r="C24" s="173"/>
      <c r="D24" s="250"/>
      <c r="E24" s="252">
        <f t="shared" si="0"/>
        <v>0</v>
      </c>
      <c r="F24" s="191">
        <f>IF(D24=0,'App.2-CD_DepExp_Yr3'!K24,+'App.2-CD_DepExp_Yr3'!K24+((C24*0.5)/D24))</f>
        <v>0</v>
      </c>
      <c r="G24" s="320"/>
      <c r="H24" s="191">
        <f t="shared" si="1"/>
        <v>0</v>
      </c>
      <c r="I24" s="191">
        <f t="shared" si="2"/>
        <v>0</v>
      </c>
      <c r="J24" s="173"/>
      <c r="K24" s="191">
        <f>IF(ISERROR(+I24+'App.2-CD_DepExp_Yr3'!K24-J24), 0, +I24+'App.2-CD_DepExp_Yr3'!K24-J24)</f>
        <v>0</v>
      </c>
    </row>
    <row r="25" spans="1:11" x14ac:dyDescent="0.2">
      <c r="A25" s="1064">
        <v>1815</v>
      </c>
      <c r="B25" s="180" t="s">
        <v>269</v>
      </c>
      <c r="C25" s="173"/>
      <c r="D25" s="250"/>
      <c r="E25" s="252">
        <f t="shared" si="0"/>
        <v>0</v>
      </c>
      <c r="F25" s="191">
        <f>IF(D25=0,'App.2-CD_DepExp_Yr3'!K25,+'App.2-CD_DepExp_Yr3'!K25+((C25*0.5)/D25))</f>
        <v>0</v>
      </c>
      <c r="G25" s="320"/>
      <c r="H25" s="191">
        <f t="shared" si="1"/>
        <v>0</v>
      </c>
      <c r="I25" s="191">
        <f t="shared" si="2"/>
        <v>0</v>
      </c>
      <c r="J25" s="173"/>
      <c r="K25" s="191">
        <f>IF(ISERROR(+I25+'App.2-CD_DepExp_Yr3'!K25-J25), 0, +I25+'App.2-CD_DepExp_Yr3'!K25-J25)</f>
        <v>0</v>
      </c>
    </row>
    <row r="26" spans="1:11" x14ac:dyDescent="0.2">
      <c r="A26" s="1064">
        <v>1820</v>
      </c>
      <c r="B26" s="172" t="s">
        <v>207</v>
      </c>
      <c r="C26" s="173"/>
      <c r="D26" s="250"/>
      <c r="E26" s="252">
        <f t="shared" si="0"/>
        <v>0</v>
      </c>
      <c r="F26" s="191">
        <f>IF(D26=0,'App.2-CD_DepExp_Yr3'!K26,+'App.2-CD_DepExp_Yr3'!K26+((C26*0.5)/D26))</f>
        <v>0</v>
      </c>
      <c r="G26" s="320"/>
      <c r="H26" s="191">
        <f t="shared" si="1"/>
        <v>0</v>
      </c>
      <c r="I26" s="191">
        <f t="shared" si="2"/>
        <v>0</v>
      </c>
      <c r="J26" s="173"/>
      <c r="K26" s="191">
        <f>IF(ISERROR(+I26+'App.2-CD_DepExp_Yr3'!K26-J26), 0, +I26+'App.2-CD_DepExp_Yr3'!K26-J26)</f>
        <v>0</v>
      </c>
    </row>
    <row r="27" spans="1:11" x14ac:dyDescent="0.2">
      <c r="A27" s="1064">
        <v>1825</v>
      </c>
      <c r="B27" s="180" t="s">
        <v>270</v>
      </c>
      <c r="C27" s="173"/>
      <c r="D27" s="250"/>
      <c r="E27" s="252">
        <f t="shared" si="0"/>
        <v>0</v>
      </c>
      <c r="F27" s="191">
        <f>IF(D27=0,'App.2-CD_DepExp_Yr3'!K27,+'App.2-CD_DepExp_Yr3'!K27+((C27*0.5)/D27))</f>
        <v>0</v>
      </c>
      <c r="G27" s="320"/>
      <c r="H27" s="191">
        <f t="shared" si="1"/>
        <v>0</v>
      </c>
      <c r="I27" s="191">
        <f t="shared" si="2"/>
        <v>0</v>
      </c>
      <c r="J27" s="173"/>
      <c r="K27" s="191">
        <f>IF(ISERROR(+I27+'App.2-CD_DepExp_Yr3'!K27-J27), 0, +I27+'App.2-CD_DepExp_Yr3'!K27-J27)</f>
        <v>0</v>
      </c>
    </row>
    <row r="28" spans="1:11" x14ac:dyDescent="0.2">
      <c r="A28" s="1064">
        <v>1830</v>
      </c>
      <c r="B28" s="180" t="s">
        <v>271</v>
      </c>
      <c r="C28" s="173"/>
      <c r="D28" s="250"/>
      <c r="E28" s="252">
        <f t="shared" si="0"/>
        <v>0</v>
      </c>
      <c r="F28" s="191">
        <f>IF(D28=0,'App.2-CD_DepExp_Yr3'!K28,+'App.2-CD_DepExp_Yr3'!K28+((C28*0.5)/D28))</f>
        <v>0</v>
      </c>
      <c r="G28" s="320"/>
      <c r="H28" s="191">
        <f t="shared" si="1"/>
        <v>0</v>
      </c>
      <c r="I28" s="191">
        <f t="shared" si="2"/>
        <v>0</v>
      </c>
      <c r="J28" s="173"/>
      <c r="K28" s="191">
        <f>IF(ISERROR(+I28+'App.2-CD_DepExp_Yr3'!K28-J28), 0, +I28+'App.2-CD_DepExp_Yr3'!K28-J28)</f>
        <v>0</v>
      </c>
    </row>
    <row r="29" spans="1:11" x14ac:dyDescent="0.2">
      <c r="A29" s="1064">
        <v>1835</v>
      </c>
      <c r="B29" s="180" t="s">
        <v>208</v>
      </c>
      <c r="C29" s="173"/>
      <c r="D29" s="250"/>
      <c r="E29" s="252">
        <f t="shared" si="0"/>
        <v>0</v>
      </c>
      <c r="F29" s="191">
        <f>IF(D29=0,'App.2-CD_DepExp_Yr3'!K29,+'App.2-CD_DepExp_Yr3'!K29+((C29*0.5)/D29))</f>
        <v>0</v>
      </c>
      <c r="G29" s="320"/>
      <c r="H29" s="191">
        <f t="shared" si="1"/>
        <v>0</v>
      </c>
      <c r="I29" s="191">
        <f t="shared" si="2"/>
        <v>0</v>
      </c>
      <c r="J29" s="173"/>
      <c r="K29" s="191">
        <f>IF(ISERROR(+I29+'App.2-CD_DepExp_Yr3'!K29-J29), 0, +I29+'App.2-CD_DepExp_Yr3'!K29-J29)</f>
        <v>0</v>
      </c>
    </row>
    <row r="30" spans="1:11" x14ac:dyDescent="0.2">
      <c r="A30" s="1064">
        <v>1840</v>
      </c>
      <c r="B30" s="180" t="s">
        <v>209</v>
      </c>
      <c r="C30" s="173"/>
      <c r="D30" s="250"/>
      <c r="E30" s="252">
        <f t="shared" si="0"/>
        <v>0</v>
      </c>
      <c r="F30" s="191">
        <f>IF(D30=0,'App.2-CD_DepExp_Yr3'!K30,+'App.2-CD_DepExp_Yr3'!K30+((C30*0.5)/D30))</f>
        <v>0</v>
      </c>
      <c r="G30" s="320"/>
      <c r="H30" s="191">
        <f t="shared" si="1"/>
        <v>0</v>
      </c>
      <c r="I30" s="191">
        <f t="shared" si="2"/>
        <v>0</v>
      </c>
      <c r="J30" s="173"/>
      <c r="K30" s="191">
        <f>IF(ISERROR(+I30+'App.2-CD_DepExp_Yr3'!K30-J30), 0, +I30+'App.2-CD_DepExp_Yr3'!K30-J30)</f>
        <v>0</v>
      </c>
    </row>
    <row r="31" spans="1:11" x14ac:dyDescent="0.2">
      <c r="A31" s="1064">
        <v>1845</v>
      </c>
      <c r="B31" s="180" t="s">
        <v>210</v>
      </c>
      <c r="C31" s="173"/>
      <c r="D31" s="250"/>
      <c r="E31" s="252">
        <f t="shared" si="0"/>
        <v>0</v>
      </c>
      <c r="F31" s="191">
        <f>IF(D31=0,'App.2-CD_DepExp_Yr3'!K31,+'App.2-CD_DepExp_Yr3'!K31+((C31*0.5)/D31))</f>
        <v>0</v>
      </c>
      <c r="G31" s="320"/>
      <c r="H31" s="191">
        <f t="shared" si="1"/>
        <v>0</v>
      </c>
      <c r="I31" s="191">
        <f t="shared" si="2"/>
        <v>0</v>
      </c>
      <c r="J31" s="173"/>
      <c r="K31" s="191">
        <f>IF(ISERROR(+I31+'App.2-CD_DepExp_Yr3'!K31-J31), 0, +I31+'App.2-CD_DepExp_Yr3'!K31-J31)</f>
        <v>0</v>
      </c>
    </row>
    <row r="32" spans="1:11" x14ac:dyDescent="0.2">
      <c r="A32" s="1064">
        <v>1850</v>
      </c>
      <c r="B32" s="180" t="s">
        <v>272</v>
      </c>
      <c r="C32" s="173"/>
      <c r="D32" s="250"/>
      <c r="E32" s="252">
        <f t="shared" si="0"/>
        <v>0</v>
      </c>
      <c r="F32" s="191">
        <f>IF(D32=0,'App.2-CD_DepExp_Yr3'!K32,+'App.2-CD_DepExp_Yr3'!K32+((C32*0.5)/D32))</f>
        <v>0</v>
      </c>
      <c r="G32" s="320"/>
      <c r="H32" s="191">
        <f t="shared" si="1"/>
        <v>0</v>
      </c>
      <c r="I32" s="191">
        <f t="shared" si="2"/>
        <v>0</v>
      </c>
      <c r="J32" s="173"/>
      <c r="K32" s="191">
        <f>IF(ISERROR(+I32+'App.2-CD_DepExp_Yr3'!K32-J32), 0, +I32+'App.2-CD_DepExp_Yr3'!K32-J32)</f>
        <v>0</v>
      </c>
    </row>
    <row r="33" spans="1:11" x14ac:dyDescent="0.2">
      <c r="A33" s="1064">
        <v>1855</v>
      </c>
      <c r="B33" s="180" t="s">
        <v>211</v>
      </c>
      <c r="C33" s="173"/>
      <c r="D33" s="250"/>
      <c r="E33" s="252">
        <f t="shared" si="0"/>
        <v>0</v>
      </c>
      <c r="F33" s="191">
        <f>IF(D33=0,'App.2-CD_DepExp_Yr3'!K33,+'App.2-CD_DepExp_Yr3'!K33+((C33*0.5)/D33))</f>
        <v>0</v>
      </c>
      <c r="G33" s="320"/>
      <c r="H33" s="191">
        <f t="shared" si="1"/>
        <v>0</v>
      </c>
      <c r="I33" s="191">
        <f t="shared" si="2"/>
        <v>0</v>
      </c>
      <c r="J33" s="173"/>
      <c r="K33" s="191">
        <f>IF(ISERROR(+I33+'App.2-CD_DepExp_Yr3'!K33-J33), 0, +I33+'App.2-CD_DepExp_Yr3'!K33-J33)</f>
        <v>0</v>
      </c>
    </row>
    <row r="34" spans="1:11" x14ac:dyDescent="0.2">
      <c r="A34" s="1064">
        <v>1860</v>
      </c>
      <c r="B34" s="180" t="s">
        <v>273</v>
      </c>
      <c r="C34" s="173"/>
      <c r="D34" s="250"/>
      <c r="E34" s="252">
        <f t="shared" si="0"/>
        <v>0</v>
      </c>
      <c r="F34" s="191">
        <f>IF(D34=0,'App.2-CD_DepExp_Yr3'!K34,+'App.2-CD_DepExp_Yr3'!K34+((C34*0.5)/D34))</f>
        <v>0</v>
      </c>
      <c r="G34" s="320"/>
      <c r="H34" s="191">
        <f t="shared" si="1"/>
        <v>0</v>
      </c>
      <c r="I34" s="191">
        <f t="shared" si="2"/>
        <v>0</v>
      </c>
      <c r="J34" s="173"/>
      <c r="K34" s="191">
        <f>IF(ISERROR(+I34+'App.2-CD_DepExp_Yr3'!K34-J34), 0, +I34+'App.2-CD_DepExp_Yr3'!K34-J34)</f>
        <v>0</v>
      </c>
    </row>
    <row r="35" spans="1:11" x14ac:dyDescent="0.2">
      <c r="A35" s="253">
        <v>1860</v>
      </c>
      <c r="B35" s="179" t="s">
        <v>212</v>
      </c>
      <c r="C35" s="173"/>
      <c r="D35" s="250"/>
      <c r="E35" s="252">
        <f t="shared" si="0"/>
        <v>0</v>
      </c>
      <c r="F35" s="191">
        <f>IF(D35=0,'App.2-CD_DepExp_Yr3'!K35,+'App.2-CD_DepExp_Yr3'!K35+((C35*0.5)/D35))</f>
        <v>0</v>
      </c>
      <c r="G35" s="320"/>
      <c r="H35" s="191">
        <f t="shared" si="1"/>
        <v>0</v>
      </c>
      <c r="I35" s="191">
        <f t="shared" si="2"/>
        <v>0</v>
      </c>
      <c r="J35" s="173"/>
      <c r="K35" s="191">
        <f>IF(ISERROR(+I35+'App.2-CD_DepExp_Yr3'!K35-J35), 0, +I35+'App.2-CD_DepExp_Yr3'!K35-J35)</f>
        <v>0</v>
      </c>
    </row>
    <row r="36" spans="1:11" x14ac:dyDescent="0.2">
      <c r="A36" s="253">
        <v>1905</v>
      </c>
      <c r="B36" s="179" t="s">
        <v>267</v>
      </c>
      <c r="C36" s="173"/>
      <c r="D36" s="250"/>
      <c r="E36" s="252">
        <f t="shared" si="0"/>
        <v>0</v>
      </c>
      <c r="F36" s="191">
        <f>IF(D36=0,'App.2-CD_DepExp_Yr3'!K36,+'App.2-CD_DepExp_Yr3'!K36+((C36*0.5)/D36))</f>
        <v>0</v>
      </c>
      <c r="G36" s="320"/>
      <c r="H36" s="191">
        <f t="shared" si="1"/>
        <v>0</v>
      </c>
      <c r="I36" s="191">
        <f t="shared" si="2"/>
        <v>0</v>
      </c>
      <c r="J36" s="173"/>
      <c r="K36" s="191">
        <f>IF(ISERROR(+I36+'App.2-CD_DepExp_Yr3'!K36-J36), 0, +I36+'App.2-CD_DepExp_Yr3'!K36-J36)</f>
        <v>0</v>
      </c>
    </row>
    <row r="37" spans="1:11" x14ac:dyDescent="0.2">
      <c r="A37" s="1064">
        <v>1908</v>
      </c>
      <c r="B37" s="180" t="s">
        <v>275</v>
      </c>
      <c r="C37" s="173"/>
      <c r="D37" s="250"/>
      <c r="E37" s="252">
        <f t="shared" si="0"/>
        <v>0</v>
      </c>
      <c r="F37" s="191">
        <f>IF(D37=0,'App.2-CD_DepExp_Yr3'!K37,+'App.2-CD_DepExp_Yr3'!K37+((C37*0.5)/D37))</f>
        <v>0</v>
      </c>
      <c r="G37" s="320"/>
      <c r="H37" s="191">
        <f t="shared" si="1"/>
        <v>0</v>
      </c>
      <c r="I37" s="191">
        <f t="shared" si="2"/>
        <v>0</v>
      </c>
      <c r="J37" s="173"/>
      <c r="K37" s="191">
        <f>IF(ISERROR(+I37+'App.2-CD_DepExp_Yr3'!K37-J37), 0, +I37+'App.2-CD_DepExp_Yr3'!K37-J37)</f>
        <v>0</v>
      </c>
    </row>
    <row r="38" spans="1:11" x14ac:dyDescent="0.2">
      <c r="A38" s="1064">
        <v>1910</v>
      </c>
      <c r="B38" s="180" t="s">
        <v>299</v>
      </c>
      <c r="C38" s="173"/>
      <c r="D38" s="250"/>
      <c r="E38" s="252">
        <f t="shared" si="0"/>
        <v>0</v>
      </c>
      <c r="F38" s="191">
        <f>IF(D38=0,'App.2-CD_DepExp_Yr3'!K38,+'App.2-CD_DepExp_Yr3'!K38+((C38*0.5)/D38))</f>
        <v>0</v>
      </c>
      <c r="G38" s="320"/>
      <c r="H38" s="191">
        <f t="shared" si="1"/>
        <v>0</v>
      </c>
      <c r="I38" s="191">
        <f t="shared" si="2"/>
        <v>0</v>
      </c>
      <c r="J38" s="173"/>
      <c r="K38" s="191">
        <f>IF(ISERROR(+I38+'App.2-CD_DepExp_Yr3'!K38-J38), 0, +I38+'App.2-CD_DepExp_Yr3'!K38-J38)</f>
        <v>0</v>
      </c>
    </row>
    <row r="39" spans="1:11" x14ac:dyDescent="0.2">
      <c r="A39" s="1064">
        <v>1915</v>
      </c>
      <c r="B39" s="180" t="s">
        <v>213</v>
      </c>
      <c r="C39" s="173"/>
      <c r="D39" s="250"/>
      <c r="E39" s="252">
        <f t="shared" si="0"/>
        <v>0</v>
      </c>
      <c r="F39" s="191">
        <f>IF(D39=0,'App.2-CD_DepExp_Yr3'!K39,+'App.2-CD_DepExp_Yr3'!K39+((C39*0.5)/D39))</f>
        <v>0</v>
      </c>
      <c r="G39" s="320"/>
      <c r="H39" s="191">
        <f t="shared" si="1"/>
        <v>0</v>
      </c>
      <c r="I39" s="191">
        <f t="shared" si="2"/>
        <v>0</v>
      </c>
      <c r="J39" s="173"/>
      <c r="K39" s="191">
        <f>IF(ISERROR(+I39+'App.2-CD_DepExp_Yr3'!K39-J39), 0, +I39+'App.2-CD_DepExp_Yr3'!K39-J39)</f>
        <v>0</v>
      </c>
    </row>
    <row r="40" spans="1:11" x14ac:dyDescent="0.2">
      <c r="A40" s="1064">
        <v>1915</v>
      </c>
      <c r="B40" s="180" t="s">
        <v>214</v>
      </c>
      <c r="C40" s="173"/>
      <c r="D40" s="250"/>
      <c r="E40" s="252">
        <f t="shared" si="0"/>
        <v>0</v>
      </c>
      <c r="F40" s="191">
        <f>IF(D40=0,'App.2-CD_DepExp_Yr3'!K40,+'App.2-CD_DepExp_Yr3'!K40+((C40*0.5)/D40))</f>
        <v>0</v>
      </c>
      <c r="G40" s="320"/>
      <c r="H40" s="191">
        <f t="shared" si="1"/>
        <v>0</v>
      </c>
      <c r="I40" s="191">
        <f t="shared" si="2"/>
        <v>0</v>
      </c>
      <c r="J40" s="173"/>
      <c r="K40" s="191">
        <f>IF(ISERROR(+I40+'App.2-CD_DepExp_Yr3'!K40-J40), 0, +I40+'App.2-CD_DepExp_Yr3'!K40-J40)</f>
        <v>0</v>
      </c>
    </row>
    <row r="41" spans="1:11" x14ac:dyDescent="0.2">
      <c r="A41" s="1064">
        <v>1920</v>
      </c>
      <c r="B41" s="180" t="s">
        <v>215</v>
      </c>
      <c r="C41" s="173"/>
      <c r="D41" s="250"/>
      <c r="E41" s="252">
        <f t="shared" si="0"/>
        <v>0</v>
      </c>
      <c r="F41" s="191">
        <f>IF(D41=0,'App.2-CD_DepExp_Yr3'!K41,+'App.2-CD_DepExp_Yr3'!K41+((C41*0.5)/D41))</f>
        <v>0</v>
      </c>
      <c r="G41" s="320"/>
      <c r="H41" s="191">
        <f t="shared" si="1"/>
        <v>0</v>
      </c>
      <c r="I41" s="191">
        <f t="shared" si="2"/>
        <v>0</v>
      </c>
      <c r="J41" s="173"/>
      <c r="K41" s="191">
        <f>IF(ISERROR(+I41+'App.2-CD_DepExp_Yr3'!K41-J41), 0, +I41+'App.2-CD_DepExp_Yr3'!K41-J41)</f>
        <v>0</v>
      </c>
    </row>
    <row r="42" spans="1:11" x14ac:dyDescent="0.2">
      <c r="A42" s="254">
        <v>1920</v>
      </c>
      <c r="B42" s="172" t="s">
        <v>217</v>
      </c>
      <c r="C42" s="173"/>
      <c r="D42" s="250"/>
      <c r="E42" s="252">
        <f t="shared" si="0"/>
        <v>0</v>
      </c>
      <c r="F42" s="191">
        <f>IF(D42=0,'App.2-CD_DepExp_Yr3'!K42,+'App.2-CD_DepExp_Yr3'!K42+((C42*0.5)/D42))</f>
        <v>0</v>
      </c>
      <c r="G42" s="320"/>
      <c r="H42" s="191">
        <f t="shared" si="1"/>
        <v>0</v>
      </c>
      <c r="I42" s="191">
        <f t="shared" si="2"/>
        <v>0</v>
      </c>
      <c r="J42" s="173"/>
      <c r="K42" s="191">
        <f>IF(ISERROR(+I42+'App.2-CD_DepExp_Yr3'!K42-J42), 0, +I42+'App.2-CD_DepExp_Yr3'!K42-J42)</f>
        <v>0</v>
      </c>
    </row>
    <row r="43" spans="1:11" x14ac:dyDescent="0.2">
      <c r="A43" s="254">
        <v>1920</v>
      </c>
      <c r="B43" s="172" t="s">
        <v>216</v>
      </c>
      <c r="C43" s="173"/>
      <c r="D43" s="250"/>
      <c r="E43" s="252">
        <f t="shared" si="0"/>
        <v>0</v>
      </c>
      <c r="F43" s="191">
        <f>IF(D43=0,'App.2-CD_DepExp_Yr3'!K43,+'App.2-CD_DepExp_Yr3'!K43+((C43*0.5)/D43))</f>
        <v>0</v>
      </c>
      <c r="G43" s="320"/>
      <c r="H43" s="191">
        <f t="shared" si="1"/>
        <v>0</v>
      </c>
      <c r="I43" s="191">
        <f t="shared" si="2"/>
        <v>0</v>
      </c>
      <c r="J43" s="173"/>
      <c r="K43" s="191">
        <f>IF(ISERROR(+I43+'App.2-CD_DepExp_Yr3'!K43-J43), 0, +I43+'App.2-CD_DepExp_Yr3'!K43-J43)</f>
        <v>0</v>
      </c>
    </row>
    <row r="44" spans="1:11" x14ac:dyDescent="0.2">
      <c r="A44" s="1064">
        <v>1930</v>
      </c>
      <c r="B44" s="180" t="s">
        <v>286</v>
      </c>
      <c r="C44" s="173"/>
      <c r="D44" s="250"/>
      <c r="E44" s="252">
        <f t="shared" si="0"/>
        <v>0</v>
      </c>
      <c r="F44" s="191">
        <f>IF(D44=0,'App.2-CD_DepExp_Yr3'!K44,+'App.2-CD_DepExp_Yr3'!K44+((C44*0.5)/D44))</f>
        <v>0</v>
      </c>
      <c r="G44" s="320"/>
      <c r="H44" s="191">
        <f t="shared" si="1"/>
        <v>0</v>
      </c>
      <c r="I44" s="191">
        <f t="shared" si="2"/>
        <v>0</v>
      </c>
      <c r="J44" s="173"/>
      <c r="K44" s="191">
        <f>IF(ISERROR(+I44+'App.2-CD_DepExp_Yr3'!K44-J44), 0, +I44+'App.2-CD_DepExp_Yr3'!K44-J44)</f>
        <v>0</v>
      </c>
    </row>
    <row r="45" spans="1:11" x14ac:dyDescent="0.2">
      <c r="A45" s="1064">
        <v>1935</v>
      </c>
      <c r="B45" s="180" t="s">
        <v>287</v>
      </c>
      <c r="C45" s="173"/>
      <c r="D45" s="250"/>
      <c r="E45" s="252">
        <f t="shared" si="0"/>
        <v>0</v>
      </c>
      <c r="F45" s="191">
        <f>IF(D45=0,'App.2-CD_DepExp_Yr3'!K45,+'App.2-CD_DepExp_Yr3'!K45+((C45*0.5)/D45))</f>
        <v>0</v>
      </c>
      <c r="G45" s="320"/>
      <c r="H45" s="191">
        <f t="shared" si="1"/>
        <v>0</v>
      </c>
      <c r="I45" s="191">
        <f t="shared" si="2"/>
        <v>0</v>
      </c>
      <c r="J45" s="173"/>
      <c r="K45" s="191">
        <f>IF(ISERROR(+I45+'App.2-CD_DepExp_Yr3'!K45-J45), 0, +I45+'App.2-CD_DepExp_Yr3'!K45-J45)</f>
        <v>0</v>
      </c>
    </row>
    <row r="46" spans="1:11" x14ac:dyDescent="0.2">
      <c r="A46" s="1064">
        <v>1940</v>
      </c>
      <c r="B46" s="180" t="s">
        <v>288</v>
      </c>
      <c r="C46" s="173"/>
      <c r="D46" s="250"/>
      <c r="E46" s="252">
        <f t="shared" si="0"/>
        <v>0</v>
      </c>
      <c r="F46" s="191">
        <f>IF(D46=0,'App.2-CD_DepExp_Yr3'!K46,+'App.2-CD_DepExp_Yr3'!K46+((C46*0.5)/D46))</f>
        <v>0</v>
      </c>
      <c r="G46" s="320"/>
      <c r="H46" s="191">
        <f t="shared" si="1"/>
        <v>0</v>
      </c>
      <c r="I46" s="191">
        <f t="shared" si="2"/>
        <v>0</v>
      </c>
      <c r="J46" s="173"/>
      <c r="K46" s="191">
        <f>IF(ISERROR(+I46+'App.2-CD_DepExp_Yr3'!K46-J46), 0, +I46+'App.2-CD_DepExp_Yr3'!K46-J46)</f>
        <v>0</v>
      </c>
    </row>
    <row r="47" spans="1:11" x14ac:dyDescent="0.2">
      <c r="A47" s="1064">
        <v>1945</v>
      </c>
      <c r="B47" s="180" t="s">
        <v>289</v>
      </c>
      <c r="C47" s="173"/>
      <c r="D47" s="250"/>
      <c r="E47" s="252">
        <f t="shared" si="0"/>
        <v>0</v>
      </c>
      <c r="F47" s="191">
        <f>IF(D47=0,'App.2-CD_DepExp_Yr3'!K47,+'App.2-CD_DepExp_Yr3'!K47+((C47*0.5)/D47))</f>
        <v>0</v>
      </c>
      <c r="G47" s="320"/>
      <c r="H47" s="191">
        <f t="shared" si="1"/>
        <v>0</v>
      </c>
      <c r="I47" s="191">
        <f t="shared" si="2"/>
        <v>0</v>
      </c>
      <c r="J47" s="173"/>
      <c r="K47" s="191">
        <f>IF(ISERROR(+I47+'App.2-CD_DepExp_Yr3'!K47-J47), 0, +I47+'App.2-CD_DepExp_Yr3'!K47-J47)</f>
        <v>0</v>
      </c>
    </row>
    <row r="48" spans="1:11" x14ac:dyDescent="0.2">
      <c r="A48" s="1064">
        <v>1950</v>
      </c>
      <c r="B48" s="180" t="s">
        <v>218</v>
      </c>
      <c r="C48" s="173"/>
      <c r="D48" s="250"/>
      <c r="E48" s="252">
        <f t="shared" si="0"/>
        <v>0</v>
      </c>
      <c r="F48" s="191">
        <f>IF(D48=0,'App.2-CD_DepExp_Yr3'!K48,+'App.2-CD_DepExp_Yr3'!K48+((C48*0.5)/D48))</f>
        <v>0</v>
      </c>
      <c r="G48" s="320"/>
      <c r="H48" s="191">
        <f t="shared" si="1"/>
        <v>0</v>
      </c>
      <c r="I48" s="191">
        <f t="shared" si="2"/>
        <v>0</v>
      </c>
      <c r="J48" s="173"/>
      <c r="K48" s="191">
        <f>IF(ISERROR(+I48+'App.2-CD_DepExp_Yr3'!K48-J48), 0, +I48+'App.2-CD_DepExp_Yr3'!K48-J48)</f>
        <v>0</v>
      </c>
    </row>
    <row r="49" spans="1:11" x14ac:dyDescent="0.2">
      <c r="A49" s="1064">
        <v>1955</v>
      </c>
      <c r="B49" s="180" t="s">
        <v>290</v>
      </c>
      <c r="C49" s="173"/>
      <c r="D49" s="250"/>
      <c r="E49" s="252">
        <f t="shared" si="0"/>
        <v>0</v>
      </c>
      <c r="F49" s="191">
        <f>IF(D49=0,'App.2-CD_DepExp_Yr3'!K49,+'App.2-CD_DepExp_Yr3'!K49+((C49*0.5)/D49))</f>
        <v>0</v>
      </c>
      <c r="G49" s="320"/>
      <c r="H49" s="191">
        <f t="shared" si="1"/>
        <v>0</v>
      </c>
      <c r="I49" s="191">
        <f t="shared" si="2"/>
        <v>0</v>
      </c>
      <c r="J49" s="173"/>
      <c r="K49" s="191">
        <f>IF(ISERROR(+I49+'App.2-CD_DepExp_Yr3'!K49-J49), 0, +I49+'App.2-CD_DepExp_Yr3'!K49-J49)</f>
        <v>0</v>
      </c>
    </row>
    <row r="50" spans="1:11" x14ac:dyDescent="0.2">
      <c r="A50" s="255">
        <v>1955</v>
      </c>
      <c r="B50" s="184" t="s">
        <v>219</v>
      </c>
      <c r="C50" s="173"/>
      <c r="D50" s="250"/>
      <c r="E50" s="252">
        <f t="shared" si="0"/>
        <v>0</v>
      </c>
      <c r="F50" s="191">
        <f>IF(D50=0,'App.2-CD_DepExp_Yr3'!K50,+'App.2-CD_DepExp_Yr3'!K50+((C50*0.5)/D50))</f>
        <v>0</v>
      </c>
      <c r="G50" s="320"/>
      <c r="H50" s="191">
        <f t="shared" si="1"/>
        <v>0</v>
      </c>
      <c r="I50" s="191">
        <f t="shared" si="2"/>
        <v>0</v>
      </c>
      <c r="J50" s="173"/>
      <c r="K50" s="191">
        <f>IF(ISERROR(+I50+'App.2-CD_DepExp_Yr3'!K50-J50), 0, +I50+'App.2-CD_DepExp_Yr3'!K50-J50)</f>
        <v>0</v>
      </c>
    </row>
    <row r="51" spans="1:11" x14ac:dyDescent="0.2">
      <c r="A51" s="254">
        <v>1960</v>
      </c>
      <c r="B51" s="172" t="s">
        <v>220</v>
      </c>
      <c r="C51" s="173"/>
      <c r="D51" s="250"/>
      <c r="E51" s="252">
        <f t="shared" si="0"/>
        <v>0</v>
      </c>
      <c r="F51" s="191">
        <f>IF(D51=0,'App.2-CD_DepExp_Yr3'!K51,+'App.2-CD_DepExp_Yr3'!K51+((C51*0.5)/D51))</f>
        <v>0</v>
      </c>
      <c r="G51" s="320"/>
      <c r="H51" s="191">
        <f t="shared" si="1"/>
        <v>0</v>
      </c>
      <c r="I51" s="191">
        <f t="shared" si="2"/>
        <v>0</v>
      </c>
      <c r="J51" s="173"/>
      <c r="K51" s="191">
        <f>IF(ISERROR(+I51+'App.2-CD_DepExp_Yr3'!K51-J51), 0, +I51+'App.2-CD_DepExp_Yr3'!K51-J51)</f>
        <v>0</v>
      </c>
    </row>
    <row r="52" spans="1:11" x14ac:dyDescent="0.2">
      <c r="A52" s="255">
        <v>1970</v>
      </c>
      <c r="B52" s="256" t="s">
        <v>501</v>
      </c>
      <c r="C52" s="173"/>
      <c r="D52" s="250"/>
      <c r="E52" s="252">
        <f t="shared" si="0"/>
        <v>0</v>
      </c>
      <c r="F52" s="191">
        <f>IF(D52=0,'App.2-CD_DepExp_Yr3'!K52,+'App.2-CD_DepExp_Yr3'!K52+((C52*0.5)/D52))</f>
        <v>0</v>
      </c>
      <c r="G52" s="320"/>
      <c r="H52" s="191">
        <f t="shared" si="1"/>
        <v>0</v>
      </c>
      <c r="I52" s="191">
        <f t="shared" si="2"/>
        <v>0</v>
      </c>
      <c r="J52" s="173"/>
      <c r="K52" s="191">
        <f>IF(ISERROR(+I52+'App.2-CD_DepExp_Yr3'!K52-J52), 0, +I52+'App.2-CD_DepExp_Yr3'!K52-J52)</f>
        <v>0</v>
      </c>
    </row>
    <row r="53" spans="1:11" x14ac:dyDescent="0.2">
      <c r="A53" s="1064">
        <v>1975</v>
      </c>
      <c r="B53" s="180" t="s">
        <v>291</v>
      </c>
      <c r="C53" s="173"/>
      <c r="D53" s="250"/>
      <c r="E53" s="252">
        <f t="shared" si="0"/>
        <v>0</v>
      </c>
      <c r="F53" s="191">
        <f>IF(D53=0,'App.2-CD_DepExp_Yr3'!K53,+'App.2-CD_DepExp_Yr3'!K53+((C53*0.5)/D53))</f>
        <v>0</v>
      </c>
      <c r="G53" s="320"/>
      <c r="H53" s="191">
        <f t="shared" si="1"/>
        <v>0</v>
      </c>
      <c r="I53" s="191">
        <f t="shared" si="2"/>
        <v>0</v>
      </c>
      <c r="J53" s="173"/>
      <c r="K53" s="191">
        <f>IF(ISERROR(+I53+'App.2-CD_DepExp_Yr3'!K53-J53), 0, +I53+'App.2-CD_DepExp_Yr3'!K53-J53)</f>
        <v>0</v>
      </c>
    </row>
    <row r="54" spans="1:11" x14ac:dyDescent="0.2">
      <c r="A54" s="1064">
        <v>1980</v>
      </c>
      <c r="B54" s="180" t="s">
        <v>292</v>
      </c>
      <c r="C54" s="173"/>
      <c r="D54" s="250"/>
      <c r="E54" s="252">
        <f t="shared" si="0"/>
        <v>0</v>
      </c>
      <c r="F54" s="191">
        <f>IF(D54=0,'App.2-CD_DepExp_Yr3'!K54,+'App.2-CD_DepExp_Yr3'!K54+((C54*0.5)/D54))</f>
        <v>0</v>
      </c>
      <c r="G54" s="320"/>
      <c r="H54" s="191">
        <f t="shared" si="1"/>
        <v>0</v>
      </c>
      <c r="I54" s="191">
        <f t="shared" si="2"/>
        <v>0</v>
      </c>
      <c r="J54" s="173"/>
      <c r="K54" s="191">
        <f>IF(ISERROR(+I54+'App.2-CD_DepExp_Yr3'!K54-J54), 0, +I54+'App.2-CD_DepExp_Yr3'!K54-J54)</f>
        <v>0</v>
      </c>
    </row>
    <row r="55" spans="1:11" x14ac:dyDescent="0.2">
      <c r="A55" s="1064">
        <v>1985</v>
      </c>
      <c r="B55" s="180" t="s">
        <v>293</v>
      </c>
      <c r="C55" s="173"/>
      <c r="D55" s="250"/>
      <c r="E55" s="252">
        <f t="shared" si="0"/>
        <v>0</v>
      </c>
      <c r="F55" s="191">
        <f>IF(D55=0,'App.2-CD_DepExp_Yr3'!K55,+'App.2-CD_DepExp_Yr3'!K55+((C55*0.5)/D55))</f>
        <v>0</v>
      </c>
      <c r="G55" s="320"/>
      <c r="H55" s="191">
        <f t="shared" si="1"/>
        <v>0</v>
      </c>
      <c r="I55" s="191">
        <f t="shared" si="2"/>
        <v>0</v>
      </c>
      <c r="J55" s="173"/>
      <c r="K55" s="191">
        <f>IF(ISERROR(+I55+'App.2-CD_DepExp_Yr3'!K55-J55), 0, +I55+'App.2-CD_DepExp_Yr3'!K55-J55)</f>
        <v>0</v>
      </c>
    </row>
    <row r="56" spans="1:11" x14ac:dyDescent="0.2">
      <c r="A56" s="1064">
        <v>1990</v>
      </c>
      <c r="B56" s="1061" t="s">
        <v>502</v>
      </c>
      <c r="C56" s="173"/>
      <c r="D56" s="250"/>
      <c r="E56" s="252">
        <f t="shared" si="0"/>
        <v>0</v>
      </c>
      <c r="F56" s="191">
        <f>IF(D56=0,'App.2-CD_DepExp_Yr3'!K56,+'App.2-CD_DepExp_Yr3'!K56+((C56*0.5)/D56))</f>
        <v>0</v>
      </c>
      <c r="G56" s="320"/>
      <c r="H56" s="191">
        <f t="shared" si="1"/>
        <v>0</v>
      </c>
      <c r="I56" s="191">
        <f t="shared" si="2"/>
        <v>0</v>
      </c>
      <c r="J56" s="173"/>
      <c r="K56" s="191">
        <f>IF(ISERROR(+I56+'App.2-CD_DepExp_Yr3'!K56-J56), 0, +I56+'App.2-CD_DepExp_Yr3'!K56-J56)</f>
        <v>0</v>
      </c>
    </row>
    <row r="57" spans="1:11" ht="13.5" thickBot="1" x14ac:dyDescent="0.25">
      <c r="A57" s="1058">
        <v>1995</v>
      </c>
      <c r="B57" s="180" t="s">
        <v>294</v>
      </c>
      <c r="C57" s="257"/>
      <c r="D57" s="259"/>
      <c r="E57" s="260">
        <f t="shared" si="0"/>
        <v>0</v>
      </c>
      <c r="F57" s="285">
        <f>IF(D57=0,'App.2-CD_DepExp_Yr3'!K57,+'App.2-CD_DepExp_Yr3'!K57+((C57*0.5)/D57))</f>
        <v>0</v>
      </c>
      <c r="G57" s="321"/>
      <c r="H57" s="285">
        <f t="shared" si="1"/>
        <v>0</v>
      </c>
      <c r="I57" s="285">
        <f t="shared" si="2"/>
        <v>0</v>
      </c>
      <c r="J57" s="257"/>
      <c r="K57" s="285">
        <f>IF(ISERROR(+I57+'App.2-CD_DepExp_Yr3'!K57-J57), 0, +I57+'App.2-CD_DepExp_Yr3'!K57-J57)</f>
        <v>0</v>
      </c>
    </row>
    <row r="58" spans="1:11" ht="14.25" thickTop="1" thickBot="1" x14ac:dyDescent="0.25">
      <c r="A58" s="261"/>
      <c r="B58" s="301" t="s">
        <v>295</v>
      </c>
      <c r="C58" s="307">
        <f>SUM(C20:C57)</f>
        <v>0</v>
      </c>
      <c r="D58" s="308"/>
      <c r="E58" s="266"/>
      <c r="F58" s="310">
        <f t="shared" ref="F58:K58" si="3">SUM(F20:F57)</f>
        <v>0</v>
      </c>
      <c r="G58" s="310">
        <f t="shared" si="3"/>
        <v>0</v>
      </c>
      <c r="H58" s="310">
        <f t="shared" si="3"/>
        <v>0</v>
      </c>
      <c r="I58" s="310">
        <f t="shared" si="3"/>
        <v>0</v>
      </c>
      <c r="J58" s="310">
        <f t="shared" si="3"/>
        <v>0</v>
      </c>
      <c r="K58" s="310">
        <f t="shared" si="3"/>
        <v>0</v>
      </c>
    </row>
    <row r="59" spans="1:11" x14ac:dyDescent="0.2">
      <c r="A59" s="289"/>
      <c r="B59" s="311" t="s">
        <v>506</v>
      </c>
      <c r="C59" s="312"/>
      <c r="D59" s="312"/>
      <c r="E59" s="312"/>
      <c r="F59" s="173"/>
      <c r="G59" s="312"/>
      <c r="H59" s="312"/>
    </row>
    <row r="60" spans="1:11" ht="27" customHeight="1" x14ac:dyDescent="0.2">
      <c r="B60" s="1684" t="s">
        <v>1079</v>
      </c>
      <c r="C60" s="1684"/>
      <c r="D60" s="1684"/>
      <c r="E60" s="1709"/>
      <c r="F60" s="191">
        <f>SUM(F58:F59)</f>
        <v>0</v>
      </c>
    </row>
    <row r="61" spans="1:11" x14ac:dyDescent="0.2">
      <c r="A61" s="152" t="s">
        <v>11</v>
      </c>
      <c r="B61" s="56"/>
      <c r="C61" s="56"/>
      <c r="D61" s="56"/>
      <c r="E61" s="56"/>
      <c r="F61" s="56"/>
      <c r="G61" s="56"/>
      <c r="H61" s="56"/>
    </row>
    <row r="62" spans="1:11" ht="27" customHeight="1" x14ac:dyDescent="0.2">
      <c r="A62" s="305">
        <v>1</v>
      </c>
      <c r="B62" s="1590" t="s">
        <v>424</v>
      </c>
      <c r="C62" s="1590"/>
      <c r="D62" s="1590"/>
      <c r="E62" s="1590"/>
      <c r="F62" s="1590"/>
      <c r="G62" s="1590"/>
      <c r="H62" s="1590"/>
      <c r="I62" s="1066"/>
    </row>
    <row r="63" spans="1:11" ht="12.75" customHeight="1" x14ac:dyDescent="0.2">
      <c r="A63" s="294">
        <v>2</v>
      </c>
      <c r="B63" s="1590" t="s">
        <v>865</v>
      </c>
      <c r="C63" s="1590"/>
      <c r="D63" s="1590"/>
      <c r="E63" s="1590"/>
      <c r="F63" s="1590"/>
      <c r="G63" s="1590"/>
      <c r="H63" s="1590"/>
      <c r="I63" s="1590"/>
    </row>
    <row r="64" spans="1:11" ht="25.5" customHeight="1" x14ac:dyDescent="0.2">
      <c r="A64" s="270">
        <v>3</v>
      </c>
      <c r="B64" s="1590" t="s">
        <v>481</v>
      </c>
      <c r="C64" s="1590"/>
      <c r="D64" s="1590"/>
      <c r="E64" s="1590"/>
      <c r="F64" s="1590"/>
      <c r="G64" s="1590"/>
      <c r="H64" s="1590"/>
      <c r="I64" s="1590"/>
      <c r="J64" s="1590"/>
      <c r="K64" s="1590"/>
    </row>
    <row r="65" spans="1:11" ht="11.25" customHeight="1" x14ac:dyDescent="0.2">
      <c r="A65" s="294"/>
      <c r="B65" s="1590"/>
      <c r="C65" s="1590"/>
      <c r="D65" s="1590"/>
      <c r="E65" s="1590"/>
      <c r="F65" s="1590"/>
      <c r="G65" s="1590"/>
      <c r="H65" s="1590"/>
      <c r="I65" s="1590"/>
    </row>
    <row r="66" spans="1:11" ht="12.75" customHeight="1" x14ac:dyDescent="0.2">
      <c r="A66" s="152" t="s">
        <v>226</v>
      </c>
      <c r="B66" s="1684" t="s">
        <v>190</v>
      </c>
      <c r="C66" s="1684"/>
      <c r="D66" s="1684"/>
      <c r="E66" s="1684"/>
      <c r="F66" s="1684"/>
      <c r="G66" s="1684"/>
      <c r="H66" s="1684"/>
      <c r="I66" s="271"/>
    </row>
    <row r="67" spans="1:11" ht="27" customHeight="1" x14ac:dyDescent="0.2">
      <c r="A67" s="56"/>
      <c r="B67" s="1684"/>
      <c r="C67" s="1684"/>
      <c r="D67" s="1684"/>
      <c r="E67" s="1684"/>
      <c r="F67" s="1684"/>
      <c r="G67" s="1684"/>
      <c r="H67" s="1684"/>
      <c r="I67" s="271"/>
    </row>
    <row r="68" spans="1:11" ht="12.75" customHeight="1" x14ac:dyDescent="0.2">
      <c r="A68" s="152"/>
      <c r="B68" s="1684"/>
      <c r="C68" s="1684"/>
      <c r="D68" s="1684"/>
      <c r="E68" s="1684"/>
      <c r="F68" s="1684"/>
      <c r="G68" s="1684"/>
      <c r="H68" s="1684"/>
      <c r="I68" s="271"/>
    </row>
    <row r="69" spans="1:11" ht="27" customHeight="1" x14ac:dyDescent="0.2">
      <c r="A69" s="56"/>
      <c r="B69" s="1684"/>
      <c r="C69" s="1684"/>
      <c r="D69" s="1684"/>
      <c r="E69" s="1684"/>
      <c r="F69" s="1684"/>
      <c r="G69" s="1684"/>
      <c r="H69" s="1684"/>
      <c r="I69" s="271"/>
    </row>
    <row r="70" spans="1:11" x14ac:dyDescent="0.2">
      <c r="J70" s="322"/>
      <c r="K70" s="322"/>
    </row>
    <row r="71" spans="1:11" ht="23.25" customHeight="1" x14ac:dyDescent="0.2">
      <c r="J71" s="322"/>
      <c r="K71" s="322"/>
    </row>
    <row r="72" spans="1:11" x14ac:dyDescent="0.2">
      <c r="A72" s="56"/>
      <c r="B72" s="322"/>
      <c r="C72" s="322"/>
      <c r="D72" s="322"/>
      <c r="E72" s="322"/>
      <c r="F72" s="322"/>
      <c r="G72" s="322"/>
      <c r="H72" s="322"/>
      <c r="I72" s="322"/>
      <c r="J72" s="322"/>
      <c r="K72" s="322"/>
    </row>
    <row r="73" spans="1:11" x14ac:dyDescent="0.2">
      <c r="A73" s="1066"/>
      <c r="B73" s="1066"/>
      <c r="C73" s="1066"/>
      <c r="D73" s="1066"/>
      <c r="E73" s="1066"/>
      <c r="F73" s="56"/>
      <c r="G73" s="56"/>
      <c r="H73" s="56"/>
    </row>
  </sheetData>
  <mergeCells count="18">
    <mergeCell ref="J18:J19"/>
    <mergeCell ref="B68:H69"/>
    <mergeCell ref="B62:H62"/>
    <mergeCell ref="B63:I63"/>
    <mergeCell ref="B65:I65"/>
    <mergeCell ref="B66:H67"/>
    <mergeCell ref="B64:K64"/>
    <mergeCell ref="A9:I9"/>
    <mergeCell ref="A10:I10"/>
    <mergeCell ref="B18:B19"/>
    <mergeCell ref="G18:G19"/>
    <mergeCell ref="B60:E60"/>
    <mergeCell ref="A11:H11"/>
    <mergeCell ref="A13:B13"/>
    <mergeCell ref="A14:B14"/>
    <mergeCell ref="C14:I14"/>
    <mergeCell ref="A15:B15"/>
    <mergeCell ref="C15:I15"/>
  </mergeCells>
  <dataValidations count="1">
    <dataValidation allowBlank="1" showInputMessage="1" showErrorMessage="1" promptTitle="Date Format" prompt="E.g:  &quot;August 1, 2011&quot;" sqref="WVO983055 JF7 TB7 ACX7 AMT7 AWP7 BGL7 BQH7 CAD7 CJZ7 CTV7 DDR7 DNN7 DXJ7 EHF7 ERB7 FAX7 FKT7 FUP7 GEL7 GOH7 GYD7 HHZ7 HRV7 IBR7 ILN7 IVJ7 JFF7 JPB7 JYX7 KIT7 KSP7 LCL7 LMH7 LWD7 MFZ7 MPV7 MZR7 NJN7 NTJ7 ODF7 ONB7 OWX7 PGT7 PQP7 QAL7 QKH7 QUD7 RDZ7 RNV7 RXR7 SHN7 SRJ7 TBF7 TLB7 TUX7 UET7 UOP7 UYL7 VIH7 VSD7 WBZ7 WLV7 WVR7 H65551 JC65551 SY65551 ACU65551 AMQ65551 AWM65551 BGI65551 BQE65551 CAA65551 CJW65551 CTS65551 DDO65551 DNK65551 DXG65551 EHC65551 EQY65551 FAU65551 FKQ65551 FUM65551 GEI65551 GOE65551 GYA65551 HHW65551 HRS65551 IBO65551 ILK65551 IVG65551 JFC65551 JOY65551 JYU65551 KIQ65551 KSM65551 LCI65551 LME65551 LWA65551 MFW65551 MPS65551 MZO65551 NJK65551 NTG65551 ODC65551 OMY65551 OWU65551 PGQ65551 PQM65551 QAI65551 QKE65551 QUA65551 RDW65551 RNS65551 RXO65551 SHK65551 SRG65551 TBC65551 TKY65551 TUU65551 UEQ65551 UOM65551 UYI65551 VIE65551 VSA65551 WBW65551 WLS65551 WVO65551 H131087 JC131087 SY131087 ACU131087 AMQ131087 AWM131087 BGI131087 BQE131087 CAA131087 CJW131087 CTS131087 DDO131087 DNK131087 DXG131087 EHC131087 EQY131087 FAU131087 FKQ131087 FUM131087 GEI131087 GOE131087 GYA131087 HHW131087 HRS131087 IBO131087 ILK131087 IVG131087 JFC131087 JOY131087 JYU131087 KIQ131087 KSM131087 LCI131087 LME131087 LWA131087 MFW131087 MPS131087 MZO131087 NJK131087 NTG131087 ODC131087 OMY131087 OWU131087 PGQ131087 PQM131087 QAI131087 QKE131087 QUA131087 RDW131087 RNS131087 RXO131087 SHK131087 SRG131087 TBC131087 TKY131087 TUU131087 UEQ131087 UOM131087 UYI131087 VIE131087 VSA131087 WBW131087 WLS131087 WVO131087 H196623 JC196623 SY196623 ACU196623 AMQ196623 AWM196623 BGI196623 BQE196623 CAA196623 CJW196623 CTS196623 DDO196623 DNK196623 DXG196623 EHC196623 EQY196623 FAU196623 FKQ196623 FUM196623 GEI196623 GOE196623 GYA196623 HHW196623 HRS196623 IBO196623 ILK196623 IVG196623 JFC196623 JOY196623 JYU196623 KIQ196623 KSM196623 LCI196623 LME196623 LWA196623 MFW196623 MPS196623 MZO196623 NJK196623 NTG196623 ODC196623 OMY196623 OWU196623 PGQ196623 PQM196623 QAI196623 QKE196623 QUA196623 RDW196623 RNS196623 RXO196623 SHK196623 SRG196623 TBC196623 TKY196623 TUU196623 UEQ196623 UOM196623 UYI196623 VIE196623 VSA196623 WBW196623 WLS196623 WVO196623 H262159 JC262159 SY262159 ACU262159 AMQ262159 AWM262159 BGI262159 BQE262159 CAA262159 CJW262159 CTS262159 DDO262159 DNK262159 DXG262159 EHC262159 EQY262159 FAU262159 FKQ262159 FUM262159 GEI262159 GOE262159 GYA262159 HHW262159 HRS262159 IBO262159 ILK262159 IVG262159 JFC262159 JOY262159 JYU262159 KIQ262159 KSM262159 LCI262159 LME262159 LWA262159 MFW262159 MPS262159 MZO262159 NJK262159 NTG262159 ODC262159 OMY262159 OWU262159 PGQ262159 PQM262159 QAI262159 QKE262159 QUA262159 RDW262159 RNS262159 RXO262159 SHK262159 SRG262159 TBC262159 TKY262159 TUU262159 UEQ262159 UOM262159 UYI262159 VIE262159 VSA262159 WBW262159 WLS262159 WVO262159 H327695 JC327695 SY327695 ACU327695 AMQ327695 AWM327695 BGI327695 BQE327695 CAA327695 CJW327695 CTS327695 DDO327695 DNK327695 DXG327695 EHC327695 EQY327695 FAU327695 FKQ327695 FUM327695 GEI327695 GOE327695 GYA327695 HHW327695 HRS327695 IBO327695 ILK327695 IVG327695 JFC327695 JOY327695 JYU327695 KIQ327695 KSM327695 LCI327695 LME327695 LWA327695 MFW327695 MPS327695 MZO327695 NJK327695 NTG327695 ODC327695 OMY327695 OWU327695 PGQ327695 PQM327695 QAI327695 QKE327695 QUA327695 RDW327695 RNS327695 RXO327695 SHK327695 SRG327695 TBC327695 TKY327695 TUU327695 UEQ327695 UOM327695 UYI327695 VIE327695 VSA327695 WBW327695 WLS327695 WVO327695 H393231 JC393231 SY393231 ACU393231 AMQ393231 AWM393231 BGI393231 BQE393231 CAA393231 CJW393231 CTS393231 DDO393231 DNK393231 DXG393231 EHC393231 EQY393231 FAU393231 FKQ393231 FUM393231 GEI393231 GOE393231 GYA393231 HHW393231 HRS393231 IBO393231 ILK393231 IVG393231 JFC393231 JOY393231 JYU393231 KIQ393231 KSM393231 LCI393231 LME393231 LWA393231 MFW393231 MPS393231 MZO393231 NJK393231 NTG393231 ODC393231 OMY393231 OWU393231 PGQ393231 PQM393231 QAI393231 QKE393231 QUA393231 RDW393231 RNS393231 RXO393231 SHK393231 SRG393231 TBC393231 TKY393231 TUU393231 UEQ393231 UOM393231 UYI393231 VIE393231 VSA393231 WBW393231 WLS393231 WVO393231 H458767 JC458767 SY458767 ACU458767 AMQ458767 AWM458767 BGI458767 BQE458767 CAA458767 CJW458767 CTS458767 DDO458767 DNK458767 DXG458767 EHC458767 EQY458767 FAU458767 FKQ458767 FUM458767 GEI458767 GOE458767 GYA458767 HHW458767 HRS458767 IBO458767 ILK458767 IVG458767 JFC458767 JOY458767 JYU458767 KIQ458767 KSM458767 LCI458767 LME458767 LWA458767 MFW458767 MPS458767 MZO458767 NJK458767 NTG458767 ODC458767 OMY458767 OWU458767 PGQ458767 PQM458767 QAI458767 QKE458767 QUA458767 RDW458767 RNS458767 RXO458767 SHK458767 SRG458767 TBC458767 TKY458767 TUU458767 UEQ458767 UOM458767 UYI458767 VIE458767 VSA458767 WBW458767 WLS458767 WVO458767 H524303 JC524303 SY524303 ACU524303 AMQ524303 AWM524303 BGI524303 BQE524303 CAA524303 CJW524303 CTS524303 DDO524303 DNK524303 DXG524303 EHC524303 EQY524303 FAU524303 FKQ524303 FUM524303 GEI524303 GOE524303 GYA524303 HHW524303 HRS524303 IBO524303 ILK524303 IVG524303 JFC524303 JOY524303 JYU524303 KIQ524303 KSM524303 LCI524303 LME524303 LWA524303 MFW524303 MPS524303 MZO524303 NJK524303 NTG524303 ODC524303 OMY524303 OWU524303 PGQ524303 PQM524303 QAI524303 QKE524303 QUA524303 RDW524303 RNS524303 RXO524303 SHK524303 SRG524303 TBC524303 TKY524303 TUU524303 UEQ524303 UOM524303 UYI524303 VIE524303 VSA524303 WBW524303 WLS524303 WVO524303 H589839 JC589839 SY589839 ACU589839 AMQ589839 AWM589839 BGI589839 BQE589839 CAA589839 CJW589839 CTS589839 DDO589839 DNK589839 DXG589839 EHC589839 EQY589839 FAU589839 FKQ589839 FUM589839 GEI589839 GOE589839 GYA589839 HHW589839 HRS589839 IBO589839 ILK589839 IVG589839 JFC589839 JOY589839 JYU589839 KIQ589839 KSM589839 LCI589839 LME589839 LWA589839 MFW589839 MPS589839 MZO589839 NJK589839 NTG589839 ODC589839 OMY589839 OWU589839 PGQ589839 PQM589839 QAI589839 QKE589839 QUA589839 RDW589839 RNS589839 RXO589839 SHK589839 SRG589839 TBC589839 TKY589839 TUU589839 UEQ589839 UOM589839 UYI589839 VIE589839 VSA589839 WBW589839 WLS589839 WVO589839 H655375 JC655375 SY655375 ACU655375 AMQ655375 AWM655375 BGI655375 BQE655375 CAA655375 CJW655375 CTS655375 DDO655375 DNK655375 DXG655375 EHC655375 EQY655375 FAU655375 FKQ655375 FUM655375 GEI655375 GOE655375 GYA655375 HHW655375 HRS655375 IBO655375 ILK655375 IVG655375 JFC655375 JOY655375 JYU655375 KIQ655375 KSM655375 LCI655375 LME655375 LWA655375 MFW655375 MPS655375 MZO655375 NJK655375 NTG655375 ODC655375 OMY655375 OWU655375 PGQ655375 PQM655375 QAI655375 QKE655375 QUA655375 RDW655375 RNS655375 RXO655375 SHK655375 SRG655375 TBC655375 TKY655375 TUU655375 UEQ655375 UOM655375 UYI655375 VIE655375 VSA655375 WBW655375 WLS655375 WVO655375 H720911 JC720911 SY720911 ACU720911 AMQ720911 AWM720911 BGI720911 BQE720911 CAA720911 CJW720911 CTS720911 DDO720911 DNK720911 DXG720911 EHC720911 EQY720911 FAU720911 FKQ720911 FUM720911 GEI720911 GOE720911 GYA720911 HHW720911 HRS720911 IBO720911 ILK720911 IVG720911 JFC720911 JOY720911 JYU720911 KIQ720911 KSM720911 LCI720911 LME720911 LWA720911 MFW720911 MPS720911 MZO720911 NJK720911 NTG720911 ODC720911 OMY720911 OWU720911 PGQ720911 PQM720911 QAI720911 QKE720911 QUA720911 RDW720911 RNS720911 RXO720911 SHK720911 SRG720911 TBC720911 TKY720911 TUU720911 UEQ720911 UOM720911 UYI720911 VIE720911 VSA720911 WBW720911 WLS720911 WVO720911 H786447 JC786447 SY786447 ACU786447 AMQ786447 AWM786447 BGI786447 BQE786447 CAA786447 CJW786447 CTS786447 DDO786447 DNK786447 DXG786447 EHC786447 EQY786447 FAU786447 FKQ786447 FUM786447 GEI786447 GOE786447 GYA786447 HHW786447 HRS786447 IBO786447 ILK786447 IVG786447 JFC786447 JOY786447 JYU786447 KIQ786447 KSM786447 LCI786447 LME786447 LWA786447 MFW786447 MPS786447 MZO786447 NJK786447 NTG786447 ODC786447 OMY786447 OWU786447 PGQ786447 PQM786447 QAI786447 QKE786447 QUA786447 RDW786447 RNS786447 RXO786447 SHK786447 SRG786447 TBC786447 TKY786447 TUU786447 UEQ786447 UOM786447 UYI786447 VIE786447 VSA786447 WBW786447 WLS786447 WVO786447 H851983 JC851983 SY851983 ACU851983 AMQ851983 AWM851983 BGI851983 BQE851983 CAA851983 CJW851983 CTS851983 DDO851983 DNK851983 DXG851983 EHC851983 EQY851983 FAU851983 FKQ851983 FUM851983 GEI851983 GOE851983 GYA851983 HHW851983 HRS851983 IBO851983 ILK851983 IVG851983 JFC851983 JOY851983 JYU851983 KIQ851983 KSM851983 LCI851983 LME851983 LWA851983 MFW851983 MPS851983 MZO851983 NJK851983 NTG851983 ODC851983 OMY851983 OWU851983 PGQ851983 PQM851983 QAI851983 QKE851983 QUA851983 RDW851983 RNS851983 RXO851983 SHK851983 SRG851983 TBC851983 TKY851983 TUU851983 UEQ851983 UOM851983 UYI851983 VIE851983 VSA851983 WBW851983 WLS851983 WVO851983 H917519 JC917519 SY917519 ACU917519 AMQ917519 AWM917519 BGI917519 BQE917519 CAA917519 CJW917519 CTS917519 DDO917519 DNK917519 DXG917519 EHC917519 EQY917519 FAU917519 FKQ917519 FUM917519 GEI917519 GOE917519 GYA917519 HHW917519 HRS917519 IBO917519 ILK917519 IVG917519 JFC917519 JOY917519 JYU917519 KIQ917519 KSM917519 LCI917519 LME917519 LWA917519 MFW917519 MPS917519 MZO917519 NJK917519 NTG917519 ODC917519 OMY917519 OWU917519 PGQ917519 PQM917519 QAI917519 QKE917519 QUA917519 RDW917519 RNS917519 RXO917519 SHK917519 SRG917519 TBC917519 TKY917519 TUU917519 UEQ917519 UOM917519 UYI917519 VIE917519 VSA917519 WBW917519 WLS917519 WVO917519 H983055 JC983055 SY983055 ACU983055 AMQ983055 AWM983055 BGI983055 BQE983055 CAA983055 CJW983055 CTS983055 DDO983055 DNK983055 DXG983055 EHC983055 EQY983055 FAU983055 FKQ983055 FUM983055 GEI983055 GOE983055 GYA983055 HHW983055 HRS983055 IBO983055 ILK983055 IVG983055 JFC983055 JOY983055 JYU983055 KIQ983055 KSM983055 LCI983055 LME983055 LWA983055 MFW983055 MPS983055 MZO983055 NJK983055 NTG983055 ODC983055 OMY983055 OWU983055 PGQ983055 PQM983055 QAI983055 QKE983055 QUA983055 RDW983055 RNS983055 RXO983055 SHK983055 SRG983055 TBC983055 TKY983055 TUU983055 UEQ983055 UOM983055 UYI983055 VIE983055 VSA983055 WBW983055 WLS983055"/>
  </dataValidations>
  <printOptions horizontalCentered="1"/>
  <pageMargins left="0.74803149606299213" right="0.74803149606299213" top="0.70866141732283472" bottom="0.39370078740157483" header="0.39370078740157483" footer="0.27559055118110237"/>
  <pageSetup scale="49" orientation="landscape"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03779" r:id="rId4" name="Check Box 3">
              <controlPr defaultSize="0" autoFill="0" autoLine="0" autoPict="0">
                <anchor moveWithCells="1">
                  <from>
                    <xdr:col>0</xdr:col>
                    <xdr:colOff>323850</xdr:colOff>
                    <xdr:row>13</xdr:row>
                    <xdr:rowOff>47625</xdr:rowOff>
                  </from>
                  <to>
                    <xdr:col>0</xdr:col>
                    <xdr:colOff>590550</xdr:colOff>
                    <xdr:row>13</xdr:row>
                    <xdr:rowOff>504825</xdr:rowOff>
                  </to>
                </anchor>
              </controlPr>
            </control>
          </mc:Choice>
        </mc:AlternateContent>
        <mc:AlternateContent xmlns:mc="http://schemas.openxmlformats.org/markup-compatibility/2006">
          <mc:Choice Requires="x14">
            <control shapeId="203780" r:id="rId5" name="Check Box 4">
              <controlPr defaultSize="0" autoFill="0" autoLine="0" autoPict="0">
                <anchor moveWithCells="1">
                  <from>
                    <xdr:col>0</xdr:col>
                    <xdr:colOff>304800</xdr:colOff>
                    <xdr:row>14</xdr:row>
                    <xdr:rowOff>28575</xdr:rowOff>
                  </from>
                  <to>
                    <xdr:col>0</xdr:col>
                    <xdr:colOff>571500</xdr:colOff>
                    <xdr:row>14</xdr:row>
                    <xdr:rowOff>447675</xdr:rowOff>
                  </to>
                </anchor>
              </controlPr>
            </control>
          </mc:Choice>
        </mc:AlternateContent>
      </controls>
    </mc:Choice>
  </mc:AlternateContent>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44">
    <tabColor rgb="FF00B0F0"/>
    <pageSetUpPr fitToPage="1"/>
  </sheetPr>
  <dimension ref="A1:M73"/>
  <sheetViews>
    <sheetView showGridLines="0" view="pageBreakPreview" zoomScale="60" zoomScaleNormal="100" workbookViewId="0">
      <selection activeCell="A9" sqref="A9:I9"/>
    </sheetView>
  </sheetViews>
  <sheetFormatPr defaultRowHeight="12.75" x14ac:dyDescent="0.2"/>
  <cols>
    <col min="1" max="1" width="9.140625" style="52"/>
    <col min="2" max="2" width="41.140625" style="52" customWidth="1"/>
    <col min="3" max="3" width="10" style="52" customWidth="1"/>
    <col min="4" max="4" width="10.140625" style="52" customWidth="1"/>
    <col min="5" max="5" width="12.28515625" style="52" customWidth="1"/>
    <col min="6" max="6" width="15.7109375" style="52" customWidth="1"/>
    <col min="7" max="7" width="17.7109375" style="52" customWidth="1"/>
    <col min="8" max="8" width="12.7109375" style="52" customWidth="1"/>
    <col min="9" max="9" width="14.42578125" style="52" customWidth="1"/>
    <col min="10" max="10" width="13" style="52" customWidth="1"/>
    <col min="11" max="11" width="14" style="52" customWidth="1"/>
    <col min="12" max="254" width="9.140625" style="52"/>
    <col min="255" max="255" width="2.7109375" style="52" customWidth="1"/>
    <col min="256" max="256" width="9.140625" style="52"/>
    <col min="257" max="257" width="40.28515625" style="52" bestFit="1" customWidth="1"/>
    <col min="258" max="258" width="10" style="52" customWidth="1"/>
    <col min="259" max="259" width="10.140625" style="52" customWidth="1"/>
    <col min="260" max="260" width="12.28515625" style="52" customWidth="1"/>
    <col min="261" max="261" width="15.7109375" style="52" customWidth="1"/>
    <col min="262" max="262" width="12.85546875" style="52" customWidth="1"/>
    <col min="263" max="263" width="12.7109375" style="52" customWidth="1"/>
    <col min="264" max="264" width="12.85546875" style="52" customWidth="1"/>
    <col min="265" max="265" width="14.42578125" style="52" customWidth="1"/>
    <col min="266" max="510" width="9.140625" style="52"/>
    <col min="511" max="511" width="2.7109375" style="52" customWidth="1"/>
    <col min="512" max="512" width="9.140625" style="52"/>
    <col min="513" max="513" width="40.28515625" style="52" bestFit="1" customWidth="1"/>
    <col min="514" max="514" width="10" style="52" customWidth="1"/>
    <col min="515" max="515" width="10.140625" style="52" customWidth="1"/>
    <col min="516" max="516" width="12.28515625" style="52" customWidth="1"/>
    <col min="517" max="517" width="15.7109375" style="52" customWidth="1"/>
    <col min="518" max="518" width="12.85546875" style="52" customWidth="1"/>
    <col min="519" max="519" width="12.7109375" style="52" customWidth="1"/>
    <col min="520" max="520" width="12.85546875" style="52" customWidth="1"/>
    <col min="521" max="521" width="14.42578125" style="52" customWidth="1"/>
    <col min="522" max="766" width="9.140625" style="52"/>
    <col min="767" max="767" width="2.7109375" style="52" customWidth="1"/>
    <col min="768" max="768" width="9.140625" style="52"/>
    <col min="769" max="769" width="40.28515625" style="52" bestFit="1" customWidth="1"/>
    <col min="770" max="770" width="10" style="52" customWidth="1"/>
    <col min="771" max="771" width="10.140625" style="52" customWidth="1"/>
    <col min="772" max="772" width="12.28515625" style="52" customWidth="1"/>
    <col min="773" max="773" width="15.7109375" style="52" customWidth="1"/>
    <col min="774" max="774" width="12.85546875" style="52" customWidth="1"/>
    <col min="775" max="775" width="12.7109375" style="52" customWidth="1"/>
    <col min="776" max="776" width="12.85546875" style="52" customWidth="1"/>
    <col min="777" max="777" width="14.42578125" style="52" customWidth="1"/>
    <col min="778" max="1022" width="9.140625" style="52"/>
    <col min="1023" max="1023" width="2.7109375" style="52" customWidth="1"/>
    <col min="1024" max="1024" width="9.140625" style="52"/>
    <col min="1025" max="1025" width="40.28515625" style="52" bestFit="1" customWidth="1"/>
    <col min="1026" max="1026" width="10" style="52" customWidth="1"/>
    <col min="1027" max="1027" width="10.140625" style="52" customWidth="1"/>
    <col min="1028" max="1028" width="12.28515625" style="52" customWidth="1"/>
    <col min="1029" max="1029" width="15.7109375" style="52" customWidth="1"/>
    <col min="1030" max="1030" width="12.85546875" style="52" customWidth="1"/>
    <col min="1031" max="1031" width="12.7109375" style="52" customWidth="1"/>
    <col min="1032" max="1032" width="12.85546875" style="52" customWidth="1"/>
    <col min="1033" max="1033" width="14.42578125" style="52" customWidth="1"/>
    <col min="1034" max="1278" width="9.140625" style="52"/>
    <col min="1279" max="1279" width="2.7109375" style="52" customWidth="1"/>
    <col min="1280" max="1280" width="9.140625" style="52"/>
    <col min="1281" max="1281" width="40.28515625" style="52" bestFit="1" customWidth="1"/>
    <col min="1282" max="1282" width="10" style="52" customWidth="1"/>
    <col min="1283" max="1283" width="10.140625" style="52" customWidth="1"/>
    <col min="1284" max="1284" width="12.28515625" style="52" customWidth="1"/>
    <col min="1285" max="1285" width="15.7109375" style="52" customWidth="1"/>
    <col min="1286" max="1286" width="12.85546875" style="52" customWidth="1"/>
    <col min="1287" max="1287" width="12.7109375" style="52" customWidth="1"/>
    <col min="1288" max="1288" width="12.85546875" style="52" customWidth="1"/>
    <col min="1289" max="1289" width="14.42578125" style="52" customWidth="1"/>
    <col min="1290" max="1534" width="9.140625" style="52"/>
    <col min="1535" max="1535" width="2.7109375" style="52" customWidth="1"/>
    <col min="1536" max="1536" width="9.140625" style="52"/>
    <col min="1537" max="1537" width="40.28515625" style="52" bestFit="1" customWidth="1"/>
    <col min="1538" max="1538" width="10" style="52" customWidth="1"/>
    <col min="1539" max="1539" width="10.140625" style="52" customWidth="1"/>
    <col min="1540" max="1540" width="12.28515625" style="52" customWidth="1"/>
    <col min="1541" max="1541" width="15.7109375" style="52" customWidth="1"/>
    <col min="1542" max="1542" width="12.85546875" style="52" customWidth="1"/>
    <col min="1543" max="1543" width="12.7109375" style="52" customWidth="1"/>
    <col min="1544" max="1544" width="12.85546875" style="52" customWidth="1"/>
    <col min="1545" max="1545" width="14.42578125" style="52" customWidth="1"/>
    <col min="1546" max="1790" width="9.140625" style="52"/>
    <col min="1791" max="1791" width="2.7109375" style="52" customWidth="1"/>
    <col min="1792" max="1792" width="9.140625" style="52"/>
    <col min="1793" max="1793" width="40.28515625" style="52" bestFit="1" customWidth="1"/>
    <col min="1794" max="1794" width="10" style="52" customWidth="1"/>
    <col min="1795" max="1795" width="10.140625" style="52" customWidth="1"/>
    <col min="1796" max="1796" width="12.28515625" style="52" customWidth="1"/>
    <col min="1797" max="1797" width="15.7109375" style="52" customWidth="1"/>
    <col min="1798" max="1798" width="12.85546875" style="52" customWidth="1"/>
    <col min="1799" max="1799" width="12.7109375" style="52" customWidth="1"/>
    <col min="1800" max="1800" width="12.85546875" style="52" customWidth="1"/>
    <col min="1801" max="1801" width="14.42578125" style="52" customWidth="1"/>
    <col min="1802" max="2046" width="9.140625" style="52"/>
    <col min="2047" max="2047" width="2.7109375" style="52" customWidth="1"/>
    <col min="2048" max="2048" width="9.140625" style="52"/>
    <col min="2049" max="2049" width="40.28515625" style="52" bestFit="1" customWidth="1"/>
    <col min="2050" max="2050" width="10" style="52" customWidth="1"/>
    <col min="2051" max="2051" width="10.140625" style="52" customWidth="1"/>
    <col min="2052" max="2052" width="12.28515625" style="52" customWidth="1"/>
    <col min="2053" max="2053" width="15.7109375" style="52" customWidth="1"/>
    <col min="2054" max="2054" width="12.85546875" style="52" customWidth="1"/>
    <col min="2055" max="2055" width="12.7109375" style="52" customWidth="1"/>
    <col min="2056" max="2056" width="12.85546875" style="52" customWidth="1"/>
    <col min="2057" max="2057" width="14.42578125" style="52" customWidth="1"/>
    <col min="2058" max="2302" width="9.140625" style="52"/>
    <col min="2303" max="2303" width="2.7109375" style="52" customWidth="1"/>
    <col min="2304" max="2304" width="9.140625" style="52"/>
    <col min="2305" max="2305" width="40.28515625" style="52" bestFit="1" customWidth="1"/>
    <col min="2306" max="2306" width="10" style="52" customWidth="1"/>
    <col min="2307" max="2307" width="10.140625" style="52" customWidth="1"/>
    <col min="2308" max="2308" width="12.28515625" style="52" customWidth="1"/>
    <col min="2309" max="2309" width="15.7109375" style="52" customWidth="1"/>
    <col min="2310" max="2310" width="12.85546875" style="52" customWidth="1"/>
    <col min="2311" max="2311" width="12.7109375" style="52" customWidth="1"/>
    <col min="2312" max="2312" width="12.85546875" style="52" customWidth="1"/>
    <col min="2313" max="2313" width="14.42578125" style="52" customWidth="1"/>
    <col min="2314" max="2558" width="9.140625" style="52"/>
    <col min="2559" max="2559" width="2.7109375" style="52" customWidth="1"/>
    <col min="2560" max="2560" width="9.140625" style="52"/>
    <col min="2561" max="2561" width="40.28515625" style="52" bestFit="1" customWidth="1"/>
    <col min="2562" max="2562" width="10" style="52" customWidth="1"/>
    <col min="2563" max="2563" width="10.140625" style="52" customWidth="1"/>
    <col min="2564" max="2564" width="12.28515625" style="52" customWidth="1"/>
    <col min="2565" max="2565" width="15.7109375" style="52" customWidth="1"/>
    <col min="2566" max="2566" width="12.85546875" style="52" customWidth="1"/>
    <col min="2567" max="2567" width="12.7109375" style="52" customWidth="1"/>
    <col min="2568" max="2568" width="12.85546875" style="52" customWidth="1"/>
    <col min="2569" max="2569" width="14.42578125" style="52" customWidth="1"/>
    <col min="2570" max="2814" width="9.140625" style="52"/>
    <col min="2815" max="2815" width="2.7109375" style="52" customWidth="1"/>
    <col min="2816" max="2816" width="9.140625" style="52"/>
    <col min="2817" max="2817" width="40.28515625" style="52" bestFit="1" customWidth="1"/>
    <col min="2818" max="2818" width="10" style="52" customWidth="1"/>
    <col min="2819" max="2819" width="10.140625" style="52" customWidth="1"/>
    <col min="2820" max="2820" width="12.28515625" style="52" customWidth="1"/>
    <col min="2821" max="2821" width="15.7109375" style="52" customWidth="1"/>
    <col min="2822" max="2822" width="12.85546875" style="52" customWidth="1"/>
    <col min="2823" max="2823" width="12.7109375" style="52" customWidth="1"/>
    <col min="2824" max="2824" width="12.85546875" style="52" customWidth="1"/>
    <col min="2825" max="2825" width="14.42578125" style="52" customWidth="1"/>
    <col min="2826" max="3070" width="9.140625" style="52"/>
    <col min="3071" max="3071" width="2.7109375" style="52" customWidth="1"/>
    <col min="3072" max="3072" width="9.140625" style="52"/>
    <col min="3073" max="3073" width="40.28515625" style="52" bestFit="1" customWidth="1"/>
    <col min="3074" max="3074" width="10" style="52" customWidth="1"/>
    <col min="3075" max="3075" width="10.140625" style="52" customWidth="1"/>
    <col min="3076" max="3076" width="12.28515625" style="52" customWidth="1"/>
    <col min="3077" max="3077" width="15.7109375" style="52" customWidth="1"/>
    <col min="3078" max="3078" width="12.85546875" style="52" customWidth="1"/>
    <col min="3079" max="3079" width="12.7109375" style="52" customWidth="1"/>
    <col min="3080" max="3080" width="12.85546875" style="52" customWidth="1"/>
    <col min="3081" max="3081" width="14.42578125" style="52" customWidth="1"/>
    <col min="3082" max="3326" width="9.140625" style="52"/>
    <col min="3327" max="3327" width="2.7109375" style="52" customWidth="1"/>
    <col min="3328" max="3328" width="9.140625" style="52"/>
    <col min="3329" max="3329" width="40.28515625" style="52" bestFit="1" customWidth="1"/>
    <col min="3330" max="3330" width="10" style="52" customWidth="1"/>
    <col min="3331" max="3331" width="10.140625" style="52" customWidth="1"/>
    <col min="3332" max="3332" width="12.28515625" style="52" customWidth="1"/>
    <col min="3333" max="3333" width="15.7109375" style="52" customWidth="1"/>
    <col min="3334" max="3334" width="12.85546875" style="52" customWidth="1"/>
    <col min="3335" max="3335" width="12.7109375" style="52" customWidth="1"/>
    <col min="3336" max="3336" width="12.85546875" style="52" customWidth="1"/>
    <col min="3337" max="3337" width="14.42578125" style="52" customWidth="1"/>
    <col min="3338" max="3582" width="9.140625" style="52"/>
    <col min="3583" max="3583" width="2.7109375" style="52" customWidth="1"/>
    <col min="3584" max="3584" width="9.140625" style="52"/>
    <col min="3585" max="3585" width="40.28515625" style="52" bestFit="1" customWidth="1"/>
    <col min="3586" max="3586" width="10" style="52" customWidth="1"/>
    <col min="3587" max="3587" width="10.140625" style="52" customWidth="1"/>
    <col min="3588" max="3588" width="12.28515625" style="52" customWidth="1"/>
    <col min="3589" max="3589" width="15.7109375" style="52" customWidth="1"/>
    <col min="3590" max="3590" width="12.85546875" style="52" customWidth="1"/>
    <col min="3591" max="3591" width="12.7109375" style="52" customWidth="1"/>
    <col min="3592" max="3592" width="12.85546875" style="52" customWidth="1"/>
    <col min="3593" max="3593" width="14.42578125" style="52" customWidth="1"/>
    <col min="3594" max="3838" width="9.140625" style="52"/>
    <col min="3839" max="3839" width="2.7109375" style="52" customWidth="1"/>
    <col min="3840" max="3840" width="9.140625" style="52"/>
    <col min="3841" max="3841" width="40.28515625" style="52" bestFit="1" customWidth="1"/>
    <col min="3842" max="3842" width="10" style="52" customWidth="1"/>
    <col min="3843" max="3843" width="10.140625" style="52" customWidth="1"/>
    <col min="3844" max="3844" width="12.28515625" style="52" customWidth="1"/>
    <col min="3845" max="3845" width="15.7109375" style="52" customWidth="1"/>
    <col min="3846" max="3846" width="12.85546875" style="52" customWidth="1"/>
    <col min="3847" max="3847" width="12.7109375" style="52" customWidth="1"/>
    <col min="3848" max="3848" width="12.85546875" style="52" customWidth="1"/>
    <col min="3849" max="3849" width="14.42578125" style="52" customWidth="1"/>
    <col min="3850" max="4094" width="9.140625" style="52"/>
    <col min="4095" max="4095" width="2.7109375" style="52" customWidth="1"/>
    <col min="4096" max="4096" width="9.140625" style="52"/>
    <col min="4097" max="4097" width="40.28515625" style="52" bestFit="1" customWidth="1"/>
    <col min="4098" max="4098" width="10" style="52" customWidth="1"/>
    <col min="4099" max="4099" width="10.140625" style="52" customWidth="1"/>
    <col min="4100" max="4100" width="12.28515625" style="52" customWidth="1"/>
    <col min="4101" max="4101" width="15.7109375" style="52" customWidth="1"/>
    <col min="4102" max="4102" width="12.85546875" style="52" customWidth="1"/>
    <col min="4103" max="4103" width="12.7109375" style="52" customWidth="1"/>
    <col min="4104" max="4104" width="12.85546875" style="52" customWidth="1"/>
    <col min="4105" max="4105" width="14.42578125" style="52" customWidth="1"/>
    <col min="4106" max="4350" width="9.140625" style="52"/>
    <col min="4351" max="4351" width="2.7109375" style="52" customWidth="1"/>
    <col min="4352" max="4352" width="9.140625" style="52"/>
    <col min="4353" max="4353" width="40.28515625" style="52" bestFit="1" customWidth="1"/>
    <col min="4354" max="4354" width="10" style="52" customWidth="1"/>
    <col min="4355" max="4355" width="10.140625" style="52" customWidth="1"/>
    <col min="4356" max="4356" width="12.28515625" style="52" customWidth="1"/>
    <col min="4357" max="4357" width="15.7109375" style="52" customWidth="1"/>
    <col min="4358" max="4358" width="12.85546875" style="52" customWidth="1"/>
    <col min="4359" max="4359" width="12.7109375" style="52" customWidth="1"/>
    <col min="4360" max="4360" width="12.85546875" style="52" customWidth="1"/>
    <col min="4361" max="4361" width="14.42578125" style="52" customWidth="1"/>
    <col min="4362" max="4606" width="9.140625" style="52"/>
    <col min="4607" max="4607" width="2.7109375" style="52" customWidth="1"/>
    <col min="4608" max="4608" width="9.140625" style="52"/>
    <col min="4609" max="4609" width="40.28515625" style="52" bestFit="1" customWidth="1"/>
    <col min="4610" max="4610" width="10" style="52" customWidth="1"/>
    <col min="4611" max="4611" width="10.140625" style="52" customWidth="1"/>
    <col min="4612" max="4612" width="12.28515625" style="52" customWidth="1"/>
    <col min="4613" max="4613" width="15.7109375" style="52" customWidth="1"/>
    <col min="4614" max="4614" width="12.85546875" style="52" customWidth="1"/>
    <col min="4615" max="4615" width="12.7109375" style="52" customWidth="1"/>
    <col min="4616" max="4616" width="12.85546875" style="52" customWidth="1"/>
    <col min="4617" max="4617" width="14.42578125" style="52" customWidth="1"/>
    <col min="4618" max="4862" width="9.140625" style="52"/>
    <col min="4863" max="4863" width="2.7109375" style="52" customWidth="1"/>
    <col min="4864" max="4864" width="9.140625" style="52"/>
    <col min="4865" max="4865" width="40.28515625" style="52" bestFit="1" customWidth="1"/>
    <col min="4866" max="4866" width="10" style="52" customWidth="1"/>
    <col min="4867" max="4867" width="10.140625" style="52" customWidth="1"/>
    <col min="4868" max="4868" width="12.28515625" style="52" customWidth="1"/>
    <col min="4869" max="4869" width="15.7109375" style="52" customWidth="1"/>
    <col min="4870" max="4870" width="12.85546875" style="52" customWidth="1"/>
    <col min="4871" max="4871" width="12.7109375" style="52" customWidth="1"/>
    <col min="4872" max="4872" width="12.85546875" style="52" customWidth="1"/>
    <col min="4873" max="4873" width="14.42578125" style="52" customWidth="1"/>
    <col min="4874" max="5118" width="9.140625" style="52"/>
    <col min="5119" max="5119" width="2.7109375" style="52" customWidth="1"/>
    <col min="5120" max="5120" width="9.140625" style="52"/>
    <col min="5121" max="5121" width="40.28515625" style="52" bestFit="1" customWidth="1"/>
    <col min="5122" max="5122" width="10" style="52" customWidth="1"/>
    <col min="5123" max="5123" width="10.140625" style="52" customWidth="1"/>
    <col min="5124" max="5124" width="12.28515625" style="52" customWidth="1"/>
    <col min="5125" max="5125" width="15.7109375" style="52" customWidth="1"/>
    <col min="5126" max="5126" width="12.85546875" style="52" customWidth="1"/>
    <col min="5127" max="5127" width="12.7109375" style="52" customWidth="1"/>
    <col min="5128" max="5128" width="12.85546875" style="52" customWidth="1"/>
    <col min="5129" max="5129" width="14.42578125" style="52" customWidth="1"/>
    <col min="5130" max="5374" width="9.140625" style="52"/>
    <col min="5375" max="5375" width="2.7109375" style="52" customWidth="1"/>
    <col min="5376" max="5376" width="9.140625" style="52"/>
    <col min="5377" max="5377" width="40.28515625" style="52" bestFit="1" customWidth="1"/>
    <col min="5378" max="5378" width="10" style="52" customWidth="1"/>
    <col min="5379" max="5379" width="10.140625" style="52" customWidth="1"/>
    <col min="5380" max="5380" width="12.28515625" style="52" customWidth="1"/>
    <col min="5381" max="5381" width="15.7109375" style="52" customWidth="1"/>
    <col min="5382" max="5382" width="12.85546875" style="52" customWidth="1"/>
    <col min="5383" max="5383" width="12.7109375" style="52" customWidth="1"/>
    <col min="5384" max="5384" width="12.85546875" style="52" customWidth="1"/>
    <col min="5385" max="5385" width="14.42578125" style="52" customWidth="1"/>
    <col min="5386" max="5630" width="9.140625" style="52"/>
    <col min="5631" max="5631" width="2.7109375" style="52" customWidth="1"/>
    <col min="5632" max="5632" width="9.140625" style="52"/>
    <col min="5633" max="5633" width="40.28515625" style="52" bestFit="1" customWidth="1"/>
    <col min="5634" max="5634" width="10" style="52" customWidth="1"/>
    <col min="5635" max="5635" width="10.140625" style="52" customWidth="1"/>
    <col min="5636" max="5636" width="12.28515625" style="52" customWidth="1"/>
    <col min="5637" max="5637" width="15.7109375" style="52" customWidth="1"/>
    <col min="5638" max="5638" width="12.85546875" style="52" customWidth="1"/>
    <col min="5639" max="5639" width="12.7109375" style="52" customWidth="1"/>
    <col min="5640" max="5640" width="12.85546875" style="52" customWidth="1"/>
    <col min="5641" max="5641" width="14.42578125" style="52" customWidth="1"/>
    <col min="5642" max="5886" width="9.140625" style="52"/>
    <col min="5887" max="5887" width="2.7109375" style="52" customWidth="1"/>
    <col min="5888" max="5888" width="9.140625" style="52"/>
    <col min="5889" max="5889" width="40.28515625" style="52" bestFit="1" customWidth="1"/>
    <col min="5890" max="5890" width="10" style="52" customWidth="1"/>
    <col min="5891" max="5891" width="10.140625" style="52" customWidth="1"/>
    <col min="5892" max="5892" width="12.28515625" style="52" customWidth="1"/>
    <col min="5893" max="5893" width="15.7109375" style="52" customWidth="1"/>
    <col min="5894" max="5894" width="12.85546875" style="52" customWidth="1"/>
    <col min="5895" max="5895" width="12.7109375" style="52" customWidth="1"/>
    <col min="5896" max="5896" width="12.85546875" style="52" customWidth="1"/>
    <col min="5897" max="5897" width="14.42578125" style="52" customWidth="1"/>
    <col min="5898" max="6142" width="9.140625" style="52"/>
    <col min="6143" max="6143" width="2.7109375" style="52" customWidth="1"/>
    <col min="6144" max="6144" width="9.140625" style="52"/>
    <col min="6145" max="6145" width="40.28515625" style="52" bestFit="1" customWidth="1"/>
    <col min="6146" max="6146" width="10" style="52" customWidth="1"/>
    <col min="6147" max="6147" width="10.140625" style="52" customWidth="1"/>
    <col min="6148" max="6148" width="12.28515625" style="52" customWidth="1"/>
    <col min="6149" max="6149" width="15.7109375" style="52" customWidth="1"/>
    <col min="6150" max="6150" width="12.85546875" style="52" customWidth="1"/>
    <col min="6151" max="6151" width="12.7109375" style="52" customWidth="1"/>
    <col min="6152" max="6152" width="12.85546875" style="52" customWidth="1"/>
    <col min="6153" max="6153" width="14.42578125" style="52" customWidth="1"/>
    <col min="6154" max="6398" width="9.140625" style="52"/>
    <col min="6399" max="6399" width="2.7109375" style="52" customWidth="1"/>
    <col min="6400" max="6400" width="9.140625" style="52"/>
    <col min="6401" max="6401" width="40.28515625" style="52" bestFit="1" customWidth="1"/>
    <col min="6402" max="6402" width="10" style="52" customWidth="1"/>
    <col min="6403" max="6403" width="10.140625" style="52" customWidth="1"/>
    <col min="6404" max="6404" width="12.28515625" style="52" customWidth="1"/>
    <col min="6405" max="6405" width="15.7109375" style="52" customWidth="1"/>
    <col min="6406" max="6406" width="12.85546875" style="52" customWidth="1"/>
    <col min="6407" max="6407" width="12.7109375" style="52" customWidth="1"/>
    <col min="6408" max="6408" width="12.85546875" style="52" customWidth="1"/>
    <col min="6409" max="6409" width="14.42578125" style="52" customWidth="1"/>
    <col min="6410" max="6654" width="9.140625" style="52"/>
    <col min="6655" max="6655" width="2.7109375" style="52" customWidth="1"/>
    <col min="6656" max="6656" width="9.140625" style="52"/>
    <col min="6657" max="6657" width="40.28515625" style="52" bestFit="1" customWidth="1"/>
    <col min="6658" max="6658" width="10" style="52" customWidth="1"/>
    <col min="6659" max="6659" width="10.140625" style="52" customWidth="1"/>
    <col min="6660" max="6660" width="12.28515625" style="52" customWidth="1"/>
    <col min="6661" max="6661" width="15.7109375" style="52" customWidth="1"/>
    <col min="6662" max="6662" width="12.85546875" style="52" customWidth="1"/>
    <col min="6663" max="6663" width="12.7109375" style="52" customWidth="1"/>
    <col min="6664" max="6664" width="12.85546875" style="52" customWidth="1"/>
    <col min="6665" max="6665" width="14.42578125" style="52" customWidth="1"/>
    <col min="6666" max="6910" width="9.140625" style="52"/>
    <col min="6911" max="6911" width="2.7109375" style="52" customWidth="1"/>
    <col min="6912" max="6912" width="9.140625" style="52"/>
    <col min="6913" max="6913" width="40.28515625" style="52" bestFit="1" customWidth="1"/>
    <col min="6914" max="6914" width="10" style="52" customWidth="1"/>
    <col min="6915" max="6915" width="10.140625" style="52" customWidth="1"/>
    <col min="6916" max="6916" width="12.28515625" style="52" customWidth="1"/>
    <col min="6917" max="6917" width="15.7109375" style="52" customWidth="1"/>
    <col min="6918" max="6918" width="12.85546875" style="52" customWidth="1"/>
    <col min="6919" max="6919" width="12.7109375" style="52" customWidth="1"/>
    <col min="6920" max="6920" width="12.85546875" style="52" customWidth="1"/>
    <col min="6921" max="6921" width="14.42578125" style="52" customWidth="1"/>
    <col min="6922" max="7166" width="9.140625" style="52"/>
    <col min="7167" max="7167" width="2.7109375" style="52" customWidth="1"/>
    <col min="7168" max="7168" width="9.140625" style="52"/>
    <col min="7169" max="7169" width="40.28515625" style="52" bestFit="1" customWidth="1"/>
    <col min="7170" max="7170" width="10" style="52" customWidth="1"/>
    <col min="7171" max="7171" width="10.140625" style="52" customWidth="1"/>
    <col min="7172" max="7172" width="12.28515625" style="52" customWidth="1"/>
    <col min="7173" max="7173" width="15.7109375" style="52" customWidth="1"/>
    <col min="7174" max="7174" width="12.85546875" style="52" customWidth="1"/>
    <col min="7175" max="7175" width="12.7109375" style="52" customWidth="1"/>
    <col min="7176" max="7176" width="12.85546875" style="52" customWidth="1"/>
    <col min="7177" max="7177" width="14.42578125" style="52" customWidth="1"/>
    <col min="7178" max="7422" width="9.140625" style="52"/>
    <col min="7423" max="7423" width="2.7109375" style="52" customWidth="1"/>
    <col min="7424" max="7424" width="9.140625" style="52"/>
    <col min="7425" max="7425" width="40.28515625" style="52" bestFit="1" customWidth="1"/>
    <col min="7426" max="7426" width="10" style="52" customWidth="1"/>
    <col min="7427" max="7427" width="10.140625" style="52" customWidth="1"/>
    <col min="7428" max="7428" width="12.28515625" style="52" customWidth="1"/>
    <col min="7429" max="7429" width="15.7109375" style="52" customWidth="1"/>
    <col min="7430" max="7430" width="12.85546875" style="52" customWidth="1"/>
    <col min="7431" max="7431" width="12.7109375" style="52" customWidth="1"/>
    <col min="7432" max="7432" width="12.85546875" style="52" customWidth="1"/>
    <col min="7433" max="7433" width="14.42578125" style="52" customWidth="1"/>
    <col min="7434" max="7678" width="9.140625" style="52"/>
    <col min="7679" max="7679" width="2.7109375" style="52" customWidth="1"/>
    <col min="7680" max="7680" width="9.140625" style="52"/>
    <col min="7681" max="7681" width="40.28515625" style="52" bestFit="1" customWidth="1"/>
    <col min="7682" max="7682" width="10" style="52" customWidth="1"/>
    <col min="7683" max="7683" width="10.140625" style="52" customWidth="1"/>
    <col min="7684" max="7684" width="12.28515625" style="52" customWidth="1"/>
    <col min="7685" max="7685" width="15.7109375" style="52" customWidth="1"/>
    <col min="7686" max="7686" width="12.85546875" style="52" customWidth="1"/>
    <col min="7687" max="7687" width="12.7109375" style="52" customWidth="1"/>
    <col min="7688" max="7688" width="12.85546875" style="52" customWidth="1"/>
    <col min="7689" max="7689" width="14.42578125" style="52" customWidth="1"/>
    <col min="7690" max="7934" width="9.140625" style="52"/>
    <col min="7935" max="7935" width="2.7109375" style="52" customWidth="1"/>
    <col min="7936" max="7936" width="9.140625" style="52"/>
    <col min="7937" max="7937" width="40.28515625" style="52" bestFit="1" customWidth="1"/>
    <col min="7938" max="7938" width="10" style="52" customWidth="1"/>
    <col min="7939" max="7939" width="10.140625" style="52" customWidth="1"/>
    <col min="7940" max="7940" width="12.28515625" style="52" customWidth="1"/>
    <col min="7941" max="7941" width="15.7109375" style="52" customWidth="1"/>
    <col min="7942" max="7942" width="12.85546875" style="52" customWidth="1"/>
    <col min="7943" max="7943" width="12.7109375" style="52" customWidth="1"/>
    <col min="7944" max="7944" width="12.85546875" style="52" customWidth="1"/>
    <col min="7945" max="7945" width="14.42578125" style="52" customWidth="1"/>
    <col min="7946" max="8190" width="9.140625" style="52"/>
    <col min="8191" max="8191" width="2.7109375" style="52" customWidth="1"/>
    <col min="8192" max="8192" width="9.140625" style="52"/>
    <col min="8193" max="8193" width="40.28515625" style="52" bestFit="1" customWidth="1"/>
    <col min="8194" max="8194" width="10" style="52" customWidth="1"/>
    <col min="8195" max="8195" width="10.140625" style="52" customWidth="1"/>
    <col min="8196" max="8196" width="12.28515625" style="52" customWidth="1"/>
    <col min="8197" max="8197" width="15.7109375" style="52" customWidth="1"/>
    <col min="8198" max="8198" width="12.85546875" style="52" customWidth="1"/>
    <col min="8199" max="8199" width="12.7109375" style="52" customWidth="1"/>
    <col min="8200" max="8200" width="12.85546875" style="52" customWidth="1"/>
    <col min="8201" max="8201" width="14.42578125" style="52" customWidth="1"/>
    <col min="8202" max="8446" width="9.140625" style="52"/>
    <col min="8447" max="8447" width="2.7109375" style="52" customWidth="1"/>
    <col min="8448" max="8448" width="9.140625" style="52"/>
    <col min="8449" max="8449" width="40.28515625" style="52" bestFit="1" customWidth="1"/>
    <col min="8450" max="8450" width="10" style="52" customWidth="1"/>
    <col min="8451" max="8451" width="10.140625" style="52" customWidth="1"/>
    <col min="8452" max="8452" width="12.28515625" style="52" customWidth="1"/>
    <col min="8453" max="8453" width="15.7109375" style="52" customWidth="1"/>
    <col min="8454" max="8454" width="12.85546875" style="52" customWidth="1"/>
    <col min="8455" max="8455" width="12.7109375" style="52" customWidth="1"/>
    <col min="8456" max="8456" width="12.85546875" style="52" customWidth="1"/>
    <col min="8457" max="8457" width="14.42578125" style="52" customWidth="1"/>
    <col min="8458" max="8702" width="9.140625" style="52"/>
    <col min="8703" max="8703" width="2.7109375" style="52" customWidth="1"/>
    <col min="8704" max="8704" width="9.140625" style="52"/>
    <col min="8705" max="8705" width="40.28515625" style="52" bestFit="1" customWidth="1"/>
    <col min="8706" max="8706" width="10" style="52" customWidth="1"/>
    <col min="8707" max="8707" width="10.140625" style="52" customWidth="1"/>
    <col min="8708" max="8708" width="12.28515625" style="52" customWidth="1"/>
    <col min="8709" max="8709" width="15.7109375" style="52" customWidth="1"/>
    <col min="8710" max="8710" width="12.85546875" style="52" customWidth="1"/>
    <col min="8711" max="8711" width="12.7109375" style="52" customWidth="1"/>
    <col min="8712" max="8712" width="12.85546875" style="52" customWidth="1"/>
    <col min="8713" max="8713" width="14.42578125" style="52" customWidth="1"/>
    <col min="8714" max="8958" width="9.140625" style="52"/>
    <col min="8959" max="8959" width="2.7109375" style="52" customWidth="1"/>
    <col min="8960" max="8960" width="9.140625" style="52"/>
    <col min="8961" max="8961" width="40.28515625" style="52" bestFit="1" customWidth="1"/>
    <col min="8962" max="8962" width="10" style="52" customWidth="1"/>
    <col min="8963" max="8963" width="10.140625" style="52" customWidth="1"/>
    <col min="8964" max="8964" width="12.28515625" style="52" customWidth="1"/>
    <col min="8965" max="8965" width="15.7109375" style="52" customWidth="1"/>
    <col min="8966" max="8966" width="12.85546875" style="52" customWidth="1"/>
    <col min="8967" max="8967" width="12.7109375" style="52" customWidth="1"/>
    <col min="8968" max="8968" width="12.85546875" style="52" customWidth="1"/>
    <col min="8969" max="8969" width="14.42578125" style="52" customWidth="1"/>
    <col min="8970" max="9214" width="9.140625" style="52"/>
    <col min="9215" max="9215" width="2.7109375" style="52" customWidth="1"/>
    <col min="9216" max="9216" width="9.140625" style="52"/>
    <col min="9217" max="9217" width="40.28515625" style="52" bestFit="1" customWidth="1"/>
    <col min="9218" max="9218" width="10" style="52" customWidth="1"/>
    <col min="9219" max="9219" width="10.140625" style="52" customWidth="1"/>
    <col min="9220" max="9220" width="12.28515625" style="52" customWidth="1"/>
    <col min="9221" max="9221" width="15.7109375" style="52" customWidth="1"/>
    <col min="9222" max="9222" width="12.85546875" style="52" customWidth="1"/>
    <col min="9223" max="9223" width="12.7109375" style="52" customWidth="1"/>
    <col min="9224" max="9224" width="12.85546875" style="52" customWidth="1"/>
    <col min="9225" max="9225" width="14.42578125" style="52" customWidth="1"/>
    <col min="9226" max="9470" width="9.140625" style="52"/>
    <col min="9471" max="9471" width="2.7109375" style="52" customWidth="1"/>
    <col min="9472" max="9472" width="9.140625" style="52"/>
    <col min="9473" max="9473" width="40.28515625" style="52" bestFit="1" customWidth="1"/>
    <col min="9474" max="9474" width="10" style="52" customWidth="1"/>
    <col min="9475" max="9475" width="10.140625" style="52" customWidth="1"/>
    <col min="9476" max="9476" width="12.28515625" style="52" customWidth="1"/>
    <col min="9477" max="9477" width="15.7109375" style="52" customWidth="1"/>
    <col min="9478" max="9478" width="12.85546875" style="52" customWidth="1"/>
    <col min="9479" max="9479" width="12.7109375" style="52" customWidth="1"/>
    <col min="9480" max="9480" width="12.85546875" style="52" customWidth="1"/>
    <col min="9481" max="9481" width="14.42578125" style="52" customWidth="1"/>
    <col min="9482" max="9726" width="9.140625" style="52"/>
    <col min="9727" max="9727" width="2.7109375" style="52" customWidth="1"/>
    <col min="9728" max="9728" width="9.140625" style="52"/>
    <col min="9729" max="9729" width="40.28515625" style="52" bestFit="1" customWidth="1"/>
    <col min="9730" max="9730" width="10" style="52" customWidth="1"/>
    <col min="9731" max="9731" width="10.140625" style="52" customWidth="1"/>
    <col min="9732" max="9732" width="12.28515625" style="52" customWidth="1"/>
    <col min="9733" max="9733" width="15.7109375" style="52" customWidth="1"/>
    <col min="9734" max="9734" width="12.85546875" style="52" customWidth="1"/>
    <col min="9735" max="9735" width="12.7109375" style="52" customWidth="1"/>
    <col min="9736" max="9736" width="12.85546875" style="52" customWidth="1"/>
    <col min="9737" max="9737" width="14.42578125" style="52" customWidth="1"/>
    <col min="9738" max="9982" width="9.140625" style="52"/>
    <col min="9983" max="9983" width="2.7109375" style="52" customWidth="1"/>
    <col min="9984" max="9984" width="9.140625" style="52"/>
    <col min="9985" max="9985" width="40.28515625" style="52" bestFit="1" customWidth="1"/>
    <col min="9986" max="9986" width="10" style="52" customWidth="1"/>
    <col min="9987" max="9987" width="10.140625" style="52" customWidth="1"/>
    <col min="9988" max="9988" width="12.28515625" style="52" customWidth="1"/>
    <col min="9989" max="9989" width="15.7109375" style="52" customWidth="1"/>
    <col min="9990" max="9990" width="12.85546875" style="52" customWidth="1"/>
    <col min="9991" max="9991" width="12.7109375" style="52" customWidth="1"/>
    <col min="9992" max="9992" width="12.85546875" style="52" customWidth="1"/>
    <col min="9993" max="9993" width="14.42578125" style="52" customWidth="1"/>
    <col min="9994" max="10238" width="9.140625" style="52"/>
    <col min="10239" max="10239" width="2.7109375" style="52" customWidth="1"/>
    <col min="10240" max="10240" width="9.140625" style="52"/>
    <col min="10241" max="10241" width="40.28515625" style="52" bestFit="1" customWidth="1"/>
    <col min="10242" max="10242" width="10" style="52" customWidth="1"/>
    <col min="10243" max="10243" width="10.140625" style="52" customWidth="1"/>
    <col min="10244" max="10244" width="12.28515625" style="52" customWidth="1"/>
    <col min="10245" max="10245" width="15.7109375" style="52" customWidth="1"/>
    <col min="10246" max="10246" width="12.85546875" style="52" customWidth="1"/>
    <col min="10247" max="10247" width="12.7109375" style="52" customWidth="1"/>
    <col min="10248" max="10248" width="12.85546875" style="52" customWidth="1"/>
    <col min="10249" max="10249" width="14.42578125" style="52" customWidth="1"/>
    <col min="10250" max="10494" width="9.140625" style="52"/>
    <col min="10495" max="10495" width="2.7109375" style="52" customWidth="1"/>
    <col min="10496" max="10496" width="9.140625" style="52"/>
    <col min="10497" max="10497" width="40.28515625" style="52" bestFit="1" customWidth="1"/>
    <col min="10498" max="10498" width="10" style="52" customWidth="1"/>
    <col min="10499" max="10499" width="10.140625" style="52" customWidth="1"/>
    <col min="10500" max="10500" width="12.28515625" style="52" customWidth="1"/>
    <col min="10501" max="10501" width="15.7109375" style="52" customWidth="1"/>
    <col min="10502" max="10502" width="12.85546875" style="52" customWidth="1"/>
    <col min="10503" max="10503" width="12.7109375" style="52" customWidth="1"/>
    <col min="10504" max="10504" width="12.85546875" style="52" customWidth="1"/>
    <col min="10505" max="10505" width="14.42578125" style="52" customWidth="1"/>
    <col min="10506" max="10750" width="9.140625" style="52"/>
    <col min="10751" max="10751" width="2.7109375" style="52" customWidth="1"/>
    <col min="10752" max="10752" width="9.140625" style="52"/>
    <col min="10753" max="10753" width="40.28515625" style="52" bestFit="1" customWidth="1"/>
    <col min="10754" max="10754" width="10" style="52" customWidth="1"/>
    <col min="10755" max="10755" width="10.140625" style="52" customWidth="1"/>
    <col min="10756" max="10756" width="12.28515625" style="52" customWidth="1"/>
    <col min="10757" max="10757" width="15.7109375" style="52" customWidth="1"/>
    <col min="10758" max="10758" width="12.85546875" style="52" customWidth="1"/>
    <col min="10759" max="10759" width="12.7109375" style="52" customWidth="1"/>
    <col min="10760" max="10760" width="12.85546875" style="52" customWidth="1"/>
    <col min="10761" max="10761" width="14.42578125" style="52" customWidth="1"/>
    <col min="10762" max="11006" width="9.140625" style="52"/>
    <col min="11007" max="11007" width="2.7109375" style="52" customWidth="1"/>
    <col min="11008" max="11008" width="9.140625" style="52"/>
    <col min="11009" max="11009" width="40.28515625" style="52" bestFit="1" customWidth="1"/>
    <col min="11010" max="11010" width="10" style="52" customWidth="1"/>
    <col min="11011" max="11011" width="10.140625" style="52" customWidth="1"/>
    <col min="11012" max="11012" width="12.28515625" style="52" customWidth="1"/>
    <col min="11013" max="11013" width="15.7109375" style="52" customWidth="1"/>
    <col min="11014" max="11014" width="12.85546875" style="52" customWidth="1"/>
    <col min="11015" max="11015" width="12.7109375" style="52" customWidth="1"/>
    <col min="11016" max="11016" width="12.85546875" style="52" customWidth="1"/>
    <col min="11017" max="11017" width="14.42578125" style="52" customWidth="1"/>
    <col min="11018" max="11262" width="9.140625" style="52"/>
    <col min="11263" max="11263" width="2.7109375" style="52" customWidth="1"/>
    <col min="11264" max="11264" width="9.140625" style="52"/>
    <col min="11265" max="11265" width="40.28515625" style="52" bestFit="1" customWidth="1"/>
    <col min="11266" max="11266" width="10" style="52" customWidth="1"/>
    <col min="11267" max="11267" width="10.140625" style="52" customWidth="1"/>
    <col min="11268" max="11268" width="12.28515625" style="52" customWidth="1"/>
    <col min="11269" max="11269" width="15.7109375" style="52" customWidth="1"/>
    <col min="11270" max="11270" width="12.85546875" style="52" customWidth="1"/>
    <col min="11271" max="11271" width="12.7109375" style="52" customWidth="1"/>
    <col min="11272" max="11272" width="12.85546875" style="52" customWidth="1"/>
    <col min="11273" max="11273" width="14.42578125" style="52" customWidth="1"/>
    <col min="11274" max="11518" width="9.140625" style="52"/>
    <col min="11519" max="11519" width="2.7109375" style="52" customWidth="1"/>
    <col min="11520" max="11520" width="9.140625" style="52"/>
    <col min="11521" max="11521" width="40.28515625" style="52" bestFit="1" customWidth="1"/>
    <col min="11522" max="11522" width="10" style="52" customWidth="1"/>
    <col min="11523" max="11523" width="10.140625" style="52" customWidth="1"/>
    <col min="11524" max="11524" width="12.28515625" style="52" customWidth="1"/>
    <col min="11525" max="11525" width="15.7109375" style="52" customWidth="1"/>
    <col min="11526" max="11526" width="12.85546875" style="52" customWidth="1"/>
    <col min="11527" max="11527" width="12.7109375" style="52" customWidth="1"/>
    <col min="11528" max="11528" width="12.85546875" style="52" customWidth="1"/>
    <col min="11529" max="11529" width="14.42578125" style="52" customWidth="1"/>
    <col min="11530" max="11774" width="9.140625" style="52"/>
    <col min="11775" max="11775" width="2.7109375" style="52" customWidth="1"/>
    <col min="11776" max="11776" width="9.140625" style="52"/>
    <col min="11777" max="11777" width="40.28515625" style="52" bestFit="1" customWidth="1"/>
    <col min="11778" max="11778" width="10" style="52" customWidth="1"/>
    <col min="11779" max="11779" width="10.140625" style="52" customWidth="1"/>
    <col min="11780" max="11780" width="12.28515625" style="52" customWidth="1"/>
    <col min="11781" max="11781" width="15.7109375" style="52" customWidth="1"/>
    <col min="11782" max="11782" width="12.85546875" style="52" customWidth="1"/>
    <col min="11783" max="11783" width="12.7109375" style="52" customWidth="1"/>
    <col min="11784" max="11784" width="12.85546875" style="52" customWidth="1"/>
    <col min="11785" max="11785" width="14.42578125" style="52" customWidth="1"/>
    <col min="11786" max="12030" width="9.140625" style="52"/>
    <col min="12031" max="12031" width="2.7109375" style="52" customWidth="1"/>
    <col min="12032" max="12032" width="9.140625" style="52"/>
    <col min="12033" max="12033" width="40.28515625" style="52" bestFit="1" customWidth="1"/>
    <col min="12034" max="12034" width="10" style="52" customWidth="1"/>
    <col min="12035" max="12035" width="10.140625" style="52" customWidth="1"/>
    <col min="12036" max="12036" width="12.28515625" style="52" customWidth="1"/>
    <col min="12037" max="12037" width="15.7109375" style="52" customWidth="1"/>
    <col min="12038" max="12038" width="12.85546875" style="52" customWidth="1"/>
    <col min="12039" max="12039" width="12.7109375" style="52" customWidth="1"/>
    <col min="12040" max="12040" width="12.85546875" style="52" customWidth="1"/>
    <col min="12041" max="12041" width="14.42578125" style="52" customWidth="1"/>
    <col min="12042" max="12286" width="9.140625" style="52"/>
    <col min="12287" max="12287" width="2.7109375" style="52" customWidth="1"/>
    <col min="12288" max="12288" width="9.140625" style="52"/>
    <col min="12289" max="12289" width="40.28515625" style="52" bestFit="1" customWidth="1"/>
    <col min="12290" max="12290" width="10" style="52" customWidth="1"/>
    <col min="12291" max="12291" width="10.140625" style="52" customWidth="1"/>
    <col min="12292" max="12292" width="12.28515625" style="52" customWidth="1"/>
    <col min="12293" max="12293" width="15.7109375" style="52" customWidth="1"/>
    <col min="12294" max="12294" width="12.85546875" style="52" customWidth="1"/>
    <col min="12295" max="12295" width="12.7109375" style="52" customWidth="1"/>
    <col min="12296" max="12296" width="12.85546875" style="52" customWidth="1"/>
    <col min="12297" max="12297" width="14.42578125" style="52" customWidth="1"/>
    <col min="12298" max="12542" width="9.140625" style="52"/>
    <col min="12543" max="12543" width="2.7109375" style="52" customWidth="1"/>
    <col min="12544" max="12544" width="9.140625" style="52"/>
    <col min="12545" max="12545" width="40.28515625" style="52" bestFit="1" customWidth="1"/>
    <col min="12546" max="12546" width="10" style="52" customWidth="1"/>
    <col min="12547" max="12547" width="10.140625" style="52" customWidth="1"/>
    <col min="12548" max="12548" width="12.28515625" style="52" customWidth="1"/>
    <col min="12549" max="12549" width="15.7109375" style="52" customWidth="1"/>
    <col min="12550" max="12550" width="12.85546875" style="52" customWidth="1"/>
    <col min="12551" max="12551" width="12.7109375" style="52" customWidth="1"/>
    <col min="12552" max="12552" width="12.85546875" style="52" customWidth="1"/>
    <col min="12553" max="12553" width="14.42578125" style="52" customWidth="1"/>
    <col min="12554" max="12798" width="9.140625" style="52"/>
    <col min="12799" max="12799" width="2.7109375" style="52" customWidth="1"/>
    <col min="12800" max="12800" width="9.140625" style="52"/>
    <col min="12801" max="12801" width="40.28515625" style="52" bestFit="1" customWidth="1"/>
    <col min="12802" max="12802" width="10" style="52" customWidth="1"/>
    <col min="12803" max="12803" width="10.140625" style="52" customWidth="1"/>
    <col min="12804" max="12804" width="12.28515625" style="52" customWidth="1"/>
    <col min="12805" max="12805" width="15.7109375" style="52" customWidth="1"/>
    <col min="12806" max="12806" width="12.85546875" style="52" customWidth="1"/>
    <col min="12807" max="12807" width="12.7109375" style="52" customWidth="1"/>
    <col min="12808" max="12808" width="12.85546875" style="52" customWidth="1"/>
    <col min="12809" max="12809" width="14.42578125" style="52" customWidth="1"/>
    <col min="12810" max="13054" width="9.140625" style="52"/>
    <col min="13055" max="13055" width="2.7109375" style="52" customWidth="1"/>
    <col min="13056" max="13056" width="9.140625" style="52"/>
    <col min="13057" max="13057" width="40.28515625" style="52" bestFit="1" customWidth="1"/>
    <col min="13058" max="13058" width="10" style="52" customWidth="1"/>
    <col min="13059" max="13059" width="10.140625" style="52" customWidth="1"/>
    <col min="13060" max="13060" width="12.28515625" style="52" customWidth="1"/>
    <col min="13061" max="13061" width="15.7109375" style="52" customWidth="1"/>
    <col min="13062" max="13062" width="12.85546875" style="52" customWidth="1"/>
    <col min="13063" max="13063" width="12.7109375" style="52" customWidth="1"/>
    <col min="13064" max="13064" width="12.85546875" style="52" customWidth="1"/>
    <col min="13065" max="13065" width="14.42578125" style="52" customWidth="1"/>
    <col min="13066" max="13310" width="9.140625" style="52"/>
    <col min="13311" max="13311" width="2.7109375" style="52" customWidth="1"/>
    <col min="13312" max="13312" width="9.140625" style="52"/>
    <col min="13313" max="13313" width="40.28515625" style="52" bestFit="1" customWidth="1"/>
    <col min="13314" max="13314" width="10" style="52" customWidth="1"/>
    <col min="13315" max="13315" width="10.140625" style="52" customWidth="1"/>
    <col min="13316" max="13316" width="12.28515625" style="52" customWidth="1"/>
    <col min="13317" max="13317" width="15.7109375" style="52" customWidth="1"/>
    <col min="13318" max="13318" width="12.85546875" style="52" customWidth="1"/>
    <col min="13319" max="13319" width="12.7109375" style="52" customWidth="1"/>
    <col min="13320" max="13320" width="12.85546875" style="52" customWidth="1"/>
    <col min="13321" max="13321" width="14.42578125" style="52" customWidth="1"/>
    <col min="13322" max="13566" width="9.140625" style="52"/>
    <col min="13567" max="13567" width="2.7109375" style="52" customWidth="1"/>
    <col min="13568" max="13568" width="9.140625" style="52"/>
    <col min="13569" max="13569" width="40.28515625" style="52" bestFit="1" customWidth="1"/>
    <col min="13570" max="13570" width="10" style="52" customWidth="1"/>
    <col min="13571" max="13571" width="10.140625" style="52" customWidth="1"/>
    <col min="13572" max="13572" width="12.28515625" style="52" customWidth="1"/>
    <col min="13573" max="13573" width="15.7109375" style="52" customWidth="1"/>
    <col min="13574" max="13574" width="12.85546875" style="52" customWidth="1"/>
    <col min="13575" max="13575" width="12.7109375" style="52" customWidth="1"/>
    <col min="13576" max="13576" width="12.85546875" style="52" customWidth="1"/>
    <col min="13577" max="13577" width="14.42578125" style="52" customWidth="1"/>
    <col min="13578" max="13822" width="9.140625" style="52"/>
    <col min="13823" max="13823" width="2.7109375" style="52" customWidth="1"/>
    <col min="13824" max="13824" width="9.140625" style="52"/>
    <col min="13825" max="13825" width="40.28515625" style="52" bestFit="1" customWidth="1"/>
    <col min="13826" max="13826" width="10" style="52" customWidth="1"/>
    <col min="13827" max="13827" width="10.140625" style="52" customWidth="1"/>
    <col min="13828" max="13828" width="12.28515625" style="52" customWidth="1"/>
    <col min="13829" max="13829" width="15.7109375" style="52" customWidth="1"/>
    <col min="13830" max="13830" width="12.85546875" style="52" customWidth="1"/>
    <col min="13831" max="13831" width="12.7109375" style="52" customWidth="1"/>
    <col min="13832" max="13832" width="12.85546875" style="52" customWidth="1"/>
    <col min="13833" max="13833" width="14.42578125" style="52" customWidth="1"/>
    <col min="13834" max="14078" width="9.140625" style="52"/>
    <col min="14079" max="14079" width="2.7109375" style="52" customWidth="1"/>
    <col min="14080" max="14080" width="9.140625" style="52"/>
    <col min="14081" max="14081" width="40.28515625" style="52" bestFit="1" customWidth="1"/>
    <col min="14082" max="14082" width="10" style="52" customWidth="1"/>
    <col min="14083" max="14083" width="10.140625" style="52" customWidth="1"/>
    <col min="14084" max="14084" width="12.28515625" style="52" customWidth="1"/>
    <col min="14085" max="14085" width="15.7109375" style="52" customWidth="1"/>
    <col min="14086" max="14086" width="12.85546875" style="52" customWidth="1"/>
    <col min="14087" max="14087" width="12.7109375" style="52" customWidth="1"/>
    <col min="14088" max="14088" width="12.85546875" style="52" customWidth="1"/>
    <col min="14089" max="14089" width="14.42578125" style="52" customWidth="1"/>
    <col min="14090" max="14334" width="9.140625" style="52"/>
    <col min="14335" max="14335" width="2.7109375" style="52" customWidth="1"/>
    <col min="14336" max="14336" width="9.140625" style="52"/>
    <col min="14337" max="14337" width="40.28515625" style="52" bestFit="1" customWidth="1"/>
    <col min="14338" max="14338" width="10" style="52" customWidth="1"/>
    <col min="14339" max="14339" width="10.140625" style="52" customWidth="1"/>
    <col min="14340" max="14340" width="12.28515625" style="52" customWidth="1"/>
    <col min="14341" max="14341" width="15.7109375" style="52" customWidth="1"/>
    <col min="14342" max="14342" width="12.85546875" style="52" customWidth="1"/>
    <col min="14343" max="14343" width="12.7109375" style="52" customWidth="1"/>
    <col min="14344" max="14344" width="12.85546875" style="52" customWidth="1"/>
    <col min="14345" max="14345" width="14.42578125" style="52" customWidth="1"/>
    <col min="14346" max="14590" width="9.140625" style="52"/>
    <col min="14591" max="14591" width="2.7109375" style="52" customWidth="1"/>
    <col min="14592" max="14592" width="9.140625" style="52"/>
    <col min="14593" max="14593" width="40.28515625" style="52" bestFit="1" customWidth="1"/>
    <col min="14594" max="14594" width="10" style="52" customWidth="1"/>
    <col min="14595" max="14595" width="10.140625" style="52" customWidth="1"/>
    <col min="14596" max="14596" width="12.28515625" style="52" customWidth="1"/>
    <col min="14597" max="14597" width="15.7109375" style="52" customWidth="1"/>
    <col min="14598" max="14598" width="12.85546875" style="52" customWidth="1"/>
    <col min="14599" max="14599" width="12.7109375" style="52" customWidth="1"/>
    <col min="14600" max="14600" width="12.85546875" style="52" customWidth="1"/>
    <col min="14601" max="14601" width="14.42578125" style="52" customWidth="1"/>
    <col min="14602" max="14846" width="9.140625" style="52"/>
    <col min="14847" max="14847" width="2.7109375" style="52" customWidth="1"/>
    <col min="14848" max="14848" width="9.140625" style="52"/>
    <col min="14849" max="14849" width="40.28515625" style="52" bestFit="1" customWidth="1"/>
    <col min="14850" max="14850" width="10" style="52" customWidth="1"/>
    <col min="14851" max="14851" width="10.140625" style="52" customWidth="1"/>
    <col min="14852" max="14852" width="12.28515625" style="52" customWidth="1"/>
    <col min="14853" max="14853" width="15.7109375" style="52" customWidth="1"/>
    <col min="14854" max="14854" width="12.85546875" style="52" customWidth="1"/>
    <col min="14855" max="14855" width="12.7109375" style="52" customWidth="1"/>
    <col min="14856" max="14856" width="12.85546875" style="52" customWidth="1"/>
    <col min="14857" max="14857" width="14.42578125" style="52" customWidth="1"/>
    <col min="14858" max="15102" width="9.140625" style="52"/>
    <col min="15103" max="15103" width="2.7109375" style="52" customWidth="1"/>
    <col min="15104" max="15104" width="9.140625" style="52"/>
    <col min="15105" max="15105" width="40.28515625" style="52" bestFit="1" customWidth="1"/>
    <col min="15106" max="15106" width="10" style="52" customWidth="1"/>
    <col min="15107" max="15107" width="10.140625" style="52" customWidth="1"/>
    <col min="15108" max="15108" width="12.28515625" style="52" customWidth="1"/>
    <col min="15109" max="15109" width="15.7109375" style="52" customWidth="1"/>
    <col min="15110" max="15110" width="12.85546875" style="52" customWidth="1"/>
    <col min="15111" max="15111" width="12.7109375" style="52" customWidth="1"/>
    <col min="15112" max="15112" width="12.85546875" style="52" customWidth="1"/>
    <col min="15113" max="15113" width="14.42578125" style="52" customWidth="1"/>
    <col min="15114" max="15358" width="9.140625" style="52"/>
    <col min="15359" max="15359" width="2.7109375" style="52" customWidth="1"/>
    <col min="15360" max="15360" width="9.140625" style="52"/>
    <col min="15361" max="15361" width="40.28515625" style="52" bestFit="1" customWidth="1"/>
    <col min="15362" max="15362" width="10" style="52" customWidth="1"/>
    <col min="15363" max="15363" width="10.140625" style="52" customWidth="1"/>
    <col min="15364" max="15364" width="12.28515625" style="52" customWidth="1"/>
    <col min="15365" max="15365" width="15.7109375" style="52" customWidth="1"/>
    <col min="15366" max="15366" width="12.85546875" style="52" customWidth="1"/>
    <col min="15367" max="15367" width="12.7109375" style="52" customWidth="1"/>
    <col min="15368" max="15368" width="12.85546875" style="52" customWidth="1"/>
    <col min="15369" max="15369" width="14.42578125" style="52" customWidth="1"/>
    <col min="15370" max="15614" width="9.140625" style="52"/>
    <col min="15615" max="15615" width="2.7109375" style="52" customWidth="1"/>
    <col min="15616" max="15616" width="9.140625" style="52"/>
    <col min="15617" max="15617" width="40.28515625" style="52" bestFit="1" customWidth="1"/>
    <col min="15618" max="15618" width="10" style="52" customWidth="1"/>
    <col min="15619" max="15619" width="10.140625" style="52" customWidth="1"/>
    <col min="15620" max="15620" width="12.28515625" style="52" customWidth="1"/>
    <col min="15621" max="15621" width="15.7109375" style="52" customWidth="1"/>
    <col min="15622" max="15622" width="12.85546875" style="52" customWidth="1"/>
    <col min="15623" max="15623" width="12.7109375" style="52" customWidth="1"/>
    <col min="15624" max="15624" width="12.85546875" style="52" customWidth="1"/>
    <col min="15625" max="15625" width="14.42578125" style="52" customWidth="1"/>
    <col min="15626" max="15870" width="9.140625" style="52"/>
    <col min="15871" max="15871" width="2.7109375" style="52" customWidth="1"/>
    <col min="15872" max="15872" width="9.140625" style="52"/>
    <col min="15873" max="15873" width="40.28515625" style="52" bestFit="1" customWidth="1"/>
    <col min="15874" max="15874" width="10" style="52" customWidth="1"/>
    <col min="15875" max="15875" width="10.140625" style="52" customWidth="1"/>
    <col min="15876" max="15876" width="12.28515625" style="52" customWidth="1"/>
    <col min="15877" max="15877" width="15.7109375" style="52" customWidth="1"/>
    <col min="15878" max="15878" width="12.85546875" style="52" customWidth="1"/>
    <col min="15879" max="15879" width="12.7109375" style="52" customWidth="1"/>
    <col min="15880" max="15880" width="12.85546875" style="52" customWidth="1"/>
    <col min="15881" max="15881" width="14.42578125" style="52" customWidth="1"/>
    <col min="15882" max="16126" width="9.140625" style="52"/>
    <col min="16127" max="16127" width="2.7109375" style="52" customWidth="1"/>
    <col min="16128" max="16128" width="9.140625" style="52"/>
    <col min="16129" max="16129" width="40.28515625" style="52" bestFit="1" customWidth="1"/>
    <col min="16130" max="16130" width="10" style="52" customWidth="1"/>
    <col min="16131" max="16131" width="10.140625" style="52" customWidth="1"/>
    <col min="16132" max="16132" width="12.28515625" style="52" customWidth="1"/>
    <col min="16133" max="16133" width="15.7109375" style="52" customWidth="1"/>
    <col min="16134" max="16134" width="12.85546875" style="52" customWidth="1"/>
    <col min="16135" max="16135" width="12.7109375" style="52" customWidth="1"/>
    <col min="16136" max="16136" width="12.85546875" style="52" customWidth="1"/>
    <col min="16137" max="16137" width="14.42578125" style="52" customWidth="1"/>
    <col min="16138" max="16384" width="9.140625" style="52"/>
  </cols>
  <sheetData>
    <row r="1" spans="1:13" x14ac:dyDescent="0.2">
      <c r="C1" s="155"/>
      <c r="D1" s="154"/>
      <c r="E1" s="155"/>
      <c r="F1" s="155"/>
      <c r="G1" s="155"/>
      <c r="H1" s="155"/>
      <c r="I1" s="155"/>
      <c r="J1" s="152" t="s">
        <v>301</v>
      </c>
      <c r="K1" s="1092" t="str">
        <f>EBNUMBER</f>
        <v>EB-2016-0066</v>
      </c>
      <c r="M1" s="155"/>
    </row>
    <row r="2" spans="1:13" x14ac:dyDescent="0.2">
      <c r="C2" s="155"/>
      <c r="D2" s="154"/>
      <c r="E2" s="155"/>
      <c r="F2" s="155"/>
      <c r="G2" s="155"/>
      <c r="H2" s="155"/>
      <c r="I2" s="155"/>
      <c r="J2" s="152" t="s">
        <v>302</v>
      </c>
      <c r="K2" s="51"/>
      <c r="M2" s="155"/>
    </row>
    <row r="3" spans="1:13" x14ac:dyDescent="0.2">
      <c r="C3" s="155"/>
      <c r="D3" s="154"/>
      <c r="E3" s="155"/>
      <c r="F3" s="155"/>
      <c r="G3" s="155"/>
      <c r="H3" s="155"/>
      <c r="I3" s="155"/>
      <c r="J3" s="152" t="s">
        <v>303</v>
      </c>
      <c r="K3" s="51"/>
      <c r="M3" s="155"/>
    </row>
    <row r="4" spans="1:13" x14ac:dyDescent="0.2">
      <c r="C4" s="155"/>
      <c r="D4" s="154"/>
      <c r="E4" s="155"/>
      <c r="F4" s="155"/>
      <c r="G4" s="155"/>
      <c r="H4" s="155"/>
      <c r="I4" s="155"/>
      <c r="J4" s="152" t="s">
        <v>304</v>
      </c>
      <c r="K4" s="51"/>
      <c r="M4" s="155"/>
    </row>
    <row r="5" spans="1:13" x14ac:dyDescent="0.2">
      <c r="C5" s="155"/>
      <c r="D5" s="154"/>
      <c r="E5" s="155"/>
      <c r="F5" s="155"/>
      <c r="G5" s="155"/>
      <c r="H5" s="155"/>
      <c r="I5" s="155"/>
      <c r="J5" s="152" t="s">
        <v>305</v>
      </c>
      <c r="K5" s="1093"/>
      <c r="M5" s="155"/>
    </row>
    <row r="6" spans="1:13" x14ac:dyDescent="0.2">
      <c r="C6" s="155"/>
      <c r="D6" s="154"/>
      <c r="E6" s="155"/>
      <c r="F6" s="155"/>
      <c r="G6" s="155"/>
      <c r="H6" s="155"/>
      <c r="I6" s="155"/>
      <c r="J6" s="152"/>
      <c r="K6" s="1092"/>
      <c r="M6" s="155"/>
    </row>
    <row r="7" spans="1:13" x14ac:dyDescent="0.2">
      <c r="C7" s="155"/>
      <c r="D7" s="154"/>
      <c r="E7" s="155"/>
      <c r="F7" s="155"/>
      <c r="G7" s="155"/>
      <c r="H7" s="155"/>
      <c r="I7" s="155"/>
      <c r="J7" s="152" t="s">
        <v>306</v>
      </c>
      <c r="K7" s="1093"/>
      <c r="M7" s="239"/>
    </row>
    <row r="9" spans="1:13" ht="18" x14ac:dyDescent="0.2">
      <c r="A9" s="1679" t="s">
        <v>1445</v>
      </c>
      <c r="B9" s="1679"/>
      <c r="C9" s="1679"/>
      <c r="D9" s="1679"/>
      <c r="E9" s="1679"/>
      <c r="F9" s="1679"/>
      <c r="G9" s="1679"/>
      <c r="H9" s="1679"/>
      <c r="I9" s="1679"/>
    </row>
    <row r="10" spans="1:13" ht="18" x14ac:dyDescent="0.2">
      <c r="A10" s="1679" t="s">
        <v>2</v>
      </c>
      <c r="B10" s="1679"/>
      <c r="C10" s="1679"/>
      <c r="D10" s="1679"/>
      <c r="E10" s="1679"/>
      <c r="F10" s="1679"/>
      <c r="G10" s="1679"/>
      <c r="H10" s="1679"/>
      <c r="I10" s="1679"/>
    </row>
    <row r="11" spans="1:13" ht="24" customHeight="1" x14ac:dyDescent="0.2">
      <c r="A11" s="1680" t="s">
        <v>1061</v>
      </c>
      <c r="B11" s="1680"/>
      <c r="C11" s="1680"/>
      <c r="D11" s="1680"/>
      <c r="E11" s="1680"/>
      <c r="F11" s="1680"/>
      <c r="G11" s="1680"/>
      <c r="H11" s="1680"/>
      <c r="I11" s="295"/>
      <c r="J11" s="295"/>
    </row>
    <row r="12" spans="1:13" ht="24" customHeight="1" x14ac:dyDescent="0.2">
      <c r="A12" s="1109"/>
      <c r="B12" s="1109"/>
      <c r="C12" s="1109"/>
      <c r="D12" s="1109"/>
      <c r="E12" s="1109"/>
      <c r="F12" s="1109"/>
      <c r="G12" s="1109"/>
      <c r="H12" s="1109"/>
      <c r="I12" s="295"/>
      <c r="J12" s="295"/>
    </row>
    <row r="13" spans="1:13" ht="51.75" customHeight="1" x14ac:dyDescent="0.25">
      <c r="A13" s="1700" t="s">
        <v>1042</v>
      </c>
      <c r="B13" s="1701"/>
      <c r="C13" s="878"/>
      <c r="D13" s="1115"/>
      <c r="E13" s="1110"/>
      <c r="F13" s="1110"/>
      <c r="G13" s="1110"/>
      <c r="H13" s="1109"/>
      <c r="I13" s="1109"/>
      <c r="J13" s="1116" t="s">
        <v>1057</v>
      </c>
      <c r="K13" s="1116" t="s">
        <v>882</v>
      </c>
    </row>
    <row r="14" spans="1:13" ht="42.75" customHeight="1" x14ac:dyDescent="0.2">
      <c r="A14" s="1693" t="s">
        <v>1101</v>
      </c>
      <c r="B14" s="1694"/>
      <c r="C14" s="1682" t="s">
        <v>1076</v>
      </c>
      <c r="D14" s="1652"/>
      <c r="E14" s="1652"/>
      <c r="F14" s="1652"/>
      <c r="G14" s="1652"/>
      <c r="H14" s="1652"/>
      <c r="I14" s="1652"/>
      <c r="J14" s="1118">
        <v>2016</v>
      </c>
      <c r="K14" s="1125" t="s">
        <v>105</v>
      </c>
    </row>
    <row r="15" spans="1:13" ht="24" customHeight="1" x14ac:dyDescent="0.2">
      <c r="A15" s="1693" t="s">
        <v>1102</v>
      </c>
      <c r="B15" s="1694"/>
      <c r="C15" s="1682" t="s">
        <v>1077</v>
      </c>
      <c r="D15" s="1652"/>
      <c r="E15" s="1652"/>
      <c r="F15" s="1652"/>
      <c r="G15" s="1652"/>
      <c r="H15" s="1652"/>
      <c r="I15" s="1652"/>
      <c r="J15" s="1118">
        <v>2017</v>
      </c>
      <c r="K15" s="1125" t="s">
        <v>105</v>
      </c>
    </row>
    <row r="16" spans="1:13" ht="13.5" customHeight="1" x14ac:dyDescent="0.25">
      <c r="A16" s="1046"/>
      <c r="B16" s="1046"/>
      <c r="C16" s="274"/>
      <c r="D16" s="274"/>
      <c r="E16" s="1046"/>
      <c r="F16" s="1046"/>
      <c r="G16" s="1046"/>
      <c r="H16" s="1046"/>
    </row>
    <row r="17" spans="1:11" ht="13.5" thickBot="1" x14ac:dyDescent="0.25"/>
    <row r="18" spans="1:11" ht="62.25" customHeight="1" x14ac:dyDescent="0.2">
      <c r="A18" s="313" t="s">
        <v>3</v>
      </c>
      <c r="B18" s="1687" t="s">
        <v>235</v>
      </c>
      <c r="C18" s="245" t="s">
        <v>237</v>
      </c>
      <c r="D18" s="245" t="s">
        <v>395</v>
      </c>
      <c r="E18" s="245" t="s">
        <v>385</v>
      </c>
      <c r="F18" s="277" t="s">
        <v>1086</v>
      </c>
      <c r="G18" s="1697" t="s">
        <v>1062</v>
      </c>
      <c r="H18" s="277" t="s">
        <v>388</v>
      </c>
      <c r="I18" s="277" t="s">
        <v>1047</v>
      </c>
      <c r="J18" s="1697" t="s">
        <v>1088</v>
      </c>
      <c r="K18" s="277" t="s">
        <v>1055</v>
      </c>
    </row>
    <row r="19" spans="1:11" ht="57.75" customHeight="1" thickBot="1" x14ac:dyDescent="0.25">
      <c r="A19" s="314"/>
      <c r="B19" s="1696"/>
      <c r="C19" s="278" t="s">
        <v>5</v>
      </c>
      <c r="D19" s="278" t="s">
        <v>7</v>
      </c>
      <c r="E19" s="278" t="s">
        <v>8</v>
      </c>
      <c r="F19" s="296" t="s">
        <v>1087</v>
      </c>
      <c r="G19" s="1698"/>
      <c r="H19" s="281" t="s">
        <v>382</v>
      </c>
      <c r="I19" s="281" t="s">
        <v>396</v>
      </c>
      <c r="J19" s="1699"/>
      <c r="K19" s="297" t="s">
        <v>1056</v>
      </c>
    </row>
    <row r="20" spans="1:11" ht="25.5" x14ac:dyDescent="0.2">
      <c r="A20" s="315">
        <v>1611</v>
      </c>
      <c r="B20" s="316" t="s">
        <v>381</v>
      </c>
      <c r="C20" s="173"/>
      <c r="D20" s="317"/>
      <c r="E20" s="318">
        <f t="shared" ref="E20:E57" si="0">IF(D20=0,0,1/D20)</f>
        <v>0</v>
      </c>
      <c r="F20" s="191">
        <f>IF(D20=0,'App.2-CE_DepExp_Yr4'!K20,+'App.2-CE_DepExp_Yr4'!K20+((C20*0.5)/D20))</f>
        <v>0</v>
      </c>
      <c r="G20" s="323"/>
      <c r="H20" s="191">
        <f t="shared" ref="H20:H57" si="1">IF(ISERROR(+F20-G20), 0, +F20-G20)</f>
        <v>0</v>
      </c>
      <c r="I20" s="191">
        <f>IF(D20=0,0,+(C20)/D20)</f>
        <v>0</v>
      </c>
      <c r="J20" s="173"/>
      <c r="K20" s="191">
        <f>IF(ISERROR(+I20+'App.2-CE_DepExp_Yr4'!K20-J20), 0, +'App.2-CE_DepExp_Yr4'!K20-J20)</f>
        <v>0</v>
      </c>
    </row>
    <row r="21" spans="1:11" x14ac:dyDescent="0.2">
      <c r="A21" s="1064">
        <v>1612</v>
      </c>
      <c r="B21" s="172" t="s">
        <v>442</v>
      </c>
      <c r="C21" s="173"/>
      <c r="D21" s="250"/>
      <c r="E21" s="252">
        <f t="shared" si="0"/>
        <v>0</v>
      </c>
      <c r="F21" s="191">
        <f>IF(D21=0,'App.2-CE_DepExp_Yr4'!K21,+'App.2-CE_DepExp_Yr4'!K21+((C21*0.5)/D21))</f>
        <v>0</v>
      </c>
      <c r="G21" s="324"/>
      <c r="H21" s="191">
        <f t="shared" si="1"/>
        <v>0</v>
      </c>
      <c r="I21" s="191">
        <f t="shared" ref="I21:I57" si="2">IF(D21=0,0,+(C21)/D21)</f>
        <v>0</v>
      </c>
      <c r="J21" s="173"/>
      <c r="K21" s="191">
        <f>IF(ISERROR(+I21+'App.2-CE_DepExp_Yr4'!K21-J21), 0, +'App.2-CE_DepExp_Yr4'!K21-J21)</f>
        <v>0</v>
      </c>
    </row>
    <row r="22" spans="1:11" x14ac:dyDescent="0.2">
      <c r="A22" s="253">
        <v>1805</v>
      </c>
      <c r="B22" s="179" t="s">
        <v>267</v>
      </c>
      <c r="C22" s="173"/>
      <c r="D22" s="250"/>
      <c r="E22" s="252">
        <f t="shared" si="0"/>
        <v>0</v>
      </c>
      <c r="F22" s="191">
        <f>IF(D22=0,'App.2-CE_DepExp_Yr4'!K22,+'App.2-CE_DepExp_Yr4'!K22+((C22*0.5)/D22))</f>
        <v>0</v>
      </c>
      <c r="G22" s="324"/>
      <c r="H22" s="191">
        <f t="shared" si="1"/>
        <v>0</v>
      </c>
      <c r="I22" s="191">
        <f t="shared" si="2"/>
        <v>0</v>
      </c>
      <c r="J22" s="173"/>
      <c r="K22" s="191">
        <f>IF(ISERROR(+I22+'App.2-CE_DepExp_Yr4'!K22-J22), 0, +'App.2-CE_DepExp_Yr4'!K22-J22)</f>
        <v>0</v>
      </c>
    </row>
    <row r="23" spans="1:11" x14ac:dyDescent="0.2">
      <c r="A23" s="1064">
        <v>1808</v>
      </c>
      <c r="B23" s="180" t="s">
        <v>268</v>
      </c>
      <c r="C23" s="173"/>
      <c r="D23" s="250"/>
      <c r="E23" s="252">
        <f t="shared" si="0"/>
        <v>0</v>
      </c>
      <c r="F23" s="191">
        <f>IF(D23=0,'App.2-CE_DepExp_Yr4'!K23,+'App.2-CE_DepExp_Yr4'!K23+((C23*0.5)/D23))</f>
        <v>0</v>
      </c>
      <c r="G23" s="324"/>
      <c r="H23" s="191">
        <f t="shared" si="1"/>
        <v>0</v>
      </c>
      <c r="I23" s="191">
        <f t="shared" si="2"/>
        <v>0</v>
      </c>
      <c r="J23" s="173"/>
      <c r="K23" s="191">
        <f>IF(ISERROR(+I23+'App.2-CE_DepExp_Yr4'!K23-J23), 0, +'App.2-CE_DepExp_Yr4'!K23-J23)</f>
        <v>0</v>
      </c>
    </row>
    <row r="24" spans="1:11" x14ac:dyDescent="0.2">
      <c r="A24" s="1064">
        <v>1810</v>
      </c>
      <c r="B24" s="180" t="s">
        <v>299</v>
      </c>
      <c r="C24" s="173"/>
      <c r="D24" s="250"/>
      <c r="E24" s="252">
        <f t="shared" si="0"/>
        <v>0</v>
      </c>
      <c r="F24" s="191">
        <f>IF(D24=0,'App.2-CE_DepExp_Yr4'!K24,+'App.2-CE_DepExp_Yr4'!K24+((C24*0.5)/D24))</f>
        <v>0</v>
      </c>
      <c r="G24" s="324"/>
      <c r="H24" s="191">
        <f t="shared" si="1"/>
        <v>0</v>
      </c>
      <c r="I24" s="191">
        <f t="shared" si="2"/>
        <v>0</v>
      </c>
      <c r="J24" s="173"/>
      <c r="K24" s="191">
        <f>IF(ISERROR(+I24+'App.2-CE_DepExp_Yr4'!K24-J24), 0, +'App.2-CE_DepExp_Yr4'!K24-J24)</f>
        <v>0</v>
      </c>
    </row>
    <row r="25" spans="1:11" x14ac:dyDescent="0.2">
      <c r="A25" s="1064">
        <v>1815</v>
      </c>
      <c r="B25" s="180" t="s">
        <v>269</v>
      </c>
      <c r="C25" s="173"/>
      <c r="D25" s="250"/>
      <c r="E25" s="252">
        <f t="shared" si="0"/>
        <v>0</v>
      </c>
      <c r="F25" s="191">
        <f>IF(D25=0,'App.2-CE_DepExp_Yr4'!K25,+'App.2-CE_DepExp_Yr4'!K25+((C25*0.5)/D25))</f>
        <v>0</v>
      </c>
      <c r="G25" s="324"/>
      <c r="H25" s="191">
        <f t="shared" si="1"/>
        <v>0</v>
      </c>
      <c r="I25" s="191">
        <f t="shared" si="2"/>
        <v>0</v>
      </c>
      <c r="J25" s="173"/>
      <c r="K25" s="191">
        <f>IF(ISERROR(+I25+'App.2-CE_DepExp_Yr4'!K25-J25), 0, +'App.2-CE_DepExp_Yr4'!K25-J25)</f>
        <v>0</v>
      </c>
    </row>
    <row r="26" spans="1:11" x14ac:dyDescent="0.2">
      <c r="A26" s="1064">
        <v>1820</v>
      </c>
      <c r="B26" s="172" t="s">
        <v>207</v>
      </c>
      <c r="C26" s="173"/>
      <c r="D26" s="250"/>
      <c r="E26" s="252">
        <f t="shared" si="0"/>
        <v>0</v>
      </c>
      <c r="F26" s="191">
        <f>IF(D26=0,'App.2-CE_DepExp_Yr4'!K26,+'App.2-CE_DepExp_Yr4'!K26+((C26*0.5)/D26))</f>
        <v>0</v>
      </c>
      <c r="G26" s="324"/>
      <c r="H26" s="191">
        <f t="shared" si="1"/>
        <v>0</v>
      </c>
      <c r="I26" s="191">
        <f t="shared" si="2"/>
        <v>0</v>
      </c>
      <c r="J26" s="173"/>
      <c r="K26" s="191">
        <f>IF(ISERROR(+I26+'App.2-CE_DepExp_Yr4'!K26-J26), 0, +'App.2-CE_DepExp_Yr4'!K26-J26)</f>
        <v>0</v>
      </c>
    </row>
    <row r="27" spans="1:11" x14ac:dyDescent="0.2">
      <c r="A27" s="1064">
        <v>1825</v>
      </c>
      <c r="B27" s="180" t="s">
        <v>270</v>
      </c>
      <c r="C27" s="173"/>
      <c r="D27" s="250"/>
      <c r="E27" s="252">
        <f t="shared" si="0"/>
        <v>0</v>
      </c>
      <c r="F27" s="191">
        <f>IF(D27=0,'App.2-CE_DepExp_Yr4'!K27,+'App.2-CE_DepExp_Yr4'!K27+((C27*0.5)/D27))</f>
        <v>0</v>
      </c>
      <c r="G27" s="324"/>
      <c r="H27" s="191">
        <f t="shared" si="1"/>
        <v>0</v>
      </c>
      <c r="I27" s="191">
        <f t="shared" si="2"/>
        <v>0</v>
      </c>
      <c r="J27" s="173"/>
      <c r="K27" s="191">
        <f>IF(ISERROR(+I27+'App.2-CE_DepExp_Yr4'!K27-J27), 0, +'App.2-CE_DepExp_Yr4'!K27-J27)</f>
        <v>0</v>
      </c>
    </row>
    <row r="28" spans="1:11" x14ac:dyDescent="0.2">
      <c r="A28" s="1064">
        <v>1830</v>
      </c>
      <c r="B28" s="180" t="s">
        <v>271</v>
      </c>
      <c r="C28" s="173"/>
      <c r="D28" s="250"/>
      <c r="E28" s="252">
        <f t="shared" si="0"/>
        <v>0</v>
      </c>
      <c r="F28" s="191">
        <f>IF(D28=0,'App.2-CE_DepExp_Yr4'!K28,+'App.2-CE_DepExp_Yr4'!K28+((C28*0.5)/D28))</f>
        <v>0</v>
      </c>
      <c r="G28" s="324"/>
      <c r="H28" s="191">
        <f t="shared" si="1"/>
        <v>0</v>
      </c>
      <c r="I28" s="191">
        <f t="shared" si="2"/>
        <v>0</v>
      </c>
      <c r="J28" s="173"/>
      <c r="K28" s="191">
        <f>IF(ISERROR(+I28+'App.2-CE_DepExp_Yr4'!K28-J28), 0, +'App.2-CE_DepExp_Yr4'!K28-J28)</f>
        <v>0</v>
      </c>
    </row>
    <row r="29" spans="1:11" x14ac:dyDescent="0.2">
      <c r="A29" s="1064">
        <v>1835</v>
      </c>
      <c r="B29" s="180" t="s">
        <v>208</v>
      </c>
      <c r="C29" s="173"/>
      <c r="D29" s="250"/>
      <c r="E29" s="252">
        <f t="shared" si="0"/>
        <v>0</v>
      </c>
      <c r="F29" s="191">
        <f>IF(D29=0,'App.2-CE_DepExp_Yr4'!K29,+'App.2-CE_DepExp_Yr4'!K29+((C29*0.5)/D29))</f>
        <v>0</v>
      </c>
      <c r="G29" s="324"/>
      <c r="H29" s="191">
        <f t="shared" si="1"/>
        <v>0</v>
      </c>
      <c r="I29" s="191">
        <f t="shared" si="2"/>
        <v>0</v>
      </c>
      <c r="J29" s="173"/>
      <c r="K29" s="191">
        <f>IF(ISERROR(+I29+'App.2-CE_DepExp_Yr4'!K29-J29), 0, +'App.2-CE_DepExp_Yr4'!K29-J29)</f>
        <v>0</v>
      </c>
    </row>
    <row r="30" spans="1:11" x14ac:dyDescent="0.2">
      <c r="A30" s="1064">
        <v>1840</v>
      </c>
      <c r="B30" s="180" t="s">
        <v>209</v>
      </c>
      <c r="C30" s="173"/>
      <c r="D30" s="250"/>
      <c r="E30" s="252">
        <f t="shared" si="0"/>
        <v>0</v>
      </c>
      <c r="F30" s="191">
        <f>IF(D30=0,'App.2-CE_DepExp_Yr4'!K30,+'App.2-CE_DepExp_Yr4'!K30+((C30*0.5)/D30))</f>
        <v>0</v>
      </c>
      <c r="G30" s="324"/>
      <c r="H30" s="191">
        <f t="shared" si="1"/>
        <v>0</v>
      </c>
      <c r="I30" s="191">
        <f t="shared" si="2"/>
        <v>0</v>
      </c>
      <c r="J30" s="173"/>
      <c r="K30" s="191">
        <f>IF(ISERROR(+I30+'App.2-CE_DepExp_Yr4'!K30-J30), 0, +'App.2-CE_DepExp_Yr4'!K30-J30)</f>
        <v>0</v>
      </c>
    </row>
    <row r="31" spans="1:11" x14ac:dyDescent="0.2">
      <c r="A31" s="1064">
        <v>1845</v>
      </c>
      <c r="B31" s="180" t="s">
        <v>210</v>
      </c>
      <c r="C31" s="173"/>
      <c r="D31" s="250"/>
      <c r="E31" s="252">
        <f t="shared" si="0"/>
        <v>0</v>
      </c>
      <c r="F31" s="191">
        <f>IF(D31=0,'App.2-CE_DepExp_Yr4'!K31,+'App.2-CE_DepExp_Yr4'!K31+((C31*0.5)/D31))</f>
        <v>0</v>
      </c>
      <c r="G31" s="324"/>
      <c r="H31" s="191">
        <f t="shared" si="1"/>
        <v>0</v>
      </c>
      <c r="I31" s="191">
        <f t="shared" si="2"/>
        <v>0</v>
      </c>
      <c r="J31" s="173"/>
      <c r="K31" s="191">
        <f>IF(ISERROR(+I31+'App.2-CE_DepExp_Yr4'!K31-J31), 0, +'App.2-CE_DepExp_Yr4'!K31-J31)</f>
        <v>0</v>
      </c>
    </row>
    <row r="32" spans="1:11" x14ac:dyDescent="0.2">
      <c r="A32" s="1064">
        <v>1850</v>
      </c>
      <c r="B32" s="180" t="s">
        <v>272</v>
      </c>
      <c r="C32" s="173"/>
      <c r="D32" s="250"/>
      <c r="E32" s="252">
        <f t="shared" si="0"/>
        <v>0</v>
      </c>
      <c r="F32" s="191">
        <f>IF(D32=0,'App.2-CE_DepExp_Yr4'!K32,+'App.2-CE_DepExp_Yr4'!K32+((C32*0.5)/D32))</f>
        <v>0</v>
      </c>
      <c r="G32" s="324"/>
      <c r="H32" s="191">
        <f t="shared" si="1"/>
        <v>0</v>
      </c>
      <c r="I32" s="191">
        <f t="shared" si="2"/>
        <v>0</v>
      </c>
      <c r="J32" s="173"/>
      <c r="K32" s="191">
        <f>IF(ISERROR(+I32+'App.2-CE_DepExp_Yr4'!K32-J32), 0, +'App.2-CE_DepExp_Yr4'!K32-J32)</f>
        <v>0</v>
      </c>
    </row>
    <row r="33" spans="1:11" x14ac:dyDescent="0.2">
      <c r="A33" s="1064">
        <v>1855</v>
      </c>
      <c r="B33" s="180" t="s">
        <v>211</v>
      </c>
      <c r="C33" s="173"/>
      <c r="D33" s="250"/>
      <c r="E33" s="252">
        <f t="shared" si="0"/>
        <v>0</v>
      </c>
      <c r="F33" s="191">
        <f>IF(D33=0,'App.2-CE_DepExp_Yr4'!K33,+'App.2-CE_DepExp_Yr4'!K33+((C33*0.5)/D33))</f>
        <v>0</v>
      </c>
      <c r="G33" s="324"/>
      <c r="H33" s="191">
        <f t="shared" si="1"/>
        <v>0</v>
      </c>
      <c r="I33" s="191">
        <f t="shared" si="2"/>
        <v>0</v>
      </c>
      <c r="J33" s="173"/>
      <c r="K33" s="191">
        <f>IF(ISERROR(+I33+'App.2-CE_DepExp_Yr4'!K33-J33), 0, +'App.2-CE_DepExp_Yr4'!K33-J33)</f>
        <v>0</v>
      </c>
    </row>
    <row r="34" spans="1:11" x14ac:dyDescent="0.2">
      <c r="A34" s="1064">
        <v>1860</v>
      </c>
      <c r="B34" s="180" t="s">
        <v>273</v>
      </c>
      <c r="C34" s="173"/>
      <c r="D34" s="250"/>
      <c r="E34" s="252">
        <f t="shared" si="0"/>
        <v>0</v>
      </c>
      <c r="F34" s="191">
        <f>IF(D34=0,'App.2-CE_DepExp_Yr4'!K34,+'App.2-CE_DepExp_Yr4'!K34+((C34*0.5)/D34))</f>
        <v>0</v>
      </c>
      <c r="G34" s="324"/>
      <c r="H34" s="191">
        <f t="shared" si="1"/>
        <v>0</v>
      </c>
      <c r="I34" s="191">
        <f t="shared" si="2"/>
        <v>0</v>
      </c>
      <c r="J34" s="173"/>
      <c r="K34" s="191">
        <f>IF(ISERROR(+I34+'App.2-CE_DepExp_Yr4'!K34-J34), 0, +'App.2-CE_DepExp_Yr4'!K34-J34)</f>
        <v>0</v>
      </c>
    </row>
    <row r="35" spans="1:11" x14ac:dyDescent="0.2">
      <c r="A35" s="253">
        <v>1860</v>
      </c>
      <c r="B35" s="179" t="s">
        <v>212</v>
      </c>
      <c r="C35" s="173"/>
      <c r="D35" s="250"/>
      <c r="E35" s="252">
        <f t="shared" si="0"/>
        <v>0</v>
      </c>
      <c r="F35" s="191">
        <f>IF(D35=0,'App.2-CE_DepExp_Yr4'!K35,+'App.2-CE_DepExp_Yr4'!K35+((C35*0.5)/D35))</f>
        <v>0</v>
      </c>
      <c r="G35" s="324"/>
      <c r="H35" s="191">
        <f t="shared" si="1"/>
        <v>0</v>
      </c>
      <c r="I35" s="191">
        <f t="shared" si="2"/>
        <v>0</v>
      </c>
      <c r="J35" s="173"/>
      <c r="K35" s="191">
        <f>IF(ISERROR(+I35+'App.2-CE_DepExp_Yr4'!K35-J35), 0, +'App.2-CE_DepExp_Yr4'!K35-J35)</f>
        <v>0</v>
      </c>
    </row>
    <row r="36" spans="1:11" x14ac:dyDescent="0.2">
      <c r="A36" s="253">
        <v>1905</v>
      </c>
      <c r="B36" s="179" t="s">
        <v>267</v>
      </c>
      <c r="C36" s="173"/>
      <c r="D36" s="250"/>
      <c r="E36" s="252">
        <f t="shared" si="0"/>
        <v>0</v>
      </c>
      <c r="F36" s="191">
        <f>IF(D36=0,'App.2-CE_DepExp_Yr4'!K36,+'App.2-CE_DepExp_Yr4'!K36+((C36*0.5)/D36))</f>
        <v>0</v>
      </c>
      <c r="G36" s="324"/>
      <c r="H36" s="191">
        <f t="shared" si="1"/>
        <v>0</v>
      </c>
      <c r="I36" s="191">
        <f t="shared" si="2"/>
        <v>0</v>
      </c>
      <c r="J36" s="173"/>
      <c r="K36" s="191">
        <f>IF(ISERROR(+I36+'App.2-CE_DepExp_Yr4'!K36-J36), 0, +'App.2-CE_DepExp_Yr4'!K36-J36)</f>
        <v>0</v>
      </c>
    </row>
    <row r="37" spans="1:11" x14ac:dyDescent="0.2">
      <c r="A37" s="1064">
        <v>1908</v>
      </c>
      <c r="B37" s="180" t="s">
        <v>275</v>
      </c>
      <c r="C37" s="173"/>
      <c r="D37" s="250"/>
      <c r="E37" s="252">
        <f t="shared" si="0"/>
        <v>0</v>
      </c>
      <c r="F37" s="191">
        <f>IF(D37=0,'App.2-CE_DepExp_Yr4'!K37,+'App.2-CE_DepExp_Yr4'!K37+((C37*0.5)/D37))</f>
        <v>0</v>
      </c>
      <c r="G37" s="324"/>
      <c r="H37" s="191">
        <f t="shared" si="1"/>
        <v>0</v>
      </c>
      <c r="I37" s="191">
        <f t="shared" si="2"/>
        <v>0</v>
      </c>
      <c r="J37" s="173"/>
      <c r="K37" s="191">
        <f>IF(ISERROR(+I37+'App.2-CE_DepExp_Yr4'!K37-J37), 0, +'App.2-CE_DepExp_Yr4'!K37-J37)</f>
        <v>0</v>
      </c>
    </row>
    <row r="38" spans="1:11" x14ac:dyDescent="0.2">
      <c r="A38" s="1064">
        <v>1910</v>
      </c>
      <c r="B38" s="180" t="s">
        <v>299</v>
      </c>
      <c r="C38" s="173"/>
      <c r="D38" s="250"/>
      <c r="E38" s="252">
        <f t="shared" si="0"/>
        <v>0</v>
      </c>
      <c r="F38" s="191">
        <f>IF(D38=0,'App.2-CE_DepExp_Yr4'!K38,+'App.2-CE_DepExp_Yr4'!K38+((C38*0.5)/D38))</f>
        <v>0</v>
      </c>
      <c r="G38" s="324"/>
      <c r="H38" s="191">
        <f t="shared" si="1"/>
        <v>0</v>
      </c>
      <c r="I38" s="191">
        <f t="shared" si="2"/>
        <v>0</v>
      </c>
      <c r="J38" s="173"/>
      <c r="K38" s="191">
        <f>IF(ISERROR(+I38+'App.2-CE_DepExp_Yr4'!K38-J38), 0, +'App.2-CE_DepExp_Yr4'!K38-J38)</f>
        <v>0</v>
      </c>
    </row>
    <row r="39" spans="1:11" x14ac:dyDescent="0.2">
      <c r="A39" s="1064">
        <v>1915</v>
      </c>
      <c r="B39" s="180" t="s">
        <v>213</v>
      </c>
      <c r="C39" s="173"/>
      <c r="D39" s="250"/>
      <c r="E39" s="252">
        <f t="shared" si="0"/>
        <v>0</v>
      </c>
      <c r="F39" s="191">
        <f>IF(D39=0,'App.2-CE_DepExp_Yr4'!K39,+'App.2-CE_DepExp_Yr4'!K39+((C39*0.5)/D39))</f>
        <v>0</v>
      </c>
      <c r="G39" s="324"/>
      <c r="H39" s="191">
        <f t="shared" si="1"/>
        <v>0</v>
      </c>
      <c r="I39" s="191">
        <f t="shared" si="2"/>
        <v>0</v>
      </c>
      <c r="J39" s="173"/>
      <c r="K39" s="191">
        <f>IF(ISERROR(+I39+'App.2-CE_DepExp_Yr4'!K39-J39), 0, +'App.2-CE_DepExp_Yr4'!K39-J39)</f>
        <v>0</v>
      </c>
    </row>
    <row r="40" spans="1:11" x14ac:dyDescent="0.2">
      <c r="A40" s="1064">
        <v>1915</v>
      </c>
      <c r="B40" s="180" t="s">
        <v>214</v>
      </c>
      <c r="C40" s="173"/>
      <c r="D40" s="250"/>
      <c r="E40" s="252">
        <f t="shared" si="0"/>
        <v>0</v>
      </c>
      <c r="F40" s="191">
        <f>IF(D40=0,'App.2-CE_DepExp_Yr4'!K40,+'App.2-CE_DepExp_Yr4'!K40+((C40*0.5)/D40))</f>
        <v>0</v>
      </c>
      <c r="G40" s="324"/>
      <c r="H40" s="191">
        <f t="shared" si="1"/>
        <v>0</v>
      </c>
      <c r="I40" s="191">
        <f t="shared" si="2"/>
        <v>0</v>
      </c>
      <c r="J40" s="173"/>
      <c r="K40" s="191">
        <f>IF(ISERROR(+I40+'App.2-CE_DepExp_Yr4'!K40-J40), 0, +'App.2-CE_DepExp_Yr4'!K40-J40)</f>
        <v>0</v>
      </c>
    </row>
    <row r="41" spans="1:11" x14ac:dyDescent="0.2">
      <c r="A41" s="1064">
        <v>1920</v>
      </c>
      <c r="B41" s="180" t="s">
        <v>215</v>
      </c>
      <c r="C41" s="173"/>
      <c r="D41" s="250"/>
      <c r="E41" s="252">
        <f t="shared" si="0"/>
        <v>0</v>
      </c>
      <c r="F41" s="191">
        <f>IF(D41=0,'App.2-CE_DepExp_Yr4'!K41,+'App.2-CE_DepExp_Yr4'!K41+((C41*0.5)/D41))</f>
        <v>0</v>
      </c>
      <c r="G41" s="324"/>
      <c r="H41" s="191">
        <f t="shared" si="1"/>
        <v>0</v>
      </c>
      <c r="I41" s="191">
        <f t="shared" si="2"/>
        <v>0</v>
      </c>
      <c r="J41" s="173"/>
      <c r="K41" s="191">
        <f>IF(ISERROR(+I41+'App.2-CE_DepExp_Yr4'!K41-J41), 0, +'App.2-CE_DepExp_Yr4'!K41-J41)</f>
        <v>0</v>
      </c>
    </row>
    <row r="42" spans="1:11" x14ac:dyDescent="0.2">
      <c r="A42" s="254">
        <v>1920</v>
      </c>
      <c r="B42" s="172" t="s">
        <v>217</v>
      </c>
      <c r="C42" s="173"/>
      <c r="D42" s="250"/>
      <c r="E42" s="252">
        <f t="shared" si="0"/>
        <v>0</v>
      </c>
      <c r="F42" s="191">
        <f>IF(D42=0,'App.2-CE_DepExp_Yr4'!K42,+'App.2-CE_DepExp_Yr4'!K42+((C42*0.5)/D42))</f>
        <v>0</v>
      </c>
      <c r="G42" s="324"/>
      <c r="H42" s="191">
        <f t="shared" si="1"/>
        <v>0</v>
      </c>
      <c r="I42" s="191">
        <f t="shared" si="2"/>
        <v>0</v>
      </c>
      <c r="J42" s="173"/>
      <c r="K42" s="191">
        <f>IF(ISERROR(+I42+'App.2-CE_DepExp_Yr4'!K42-J42), 0, +'App.2-CE_DepExp_Yr4'!K42-J42)</f>
        <v>0</v>
      </c>
    </row>
    <row r="43" spans="1:11" x14ac:dyDescent="0.2">
      <c r="A43" s="254">
        <v>1920</v>
      </c>
      <c r="B43" s="172" t="s">
        <v>216</v>
      </c>
      <c r="C43" s="173"/>
      <c r="D43" s="250"/>
      <c r="E43" s="252">
        <f t="shared" si="0"/>
        <v>0</v>
      </c>
      <c r="F43" s="191">
        <f>IF(D43=0,'App.2-CE_DepExp_Yr4'!K43,+'App.2-CE_DepExp_Yr4'!K43+((C43*0.5)/D43))</f>
        <v>0</v>
      </c>
      <c r="G43" s="324"/>
      <c r="H43" s="191">
        <f t="shared" si="1"/>
        <v>0</v>
      </c>
      <c r="I43" s="191">
        <f t="shared" si="2"/>
        <v>0</v>
      </c>
      <c r="J43" s="173"/>
      <c r="K43" s="191">
        <f>IF(ISERROR(+I43+'App.2-CE_DepExp_Yr4'!K43-J43), 0, +'App.2-CE_DepExp_Yr4'!K43-J43)</f>
        <v>0</v>
      </c>
    </row>
    <row r="44" spans="1:11" x14ac:dyDescent="0.2">
      <c r="A44" s="1064">
        <v>1930</v>
      </c>
      <c r="B44" s="180" t="s">
        <v>286</v>
      </c>
      <c r="C44" s="173"/>
      <c r="D44" s="250"/>
      <c r="E44" s="252">
        <f t="shared" si="0"/>
        <v>0</v>
      </c>
      <c r="F44" s="191">
        <f>IF(D44=0,'App.2-CE_DepExp_Yr4'!K44,+'App.2-CE_DepExp_Yr4'!K44+((C44*0.5)/D44))</f>
        <v>0</v>
      </c>
      <c r="G44" s="324"/>
      <c r="H44" s="191">
        <f t="shared" si="1"/>
        <v>0</v>
      </c>
      <c r="I44" s="191">
        <f t="shared" si="2"/>
        <v>0</v>
      </c>
      <c r="J44" s="173"/>
      <c r="K44" s="191">
        <f>IF(ISERROR(+I44+'App.2-CE_DepExp_Yr4'!K44-J44), 0, +'App.2-CE_DepExp_Yr4'!K44-J44)</f>
        <v>0</v>
      </c>
    </row>
    <row r="45" spans="1:11" x14ac:dyDescent="0.2">
      <c r="A45" s="1064">
        <v>1935</v>
      </c>
      <c r="B45" s="180" t="s">
        <v>287</v>
      </c>
      <c r="C45" s="173"/>
      <c r="D45" s="250"/>
      <c r="E45" s="252">
        <f t="shared" si="0"/>
        <v>0</v>
      </c>
      <c r="F45" s="191">
        <f>IF(D45=0,'App.2-CE_DepExp_Yr4'!K45,+'App.2-CE_DepExp_Yr4'!K45+((C45*0.5)/D45))</f>
        <v>0</v>
      </c>
      <c r="G45" s="324"/>
      <c r="H45" s="191">
        <f t="shared" si="1"/>
        <v>0</v>
      </c>
      <c r="I45" s="191">
        <f t="shared" si="2"/>
        <v>0</v>
      </c>
      <c r="J45" s="173"/>
      <c r="K45" s="191">
        <f>IF(ISERROR(+I45+'App.2-CE_DepExp_Yr4'!K45-J45), 0, +'App.2-CE_DepExp_Yr4'!K45-J45)</f>
        <v>0</v>
      </c>
    </row>
    <row r="46" spans="1:11" x14ac:dyDescent="0.2">
      <c r="A46" s="1064">
        <v>1940</v>
      </c>
      <c r="B46" s="180" t="s">
        <v>288</v>
      </c>
      <c r="C46" s="173"/>
      <c r="D46" s="250"/>
      <c r="E46" s="252">
        <f t="shared" si="0"/>
        <v>0</v>
      </c>
      <c r="F46" s="191">
        <f>IF(D46=0,'App.2-CE_DepExp_Yr4'!K46,+'App.2-CE_DepExp_Yr4'!K46+((C46*0.5)/D46))</f>
        <v>0</v>
      </c>
      <c r="G46" s="324"/>
      <c r="H46" s="191">
        <f t="shared" si="1"/>
        <v>0</v>
      </c>
      <c r="I46" s="191">
        <f t="shared" si="2"/>
        <v>0</v>
      </c>
      <c r="J46" s="173"/>
      <c r="K46" s="191">
        <f>IF(ISERROR(+I46+'App.2-CE_DepExp_Yr4'!K46-J46), 0, +'App.2-CE_DepExp_Yr4'!K46-J46)</f>
        <v>0</v>
      </c>
    </row>
    <row r="47" spans="1:11" x14ac:dyDescent="0.2">
      <c r="A47" s="1064">
        <v>1945</v>
      </c>
      <c r="B47" s="180" t="s">
        <v>289</v>
      </c>
      <c r="C47" s="173"/>
      <c r="D47" s="250"/>
      <c r="E47" s="252">
        <f t="shared" si="0"/>
        <v>0</v>
      </c>
      <c r="F47" s="191">
        <f>IF(D47=0,'App.2-CE_DepExp_Yr4'!K47,+'App.2-CE_DepExp_Yr4'!K47+((C47*0.5)/D47))</f>
        <v>0</v>
      </c>
      <c r="G47" s="324"/>
      <c r="H47" s="191">
        <f t="shared" si="1"/>
        <v>0</v>
      </c>
      <c r="I47" s="191">
        <f t="shared" si="2"/>
        <v>0</v>
      </c>
      <c r="J47" s="173"/>
      <c r="K47" s="191">
        <f>IF(ISERROR(+I47+'App.2-CE_DepExp_Yr4'!K47-J47), 0, +'App.2-CE_DepExp_Yr4'!K47-J47)</f>
        <v>0</v>
      </c>
    </row>
    <row r="48" spans="1:11" x14ac:dyDescent="0.2">
      <c r="A48" s="1064">
        <v>1950</v>
      </c>
      <c r="B48" s="180" t="s">
        <v>218</v>
      </c>
      <c r="C48" s="173"/>
      <c r="D48" s="250"/>
      <c r="E48" s="252">
        <f t="shared" si="0"/>
        <v>0</v>
      </c>
      <c r="F48" s="191">
        <f>IF(D48=0,'App.2-CE_DepExp_Yr4'!K48,+'App.2-CE_DepExp_Yr4'!K48+((C48*0.5)/D48))</f>
        <v>0</v>
      </c>
      <c r="G48" s="324"/>
      <c r="H48" s="191">
        <f t="shared" si="1"/>
        <v>0</v>
      </c>
      <c r="I48" s="191">
        <f t="shared" si="2"/>
        <v>0</v>
      </c>
      <c r="J48" s="173"/>
      <c r="K48" s="191">
        <f>IF(ISERROR(+I48+'App.2-CE_DepExp_Yr4'!K48-J48), 0, +'App.2-CE_DepExp_Yr4'!K48-J48)</f>
        <v>0</v>
      </c>
    </row>
    <row r="49" spans="1:11" x14ac:dyDescent="0.2">
      <c r="A49" s="1064">
        <v>1955</v>
      </c>
      <c r="B49" s="180" t="s">
        <v>290</v>
      </c>
      <c r="C49" s="173"/>
      <c r="D49" s="250"/>
      <c r="E49" s="252">
        <f t="shared" si="0"/>
        <v>0</v>
      </c>
      <c r="F49" s="191">
        <f>IF(D49=0,'App.2-CE_DepExp_Yr4'!K49,+'App.2-CE_DepExp_Yr4'!K49+((C49*0.5)/D49))</f>
        <v>0</v>
      </c>
      <c r="G49" s="324"/>
      <c r="H49" s="191">
        <f t="shared" si="1"/>
        <v>0</v>
      </c>
      <c r="I49" s="191">
        <f t="shared" si="2"/>
        <v>0</v>
      </c>
      <c r="J49" s="173"/>
      <c r="K49" s="191">
        <f>IF(ISERROR(+I49+'App.2-CE_DepExp_Yr4'!K49-J49), 0, +'App.2-CE_DepExp_Yr4'!K49-J49)</f>
        <v>0</v>
      </c>
    </row>
    <row r="50" spans="1:11" x14ac:dyDescent="0.2">
      <c r="A50" s="255">
        <v>1955</v>
      </c>
      <c r="B50" s="184" t="s">
        <v>219</v>
      </c>
      <c r="C50" s="173"/>
      <c r="D50" s="250"/>
      <c r="E50" s="252">
        <f t="shared" si="0"/>
        <v>0</v>
      </c>
      <c r="F50" s="191">
        <f>IF(D50=0,'App.2-CE_DepExp_Yr4'!K50,+'App.2-CE_DepExp_Yr4'!K50+((C50*0.5)/D50))</f>
        <v>0</v>
      </c>
      <c r="G50" s="324"/>
      <c r="H50" s="191">
        <f t="shared" si="1"/>
        <v>0</v>
      </c>
      <c r="I50" s="191">
        <f t="shared" si="2"/>
        <v>0</v>
      </c>
      <c r="J50" s="173"/>
      <c r="K50" s="191">
        <f>IF(ISERROR(+I50+'App.2-CE_DepExp_Yr4'!K50-J50), 0, +'App.2-CE_DepExp_Yr4'!K50-J50)</f>
        <v>0</v>
      </c>
    </row>
    <row r="51" spans="1:11" x14ac:dyDescent="0.2">
      <c r="A51" s="254">
        <v>1960</v>
      </c>
      <c r="B51" s="172" t="s">
        <v>220</v>
      </c>
      <c r="C51" s="173"/>
      <c r="D51" s="250"/>
      <c r="E51" s="252">
        <f t="shared" si="0"/>
        <v>0</v>
      </c>
      <c r="F51" s="191">
        <f>IF(D51=0,'App.2-CE_DepExp_Yr4'!K51,+'App.2-CE_DepExp_Yr4'!K51+((C51*0.5)/D51))</f>
        <v>0</v>
      </c>
      <c r="G51" s="324"/>
      <c r="H51" s="191">
        <f t="shared" si="1"/>
        <v>0</v>
      </c>
      <c r="I51" s="191">
        <f t="shared" si="2"/>
        <v>0</v>
      </c>
      <c r="J51" s="173"/>
      <c r="K51" s="191">
        <f>IF(ISERROR(+I51+'App.2-CE_DepExp_Yr4'!K51-J51), 0, +'App.2-CE_DepExp_Yr4'!K51-J51)</f>
        <v>0</v>
      </c>
    </row>
    <row r="52" spans="1:11" x14ac:dyDescent="0.2">
      <c r="A52" s="255">
        <v>1970</v>
      </c>
      <c r="B52" s="256" t="s">
        <v>501</v>
      </c>
      <c r="C52" s="173"/>
      <c r="D52" s="250"/>
      <c r="E52" s="252">
        <f t="shared" si="0"/>
        <v>0</v>
      </c>
      <c r="F52" s="191">
        <f>IF(D52=0,'App.2-CE_DepExp_Yr4'!K52,+'App.2-CE_DepExp_Yr4'!K52+((C52*0.5)/D52))</f>
        <v>0</v>
      </c>
      <c r="G52" s="324"/>
      <c r="H52" s="191">
        <f t="shared" si="1"/>
        <v>0</v>
      </c>
      <c r="I52" s="191">
        <f t="shared" si="2"/>
        <v>0</v>
      </c>
      <c r="J52" s="173"/>
      <c r="K52" s="191">
        <f>IF(ISERROR(+I52+'App.2-CE_DepExp_Yr4'!K52-J52), 0, +'App.2-CE_DepExp_Yr4'!K52-J52)</f>
        <v>0</v>
      </c>
    </row>
    <row r="53" spans="1:11" x14ac:dyDescent="0.2">
      <c r="A53" s="1064">
        <v>1975</v>
      </c>
      <c r="B53" s="180" t="s">
        <v>291</v>
      </c>
      <c r="C53" s="173"/>
      <c r="D53" s="250"/>
      <c r="E53" s="252">
        <f t="shared" si="0"/>
        <v>0</v>
      </c>
      <c r="F53" s="191">
        <f>IF(D53=0,'App.2-CE_DepExp_Yr4'!K53,+'App.2-CE_DepExp_Yr4'!K53+((C53*0.5)/D53))</f>
        <v>0</v>
      </c>
      <c r="G53" s="324"/>
      <c r="H53" s="191">
        <f t="shared" si="1"/>
        <v>0</v>
      </c>
      <c r="I53" s="191">
        <f t="shared" si="2"/>
        <v>0</v>
      </c>
      <c r="J53" s="173"/>
      <c r="K53" s="191">
        <f>IF(ISERROR(+I53+'App.2-CE_DepExp_Yr4'!K53-J53), 0, +'App.2-CE_DepExp_Yr4'!K53-J53)</f>
        <v>0</v>
      </c>
    </row>
    <row r="54" spans="1:11" x14ac:dyDescent="0.2">
      <c r="A54" s="1064">
        <v>1980</v>
      </c>
      <c r="B54" s="180" t="s">
        <v>292</v>
      </c>
      <c r="C54" s="173"/>
      <c r="D54" s="250"/>
      <c r="E54" s="252">
        <f t="shared" si="0"/>
        <v>0</v>
      </c>
      <c r="F54" s="191">
        <f>IF(D54=0,'App.2-CE_DepExp_Yr4'!K54,+'App.2-CE_DepExp_Yr4'!K54+((C54*0.5)/D54))</f>
        <v>0</v>
      </c>
      <c r="G54" s="324"/>
      <c r="H54" s="191">
        <f t="shared" si="1"/>
        <v>0</v>
      </c>
      <c r="I54" s="191">
        <f t="shared" si="2"/>
        <v>0</v>
      </c>
      <c r="J54" s="173"/>
      <c r="K54" s="191">
        <f>IF(ISERROR(+I54+'App.2-CE_DepExp_Yr4'!K54-J54), 0, +'App.2-CE_DepExp_Yr4'!K54-J54)</f>
        <v>0</v>
      </c>
    </row>
    <row r="55" spans="1:11" x14ac:dyDescent="0.2">
      <c r="A55" s="1064">
        <v>1985</v>
      </c>
      <c r="B55" s="180" t="s">
        <v>293</v>
      </c>
      <c r="C55" s="173"/>
      <c r="D55" s="250"/>
      <c r="E55" s="252">
        <f t="shared" si="0"/>
        <v>0</v>
      </c>
      <c r="F55" s="191">
        <f>IF(D55=0,'App.2-CE_DepExp_Yr4'!K55,+'App.2-CE_DepExp_Yr4'!K55+((C55*0.5)/D55))</f>
        <v>0</v>
      </c>
      <c r="G55" s="324"/>
      <c r="H55" s="191">
        <f t="shared" si="1"/>
        <v>0</v>
      </c>
      <c r="I55" s="191">
        <f t="shared" si="2"/>
        <v>0</v>
      </c>
      <c r="J55" s="173"/>
      <c r="K55" s="191">
        <f>IF(ISERROR(+I55+'App.2-CE_DepExp_Yr4'!K55-J55), 0, +'App.2-CE_DepExp_Yr4'!K55-J55)</f>
        <v>0</v>
      </c>
    </row>
    <row r="56" spans="1:11" x14ac:dyDescent="0.2">
      <c r="A56" s="1064">
        <v>1990</v>
      </c>
      <c r="B56" s="1061" t="s">
        <v>502</v>
      </c>
      <c r="C56" s="173"/>
      <c r="D56" s="250"/>
      <c r="E56" s="252">
        <f t="shared" si="0"/>
        <v>0</v>
      </c>
      <c r="F56" s="191">
        <f>IF(D56=0,'App.2-CE_DepExp_Yr4'!K56,+'App.2-CE_DepExp_Yr4'!K56+((C56*0.5)/D56))</f>
        <v>0</v>
      </c>
      <c r="G56" s="324"/>
      <c r="H56" s="191">
        <f t="shared" si="1"/>
        <v>0</v>
      </c>
      <c r="I56" s="191">
        <f t="shared" si="2"/>
        <v>0</v>
      </c>
      <c r="J56" s="173"/>
      <c r="K56" s="191">
        <f>IF(ISERROR(+I56+'App.2-CE_DepExp_Yr4'!K56-J56), 0, +'App.2-CE_DepExp_Yr4'!K56-J56)</f>
        <v>0</v>
      </c>
    </row>
    <row r="57" spans="1:11" ht="13.5" thickBot="1" x14ac:dyDescent="0.25">
      <c r="A57" s="1058">
        <v>1995</v>
      </c>
      <c r="B57" s="180" t="s">
        <v>294</v>
      </c>
      <c r="C57" s="173"/>
      <c r="D57" s="250"/>
      <c r="E57" s="252">
        <f t="shared" si="0"/>
        <v>0</v>
      </c>
      <c r="F57" s="285">
        <f>IF(D57=0,'App.2-CE_DepExp_Yr4'!K57,+'App.2-CE_DepExp_Yr4'!K57+((C57*0.5)/D57))</f>
        <v>0</v>
      </c>
      <c r="G57" s="325"/>
      <c r="H57" s="285">
        <f t="shared" si="1"/>
        <v>0</v>
      </c>
      <c r="I57" s="285">
        <f t="shared" si="2"/>
        <v>0</v>
      </c>
      <c r="J57" s="257"/>
      <c r="K57" s="191">
        <f>IF(ISERROR(+I57+'App.2-CE_DepExp_Yr4'!K57-J57), 0, +'App.2-CE_DepExp_Yr4'!K57-J57)</f>
        <v>0</v>
      </c>
    </row>
    <row r="58" spans="1:11" ht="14.25" thickTop="1" thickBot="1" x14ac:dyDescent="0.25">
      <c r="A58" s="261"/>
      <c r="B58" s="301" t="s">
        <v>295</v>
      </c>
      <c r="C58" s="302">
        <f>SUM(C20:C57)</f>
        <v>0</v>
      </c>
      <c r="D58" s="287"/>
      <c r="E58" s="326"/>
      <c r="F58" s="310">
        <f t="shared" ref="F58:K58" si="3">SUM(F20:F57)</f>
        <v>0</v>
      </c>
      <c r="G58" s="310">
        <f t="shared" si="3"/>
        <v>0</v>
      </c>
      <c r="H58" s="310">
        <f t="shared" si="3"/>
        <v>0</v>
      </c>
      <c r="I58" s="310">
        <f t="shared" si="3"/>
        <v>0</v>
      </c>
      <c r="J58" s="310">
        <f t="shared" si="3"/>
        <v>0</v>
      </c>
      <c r="K58" s="310">
        <f t="shared" si="3"/>
        <v>0</v>
      </c>
    </row>
    <row r="59" spans="1:11" x14ac:dyDescent="0.2">
      <c r="A59" s="289"/>
      <c r="B59" s="311" t="s">
        <v>506</v>
      </c>
      <c r="C59" s="312"/>
      <c r="D59" s="312"/>
      <c r="E59" s="312"/>
      <c r="F59" s="173"/>
      <c r="G59" s="312"/>
      <c r="H59" s="312"/>
    </row>
    <row r="60" spans="1:11" ht="27" customHeight="1" x14ac:dyDescent="0.2">
      <c r="B60" s="1684" t="s">
        <v>1079</v>
      </c>
      <c r="C60" s="1684"/>
      <c r="D60" s="1684"/>
      <c r="E60" s="1709"/>
      <c r="F60" s="191">
        <f>SUM(F58:F59)</f>
        <v>0</v>
      </c>
    </row>
    <row r="61" spans="1:11" x14ac:dyDescent="0.2">
      <c r="A61" s="152" t="s">
        <v>11</v>
      </c>
      <c r="B61" s="56"/>
      <c r="C61" s="56"/>
      <c r="D61" s="56"/>
      <c r="E61" s="56"/>
      <c r="F61" s="56"/>
      <c r="G61" s="56"/>
      <c r="H61" s="56"/>
    </row>
    <row r="62" spans="1:11" ht="27" customHeight="1" x14ac:dyDescent="0.2">
      <c r="A62" s="305">
        <v>1</v>
      </c>
      <c r="B62" s="1590" t="s">
        <v>424</v>
      </c>
      <c r="C62" s="1590"/>
      <c r="D62" s="1590"/>
      <c r="E62" s="1590"/>
      <c r="F62" s="1590"/>
      <c r="G62" s="1590"/>
      <c r="H62" s="1590"/>
      <c r="I62" s="1066"/>
    </row>
    <row r="63" spans="1:11" ht="12.75" customHeight="1" x14ac:dyDescent="0.2">
      <c r="A63" s="294">
        <v>2</v>
      </c>
      <c r="B63" s="1590" t="s">
        <v>865</v>
      </c>
      <c r="C63" s="1590"/>
      <c r="D63" s="1590"/>
      <c r="E63" s="1590"/>
      <c r="F63" s="1590"/>
      <c r="G63" s="1590"/>
      <c r="H63" s="1590"/>
      <c r="I63" s="1590"/>
    </row>
    <row r="64" spans="1:11" ht="25.5" customHeight="1" x14ac:dyDescent="0.2">
      <c r="A64" s="270">
        <v>3</v>
      </c>
      <c r="B64" s="1590" t="s">
        <v>481</v>
      </c>
      <c r="C64" s="1590"/>
      <c r="D64" s="1590"/>
      <c r="E64" s="1590"/>
      <c r="F64" s="1590"/>
      <c r="G64" s="1590"/>
      <c r="H64" s="1590"/>
      <c r="I64" s="1590"/>
      <c r="J64" s="1590"/>
      <c r="K64" s="1590"/>
    </row>
    <row r="65" spans="1:11" ht="11.25" customHeight="1" x14ac:dyDescent="0.2">
      <c r="A65" s="294"/>
      <c r="B65" s="1590"/>
      <c r="C65" s="1590"/>
      <c r="D65" s="1590"/>
      <c r="E65" s="1590"/>
      <c r="F65" s="1590"/>
      <c r="G65" s="1590"/>
      <c r="H65" s="1590"/>
      <c r="I65" s="1590"/>
    </row>
    <row r="66" spans="1:11" ht="12.75" customHeight="1" x14ac:dyDescent="0.2">
      <c r="A66" s="152" t="s">
        <v>226</v>
      </c>
      <c r="B66" s="1684" t="s">
        <v>190</v>
      </c>
      <c r="C66" s="1684"/>
      <c r="D66" s="1684"/>
      <c r="E66" s="1684"/>
      <c r="F66" s="1684"/>
      <c r="G66" s="1684"/>
      <c r="H66" s="1684"/>
      <c r="I66" s="271"/>
    </row>
    <row r="67" spans="1:11" ht="27" customHeight="1" x14ac:dyDescent="0.2">
      <c r="A67" s="56"/>
      <c r="B67" s="1684"/>
      <c r="C67" s="1684"/>
      <c r="D67" s="1684"/>
      <c r="E67" s="1684"/>
      <c r="F67" s="1684"/>
      <c r="G67" s="1684"/>
      <c r="H67" s="1684"/>
      <c r="I67" s="271"/>
    </row>
    <row r="68" spans="1:11" ht="12.75" customHeight="1" x14ac:dyDescent="0.2">
      <c r="A68" s="152"/>
      <c r="B68" s="1684"/>
      <c r="C68" s="1684"/>
      <c r="D68" s="1684"/>
      <c r="E68" s="1684"/>
      <c r="F68" s="1684"/>
      <c r="G68" s="1684"/>
      <c r="H68" s="1684"/>
      <c r="I68" s="271"/>
    </row>
    <row r="69" spans="1:11" ht="27" customHeight="1" x14ac:dyDescent="0.2">
      <c r="A69" s="56"/>
      <c r="B69" s="1684"/>
      <c r="C69" s="1684"/>
      <c r="D69" s="1684"/>
      <c r="E69" s="1684"/>
      <c r="F69" s="1684"/>
      <c r="G69" s="1684"/>
      <c r="H69" s="1684"/>
      <c r="I69" s="271"/>
    </row>
    <row r="70" spans="1:11" x14ac:dyDescent="0.2">
      <c r="J70" s="322"/>
      <c r="K70" s="322"/>
    </row>
    <row r="71" spans="1:11" ht="23.25" customHeight="1" x14ac:dyDescent="0.2">
      <c r="J71" s="322"/>
      <c r="K71" s="322"/>
    </row>
    <row r="72" spans="1:11" x14ac:dyDescent="0.2">
      <c r="A72" s="56"/>
      <c r="B72" s="322"/>
      <c r="C72" s="322"/>
      <c r="D72" s="322"/>
      <c r="E72" s="322"/>
      <c r="F72" s="322"/>
      <c r="G72" s="322"/>
      <c r="H72" s="322"/>
      <c r="I72" s="322"/>
      <c r="J72" s="322"/>
      <c r="K72" s="322"/>
    </row>
    <row r="73" spans="1:11" x14ac:dyDescent="0.2">
      <c r="A73" s="1066"/>
      <c r="B73" s="1066"/>
      <c r="C73" s="1066"/>
      <c r="D73" s="1066"/>
      <c r="E73" s="1066"/>
      <c r="F73" s="56"/>
      <c r="G73" s="56"/>
      <c r="H73" s="56"/>
    </row>
  </sheetData>
  <mergeCells count="18">
    <mergeCell ref="J18:J19"/>
    <mergeCell ref="B60:E60"/>
    <mergeCell ref="A9:I9"/>
    <mergeCell ref="A10:I10"/>
    <mergeCell ref="A11:H11"/>
    <mergeCell ref="B18:B19"/>
    <mergeCell ref="G18:G19"/>
    <mergeCell ref="A13:B13"/>
    <mergeCell ref="A14:B14"/>
    <mergeCell ref="C14:I14"/>
    <mergeCell ref="A15:B15"/>
    <mergeCell ref="C15:I15"/>
    <mergeCell ref="B62:H62"/>
    <mergeCell ref="B63:I63"/>
    <mergeCell ref="B65:I65"/>
    <mergeCell ref="B66:H67"/>
    <mergeCell ref="B68:H69"/>
    <mergeCell ref="B64:K64"/>
  </mergeCells>
  <dataValidations count="1">
    <dataValidation allowBlank="1" showInputMessage="1" showErrorMessage="1" promptTitle="Date Format" prompt="E.g:  &quot;August 1, 2011&quot;" sqref="WVO983055 JF7 TB7 ACX7 AMT7 AWP7 BGL7 BQH7 CAD7 CJZ7 CTV7 DDR7 DNN7 DXJ7 EHF7 ERB7 FAX7 FKT7 FUP7 GEL7 GOH7 GYD7 HHZ7 HRV7 IBR7 ILN7 IVJ7 JFF7 JPB7 JYX7 KIT7 KSP7 LCL7 LMH7 LWD7 MFZ7 MPV7 MZR7 NJN7 NTJ7 ODF7 ONB7 OWX7 PGT7 PQP7 QAL7 QKH7 QUD7 RDZ7 RNV7 RXR7 SHN7 SRJ7 TBF7 TLB7 TUX7 UET7 UOP7 UYL7 VIH7 VSD7 WBZ7 WLV7 WVR7 H65551 JC65551 SY65551 ACU65551 AMQ65551 AWM65551 BGI65551 BQE65551 CAA65551 CJW65551 CTS65551 DDO65551 DNK65551 DXG65551 EHC65551 EQY65551 FAU65551 FKQ65551 FUM65551 GEI65551 GOE65551 GYA65551 HHW65551 HRS65551 IBO65551 ILK65551 IVG65551 JFC65551 JOY65551 JYU65551 KIQ65551 KSM65551 LCI65551 LME65551 LWA65551 MFW65551 MPS65551 MZO65551 NJK65551 NTG65551 ODC65551 OMY65551 OWU65551 PGQ65551 PQM65551 QAI65551 QKE65551 QUA65551 RDW65551 RNS65551 RXO65551 SHK65551 SRG65551 TBC65551 TKY65551 TUU65551 UEQ65551 UOM65551 UYI65551 VIE65551 VSA65551 WBW65551 WLS65551 WVO65551 H131087 JC131087 SY131087 ACU131087 AMQ131087 AWM131087 BGI131087 BQE131087 CAA131087 CJW131087 CTS131087 DDO131087 DNK131087 DXG131087 EHC131087 EQY131087 FAU131087 FKQ131087 FUM131087 GEI131087 GOE131087 GYA131087 HHW131087 HRS131087 IBO131087 ILK131087 IVG131087 JFC131087 JOY131087 JYU131087 KIQ131087 KSM131087 LCI131087 LME131087 LWA131087 MFW131087 MPS131087 MZO131087 NJK131087 NTG131087 ODC131087 OMY131087 OWU131087 PGQ131087 PQM131087 QAI131087 QKE131087 QUA131087 RDW131087 RNS131087 RXO131087 SHK131087 SRG131087 TBC131087 TKY131087 TUU131087 UEQ131087 UOM131087 UYI131087 VIE131087 VSA131087 WBW131087 WLS131087 WVO131087 H196623 JC196623 SY196623 ACU196623 AMQ196623 AWM196623 BGI196623 BQE196623 CAA196623 CJW196623 CTS196623 DDO196623 DNK196623 DXG196623 EHC196623 EQY196623 FAU196623 FKQ196623 FUM196623 GEI196623 GOE196623 GYA196623 HHW196623 HRS196623 IBO196623 ILK196623 IVG196623 JFC196623 JOY196623 JYU196623 KIQ196623 KSM196623 LCI196623 LME196623 LWA196623 MFW196623 MPS196623 MZO196623 NJK196623 NTG196623 ODC196623 OMY196623 OWU196623 PGQ196623 PQM196623 QAI196623 QKE196623 QUA196623 RDW196623 RNS196623 RXO196623 SHK196623 SRG196623 TBC196623 TKY196623 TUU196623 UEQ196623 UOM196623 UYI196623 VIE196623 VSA196623 WBW196623 WLS196623 WVO196623 H262159 JC262159 SY262159 ACU262159 AMQ262159 AWM262159 BGI262159 BQE262159 CAA262159 CJW262159 CTS262159 DDO262159 DNK262159 DXG262159 EHC262159 EQY262159 FAU262159 FKQ262159 FUM262159 GEI262159 GOE262159 GYA262159 HHW262159 HRS262159 IBO262159 ILK262159 IVG262159 JFC262159 JOY262159 JYU262159 KIQ262159 KSM262159 LCI262159 LME262159 LWA262159 MFW262159 MPS262159 MZO262159 NJK262159 NTG262159 ODC262159 OMY262159 OWU262159 PGQ262159 PQM262159 QAI262159 QKE262159 QUA262159 RDW262159 RNS262159 RXO262159 SHK262159 SRG262159 TBC262159 TKY262159 TUU262159 UEQ262159 UOM262159 UYI262159 VIE262159 VSA262159 WBW262159 WLS262159 WVO262159 H327695 JC327695 SY327695 ACU327695 AMQ327695 AWM327695 BGI327695 BQE327695 CAA327695 CJW327695 CTS327695 DDO327695 DNK327695 DXG327695 EHC327695 EQY327695 FAU327695 FKQ327695 FUM327695 GEI327695 GOE327695 GYA327695 HHW327695 HRS327695 IBO327695 ILK327695 IVG327695 JFC327695 JOY327695 JYU327695 KIQ327695 KSM327695 LCI327695 LME327695 LWA327695 MFW327695 MPS327695 MZO327695 NJK327695 NTG327695 ODC327695 OMY327695 OWU327695 PGQ327695 PQM327695 QAI327695 QKE327695 QUA327695 RDW327695 RNS327695 RXO327695 SHK327695 SRG327695 TBC327695 TKY327695 TUU327695 UEQ327695 UOM327695 UYI327695 VIE327695 VSA327695 WBW327695 WLS327695 WVO327695 H393231 JC393231 SY393231 ACU393231 AMQ393231 AWM393231 BGI393231 BQE393231 CAA393231 CJW393231 CTS393231 DDO393231 DNK393231 DXG393231 EHC393231 EQY393231 FAU393231 FKQ393231 FUM393231 GEI393231 GOE393231 GYA393231 HHW393231 HRS393231 IBO393231 ILK393231 IVG393231 JFC393231 JOY393231 JYU393231 KIQ393231 KSM393231 LCI393231 LME393231 LWA393231 MFW393231 MPS393231 MZO393231 NJK393231 NTG393231 ODC393231 OMY393231 OWU393231 PGQ393231 PQM393231 QAI393231 QKE393231 QUA393231 RDW393231 RNS393231 RXO393231 SHK393231 SRG393231 TBC393231 TKY393231 TUU393231 UEQ393231 UOM393231 UYI393231 VIE393231 VSA393231 WBW393231 WLS393231 WVO393231 H458767 JC458767 SY458767 ACU458767 AMQ458767 AWM458767 BGI458767 BQE458767 CAA458767 CJW458767 CTS458767 DDO458767 DNK458767 DXG458767 EHC458767 EQY458767 FAU458767 FKQ458767 FUM458767 GEI458767 GOE458767 GYA458767 HHW458767 HRS458767 IBO458767 ILK458767 IVG458767 JFC458767 JOY458767 JYU458767 KIQ458767 KSM458767 LCI458767 LME458767 LWA458767 MFW458767 MPS458767 MZO458767 NJK458767 NTG458767 ODC458767 OMY458767 OWU458767 PGQ458767 PQM458767 QAI458767 QKE458767 QUA458767 RDW458767 RNS458767 RXO458767 SHK458767 SRG458767 TBC458767 TKY458767 TUU458767 UEQ458767 UOM458767 UYI458767 VIE458767 VSA458767 WBW458767 WLS458767 WVO458767 H524303 JC524303 SY524303 ACU524303 AMQ524303 AWM524303 BGI524303 BQE524303 CAA524303 CJW524303 CTS524303 DDO524303 DNK524303 DXG524303 EHC524303 EQY524303 FAU524303 FKQ524303 FUM524303 GEI524303 GOE524303 GYA524303 HHW524303 HRS524303 IBO524303 ILK524303 IVG524303 JFC524303 JOY524303 JYU524303 KIQ524303 KSM524303 LCI524303 LME524303 LWA524303 MFW524303 MPS524303 MZO524303 NJK524303 NTG524303 ODC524303 OMY524303 OWU524303 PGQ524303 PQM524303 QAI524303 QKE524303 QUA524303 RDW524303 RNS524303 RXO524303 SHK524303 SRG524303 TBC524303 TKY524303 TUU524303 UEQ524303 UOM524303 UYI524303 VIE524303 VSA524303 WBW524303 WLS524303 WVO524303 H589839 JC589839 SY589839 ACU589839 AMQ589839 AWM589839 BGI589839 BQE589839 CAA589839 CJW589839 CTS589839 DDO589839 DNK589839 DXG589839 EHC589839 EQY589839 FAU589839 FKQ589839 FUM589839 GEI589839 GOE589839 GYA589839 HHW589839 HRS589839 IBO589839 ILK589839 IVG589839 JFC589839 JOY589839 JYU589839 KIQ589839 KSM589839 LCI589839 LME589839 LWA589839 MFW589839 MPS589839 MZO589839 NJK589839 NTG589839 ODC589839 OMY589839 OWU589839 PGQ589839 PQM589839 QAI589839 QKE589839 QUA589839 RDW589839 RNS589839 RXO589839 SHK589839 SRG589839 TBC589839 TKY589839 TUU589839 UEQ589839 UOM589839 UYI589839 VIE589839 VSA589839 WBW589839 WLS589839 WVO589839 H655375 JC655375 SY655375 ACU655375 AMQ655375 AWM655375 BGI655375 BQE655375 CAA655375 CJW655375 CTS655375 DDO655375 DNK655375 DXG655375 EHC655375 EQY655375 FAU655375 FKQ655375 FUM655375 GEI655375 GOE655375 GYA655375 HHW655375 HRS655375 IBO655375 ILK655375 IVG655375 JFC655375 JOY655375 JYU655375 KIQ655375 KSM655375 LCI655375 LME655375 LWA655375 MFW655375 MPS655375 MZO655375 NJK655375 NTG655375 ODC655375 OMY655375 OWU655375 PGQ655375 PQM655375 QAI655375 QKE655375 QUA655375 RDW655375 RNS655375 RXO655375 SHK655375 SRG655375 TBC655375 TKY655375 TUU655375 UEQ655375 UOM655375 UYI655375 VIE655375 VSA655375 WBW655375 WLS655375 WVO655375 H720911 JC720911 SY720911 ACU720911 AMQ720911 AWM720911 BGI720911 BQE720911 CAA720911 CJW720911 CTS720911 DDO720911 DNK720911 DXG720911 EHC720911 EQY720911 FAU720911 FKQ720911 FUM720911 GEI720911 GOE720911 GYA720911 HHW720911 HRS720911 IBO720911 ILK720911 IVG720911 JFC720911 JOY720911 JYU720911 KIQ720911 KSM720911 LCI720911 LME720911 LWA720911 MFW720911 MPS720911 MZO720911 NJK720911 NTG720911 ODC720911 OMY720911 OWU720911 PGQ720911 PQM720911 QAI720911 QKE720911 QUA720911 RDW720911 RNS720911 RXO720911 SHK720911 SRG720911 TBC720911 TKY720911 TUU720911 UEQ720911 UOM720911 UYI720911 VIE720911 VSA720911 WBW720911 WLS720911 WVO720911 H786447 JC786447 SY786447 ACU786447 AMQ786447 AWM786447 BGI786447 BQE786447 CAA786447 CJW786447 CTS786447 DDO786447 DNK786447 DXG786447 EHC786447 EQY786447 FAU786447 FKQ786447 FUM786447 GEI786447 GOE786447 GYA786447 HHW786447 HRS786447 IBO786447 ILK786447 IVG786447 JFC786447 JOY786447 JYU786447 KIQ786447 KSM786447 LCI786447 LME786447 LWA786447 MFW786447 MPS786447 MZO786447 NJK786447 NTG786447 ODC786447 OMY786447 OWU786447 PGQ786447 PQM786447 QAI786447 QKE786447 QUA786447 RDW786447 RNS786447 RXO786447 SHK786447 SRG786447 TBC786447 TKY786447 TUU786447 UEQ786447 UOM786447 UYI786447 VIE786447 VSA786447 WBW786447 WLS786447 WVO786447 H851983 JC851983 SY851983 ACU851983 AMQ851983 AWM851983 BGI851983 BQE851983 CAA851983 CJW851983 CTS851983 DDO851983 DNK851983 DXG851983 EHC851983 EQY851983 FAU851983 FKQ851983 FUM851983 GEI851983 GOE851983 GYA851983 HHW851983 HRS851983 IBO851983 ILK851983 IVG851983 JFC851983 JOY851983 JYU851983 KIQ851983 KSM851983 LCI851983 LME851983 LWA851983 MFW851983 MPS851983 MZO851983 NJK851983 NTG851983 ODC851983 OMY851983 OWU851983 PGQ851983 PQM851983 QAI851983 QKE851983 QUA851983 RDW851983 RNS851983 RXO851983 SHK851983 SRG851983 TBC851983 TKY851983 TUU851983 UEQ851983 UOM851983 UYI851983 VIE851983 VSA851983 WBW851983 WLS851983 WVO851983 H917519 JC917519 SY917519 ACU917519 AMQ917519 AWM917519 BGI917519 BQE917519 CAA917519 CJW917519 CTS917519 DDO917519 DNK917519 DXG917519 EHC917519 EQY917519 FAU917519 FKQ917519 FUM917519 GEI917519 GOE917519 GYA917519 HHW917519 HRS917519 IBO917519 ILK917519 IVG917519 JFC917519 JOY917519 JYU917519 KIQ917519 KSM917519 LCI917519 LME917519 LWA917519 MFW917519 MPS917519 MZO917519 NJK917519 NTG917519 ODC917519 OMY917519 OWU917519 PGQ917519 PQM917519 QAI917519 QKE917519 QUA917519 RDW917519 RNS917519 RXO917519 SHK917519 SRG917519 TBC917519 TKY917519 TUU917519 UEQ917519 UOM917519 UYI917519 VIE917519 VSA917519 WBW917519 WLS917519 WVO917519 H983055 JC983055 SY983055 ACU983055 AMQ983055 AWM983055 BGI983055 BQE983055 CAA983055 CJW983055 CTS983055 DDO983055 DNK983055 DXG983055 EHC983055 EQY983055 FAU983055 FKQ983055 FUM983055 GEI983055 GOE983055 GYA983055 HHW983055 HRS983055 IBO983055 ILK983055 IVG983055 JFC983055 JOY983055 JYU983055 KIQ983055 KSM983055 LCI983055 LME983055 LWA983055 MFW983055 MPS983055 MZO983055 NJK983055 NTG983055 ODC983055 OMY983055 OWU983055 PGQ983055 PQM983055 QAI983055 QKE983055 QUA983055 RDW983055 RNS983055 RXO983055 SHK983055 SRG983055 TBC983055 TKY983055 TUU983055 UEQ983055 UOM983055 UYI983055 VIE983055 VSA983055 WBW983055 WLS983055"/>
  </dataValidations>
  <printOptions horizontalCentered="1"/>
  <pageMargins left="0.74803149606299213" right="0.74803149606299213" top="0.70866141732283472" bottom="0.39370078740157483" header="0.39370078740157483" footer="0.27559055118110237"/>
  <pageSetup scale="48" orientation="landscape"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04803" r:id="rId4" name="Check Box 3">
              <controlPr defaultSize="0" autoFill="0" autoLine="0" autoPict="0">
                <anchor moveWithCells="1">
                  <from>
                    <xdr:col>0</xdr:col>
                    <xdr:colOff>323850</xdr:colOff>
                    <xdr:row>13</xdr:row>
                    <xdr:rowOff>47625</xdr:rowOff>
                  </from>
                  <to>
                    <xdr:col>0</xdr:col>
                    <xdr:colOff>590550</xdr:colOff>
                    <xdr:row>13</xdr:row>
                    <xdr:rowOff>485775</xdr:rowOff>
                  </to>
                </anchor>
              </controlPr>
            </control>
          </mc:Choice>
        </mc:AlternateContent>
        <mc:AlternateContent xmlns:mc="http://schemas.openxmlformats.org/markup-compatibility/2006">
          <mc:Choice Requires="x14">
            <control shapeId="204804" r:id="rId5" name="Check Box 4">
              <controlPr defaultSize="0" autoFill="0" autoLine="0" autoPict="0">
                <anchor moveWithCells="1">
                  <from>
                    <xdr:col>0</xdr:col>
                    <xdr:colOff>304800</xdr:colOff>
                    <xdr:row>14</xdr:row>
                    <xdr:rowOff>47625</xdr:rowOff>
                  </from>
                  <to>
                    <xdr:col>0</xdr:col>
                    <xdr:colOff>571500</xdr:colOff>
                    <xdr:row>15</xdr:row>
                    <xdr:rowOff>0</xdr:rowOff>
                  </to>
                </anchor>
              </controlPr>
            </control>
          </mc:Choice>
        </mc:AlternateContent>
      </controls>
    </mc:Choice>
  </mc:AlternateContent>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46">
    <tabColor rgb="FF00B0F0"/>
    <pageSetUpPr fitToPage="1"/>
  </sheetPr>
  <dimension ref="A1:M73"/>
  <sheetViews>
    <sheetView showGridLines="0" view="pageBreakPreview" zoomScale="60" zoomScaleNormal="100" workbookViewId="0">
      <selection activeCell="A9" sqref="A9:I9"/>
    </sheetView>
  </sheetViews>
  <sheetFormatPr defaultRowHeight="12.75" x14ac:dyDescent="0.2"/>
  <cols>
    <col min="1" max="1" width="9.140625" style="52"/>
    <col min="2" max="2" width="41.140625" style="52" customWidth="1"/>
    <col min="3" max="3" width="10" style="52" customWidth="1"/>
    <col min="4" max="4" width="10.140625" style="52" customWidth="1"/>
    <col min="5" max="5" width="12.28515625" style="52" customWidth="1"/>
    <col min="6" max="6" width="15.7109375" style="52" customWidth="1"/>
    <col min="7" max="7" width="17.7109375" style="52" customWidth="1"/>
    <col min="8" max="8" width="12.28515625" style="52" customWidth="1"/>
    <col min="9" max="9" width="14.42578125" style="52" customWidth="1"/>
    <col min="10" max="10" width="13" style="52" customWidth="1"/>
    <col min="11" max="11" width="14" style="52" customWidth="1"/>
    <col min="12" max="254" width="9.140625" style="52"/>
    <col min="255" max="255" width="2.7109375" style="52" customWidth="1"/>
    <col min="256" max="256" width="9.140625" style="52"/>
    <col min="257" max="257" width="40.28515625" style="52" bestFit="1" customWidth="1"/>
    <col min="258" max="258" width="10" style="52" customWidth="1"/>
    <col min="259" max="259" width="10.140625" style="52" customWidth="1"/>
    <col min="260" max="260" width="12.28515625" style="52" customWidth="1"/>
    <col min="261" max="261" width="15.7109375" style="52" customWidth="1"/>
    <col min="262" max="262" width="12.85546875" style="52" customWidth="1"/>
    <col min="263" max="263" width="12.7109375" style="52" customWidth="1"/>
    <col min="264" max="264" width="12.85546875" style="52" customWidth="1"/>
    <col min="265" max="265" width="14.42578125" style="52" customWidth="1"/>
    <col min="266" max="510" width="9.140625" style="52"/>
    <col min="511" max="511" width="2.7109375" style="52" customWidth="1"/>
    <col min="512" max="512" width="9.140625" style="52"/>
    <col min="513" max="513" width="40.28515625" style="52" bestFit="1" customWidth="1"/>
    <col min="514" max="514" width="10" style="52" customWidth="1"/>
    <col min="515" max="515" width="10.140625" style="52" customWidth="1"/>
    <col min="516" max="516" width="12.28515625" style="52" customWidth="1"/>
    <col min="517" max="517" width="15.7109375" style="52" customWidth="1"/>
    <col min="518" max="518" width="12.85546875" style="52" customWidth="1"/>
    <col min="519" max="519" width="12.7109375" style="52" customWidth="1"/>
    <col min="520" max="520" width="12.85546875" style="52" customWidth="1"/>
    <col min="521" max="521" width="14.42578125" style="52" customWidth="1"/>
    <col min="522" max="766" width="9.140625" style="52"/>
    <col min="767" max="767" width="2.7109375" style="52" customWidth="1"/>
    <col min="768" max="768" width="9.140625" style="52"/>
    <col min="769" max="769" width="40.28515625" style="52" bestFit="1" customWidth="1"/>
    <col min="770" max="770" width="10" style="52" customWidth="1"/>
    <col min="771" max="771" width="10.140625" style="52" customWidth="1"/>
    <col min="772" max="772" width="12.28515625" style="52" customWidth="1"/>
    <col min="773" max="773" width="15.7109375" style="52" customWidth="1"/>
    <col min="774" max="774" width="12.85546875" style="52" customWidth="1"/>
    <col min="775" max="775" width="12.7109375" style="52" customWidth="1"/>
    <col min="776" max="776" width="12.85546875" style="52" customWidth="1"/>
    <col min="777" max="777" width="14.42578125" style="52" customWidth="1"/>
    <col min="778" max="1022" width="9.140625" style="52"/>
    <col min="1023" max="1023" width="2.7109375" style="52" customWidth="1"/>
    <col min="1024" max="1024" width="9.140625" style="52"/>
    <col min="1025" max="1025" width="40.28515625" style="52" bestFit="1" customWidth="1"/>
    <col min="1026" max="1026" width="10" style="52" customWidth="1"/>
    <col min="1027" max="1027" width="10.140625" style="52" customWidth="1"/>
    <col min="1028" max="1028" width="12.28515625" style="52" customWidth="1"/>
    <col min="1029" max="1029" width="15.7109375" style="52" customWidth="1"/>
    <col min="1030" max="1030" width="12.85546875" style="52" customWidth="1"/>
    <col min="1031" max="1031" width="12.7109375" style="52" customWidth="1"/>
    <col min="1032" max="1032" width="12.85546875" style="52" customWidth="1"/>
    <col min="1033" max="1033" width="14.42578125" style="52" customWidth="1"/>
    <col min="1034" max="1278" width="9.140625" style="52"/>
    <col min="1279" max="1279" width="2.7109375" style="52" customWidth="1"/>
    <col min="1280" max="1280" width="9.140625" style="52"/>
    <col min="1281" max="1281" width="40.28515625" style="52" bestFit="1" customWidth="1"/>
    <col min="1282" max="1282" width="10" style="52" customWidth="1"/>
    <col min="1283" max="1283" width="10.140625" style="52" customWidth="1"/>
    <col min="1284" max="1284" width="12.28515625" style="52" customWidth="1"/>
    <col min="1285" max="1285" width="15.7109375" style="52" customWidth="1"/>
    <col min="1286" max="1286" width="12.85546875" style="52" customWidth="1"/>
    <col min="1287" max="1287" width="12.7109375" style="52" customWidth="1"/>
    <col min="1288" max="1288" width="12.85546875" style="52" customWidth="1"/>
    <col min="1289" max="1289" width="14.42578125" style="52" customWidth="1"/>
    <col min="1290" max="1534" width="9.140625" style="52"/>
    <col min="1535" max="1535" width="2.7109375" style="52" customWidth="1"/>
    <col min="1536" max="1536" width="9.140625" style="52"/>
    <col min="1537" max="1537" width="40.28515625" style="52" bestFit="1" customWidth="1"/>
    <col min="1538" max="1538" width="10" style="52" customWidth="1"/>
    <col min="1539" max="1539" width="10.140625" style="52" customWidth="1"/>
    <col min="1540" max="1540" width="12.28515625" style="52" customWidth="1"/>
    <col min="1541" max="1541" width="15.7109375" style="52" customWidth="1"/>
    <col min="1542" max="1542" width="12.85546875" style="52" customWidth="1"/>
    <col min="1543" max="1543" width="12.7109375" style="52" customWidth="1"/>
    <col min="1544" max="1544" width="12.85546875" style="52" customWidth="1"/>
    <col min="1545" max="1545" width="14.42578125" style="52" customWidth="1"/>
    <col min="1546" max="1790" width="9.140625" style="52"/>
    <col min="1791" max="1791" width="2.7109375" style="52" customWidth="1"/>
    <col min="1792" max="1792" width="9.140625" style="52"/>
    <col min="1793" max="1793" width="40.28515625" style="52" bestFit="1" customWidth="1"/>
    <col min="1794" max="1794" width="10" style="52" customWidth="1"/>
    <col min="1795" max="1795" width="10.140625" style="52" customWidth="1"/>
    <col min="1796" max="1796" width="12.28515625" style="52" customWidth="1"/>
    <col min="1797" max="1797" width="15.7109375" style="52" customWidth="1"/>
    <col min="1798" max="1798" width="12.85546875" style="52" customWidth="1"/>
    <col min="1799" max="1799" width="12.7109375" style="52" customWidth="1"/>
    <col min="1800" max="1800" width="12.85546875" style="52" customWidth="1"/>
    <col min="1801" max="1801" width="14.42578125" style="52" customWidth="1"/>
    <col min="1802" max="2046" width="9.140625" style="52"/>
    <col min="2047" max="2047" width="2.7109375" style="52" customWidth="1"/>
    <col min="2048" max="2048" width="9.140625" style="52"/>
    <col min="2049" max="2049" width="40.28515625" style="52" bestFit="1" customWidth="1"/>
    <col min="2050" max="2050" width="10" style="52" customWidth="1"/>
    <col min="2051" max="2051" width="10.140625" style="52" customWidth="1"/>
    <col min="2052" max="2052" width="12.28515625" style="52" customWidth="1"/>
    <col min="2053" max="2053" width="15.7109375" style="52" customWidth="1"/>
    <col min="2054" max="2054" width="12.85546875" style="52" customWidth="1"/>
    <col min="2055" max="2055" width="12.7109375" style="52" customWidth="1"/>
    <col min="2056" max="2056" width="12.85546875" style="52" customWidth="1"/>
    <col min="2057" max="2057" width="14.42578125" style="52" customWidth="1"/>
    <col min="2058" max="2302" width="9.140625" style="52"/>
    <col min="2303" max="2303" width="2.7109375" style="52" customWidth="1"/>
    <col min="2304" max="2304" width="9.140625" style="52"/>
    <col min="2305" max="2305" width="40.28515625" style="52" bestFit="1" customWidth="1"/>
    <col min="2306" max="2306" width="10" style="52" customWidth="1"/>
    <col min="2307" max="2307" width="10.140625" style="52" customWidth="1"/>
    <col min="2308" max="2308" width="12.28515625" style="52" customWidth="1"/>
    <col min="2309" max="2309" width="15.7109375" style="52" customWidth="1"/>
    <col min="2310" max="2310" width="12.85546875" style="52" customWidth="1"/>
    <col min="2311" max="2311" width="12.7109375" style="52" customWidth="1"/>
    <col min="2312" max="2312" width="12.85546875" style="52" customWidth="1"/>
    <col min="2313" max="2313" width="14.42578125" style="52" customWidth="1"/>
    <col min="2314" max="2558" width="9.140625" style="52"/>
    <col min="2559" max="2559" width="2.7109375" style="52" customWidth="1"/>
    <col min="2560" max="2560" width="9.140625" style="52"/>
    <col min="2561" max="2561" width="40.28515625" style="52" bestFit="1" customWidth="1"/>
    <col min="2562" max="2562" width="10" style="52" customWidth="1"/>
    <col min="2563" max="2563" width="10.140625" style="52" customWidth="1"/>
    <col min="2564" max="2564" width="12.28515625" style="52" customWidth="1"/>
    <col min="2565" max="2565" width="15.7109375" style="52" customWidth="1"/>
    <col min="2566" max="2566" width="12.85546875" style="52" customWidth="1"/>
    <col min="2567" max="2567" width="12.7109375" style="52" customWidth="1"/>
    <col min="2568" max="2568" width="12.85546875" style="52" customWidth="1"/>
    <col min="2569" max="2569" width="14.42578125" style="52" customWidth="1"/>
    <col min="2570" max="2814" width="9.140625" style="52"/>
    <col min="2815" max="2815" width="2.7109375" style="52" customWidth="1"/>
    <col min="2816" max="2816" width="9.140625" style="52"/>
    <col min="2817" max="2817" width="40.28515625" style="52" bestFit="1" customWidth="1"/>
    <col min="2818" max="2818" width="10" style="52" customWidth="1"/>
    <col min="2819" max="2819" width="10.140625" style="52" customWidth="1"/>
    <col min="2820" max="2820" width="12.28515625" style="52" customWidth="1"/>
    <col min="2821" max="2821" width="15.7109375" style="52" customWidth="1"/>
    <col min="2822" max="2822" width="12.85546875" style="52" customWidth="1"/>
    <col min="2823" max="2823" width="12.7109375" style="52" customWidth="1"/>
    <col min="2824" max="2824" width="12.85546875" style="52" customWidth="1"/>
    <col min="2825" max="2825" width="14.42578125" style="52" customWidth="1"/>
    <col min="2826" max="3070" width="9.140625" style="52"/>
    <col min="3071" max="3071" width="2.7109375" style="52" customWidth="1"/>
    <col min="3072" max="3072" width="9.140625" style="52"/>
    <col min="3073" max="3073" width="40.28515625" style="52" bestFit="1" customWidth="1"/>
    <col min="3074" max="3074" width="10" style="52" customWidth="1"/>
    <col min="3075" max="3075" width="10.140625" style="52" customWidth="1"/>
    <col min="3076" max="3076" width="12.28515625" style="52" customWidth="1"/>
    <col min="3077" max="3077" width="15.7109375" style="52" customWidth="1"/>
    <col min="3078" max="3078" width="12.85546875" style="52" customWidth="1"/>
    <col min="3079" max="3079" width="12.7109375" style="52" customWidth="1"/>
    <col min="3080" max="3080" width="12.85546875" style="52" customWidth="1"/>
    <col min="3081" max="3081" width="14.42578125" style="52" customWidth="1"/>
    <col min="3082" max="3326" width="9.140625" style="52"/>
    <col min="3327" max="3327" width="2.7109375" style="52" customWidth="1"/>
    <col min="3328" max="3328" width="9.140625" style="52"/>
    <col min="3329" max="3329" width="40.28515625" style="52" bestFit="1" customWidth="1"/>
    <col min="3330" max="3330" width="10" style="52" customWidth="1"/>
    <col min="3331" max="3331" width="10.140625" style="52" customWidth="1"/>
    <col min="3332" max="3332" width="12.28515625" style="52" customWidth="1"/>
    <col min="3333" max="3333" width="15.7109375" style="52" customWidth="1"/>
    <col min="3334" max="3334" width="12.85546875" style="52" customWidth="1"/>
    <col min="3335" max="3335" width="12.7109375" style="52" customWidth="1"/>
    <col min="3336" max="3336" width="12.85546875" style="52" customWidth="1"/>
    <col min="3337" max="3337" width="14.42578125" style="52" customWidth="1"/>
    <col min="3338" max="3582" width="9.140625" style="52"/>
    <col min="3583" max="3583" width="2.7109375" style="52" customWidth="1"/>
    <col min="3584" max="3584" width="9.140625" style="52"/>
    <col min="3585" max="3585" width="40.28515625" style="52" bestFit="1" customWidth="1"/>
    <col min="3586" max="3586" width="10" style="52" customWidth="1"/>
    <col min="3587" max="3587" width="10.140625" style="52" customWidth="1"/>
    <col min="3588" max="3588" width="12.28515625" style="52" customWidth="1"/>
    <col min="3589" max="3589" width="15.7109375" style="52" customWidth="1"/>
    <col min="3590" max="3590" width="12.85546875" style="52" customWidth="1"/>
    <col min="3591" max="3591" width="12.7109375" style="52" customWidth="1"/>
    <col min="3592" max="3592" width="12.85546875" style="52" customWidth="1"/>
    <col min="3593" max="3593" width="14.42578125" style="52" customWidth="1"/>
    <col min="3594" max="3838" width="9.140625" style="52"/>
    <col min="3839" max="3839" width="2.7109375" style="52" customWidth="1"/>
    <col min="3840" max="3840" width="9.140625" style="52"/>
    <col min="3841" max="3841" width="40.28515625" style="52" bestFit="1" customWidth="1"/>
    <col min="3842" max="3842" width="10" style="52" customWidth="1"/>
    <col min="3843" max="3843" width="10.140625" style="52" customWidth="1"/>
    <col min="3844" max="3844" width="12.28515625" style="52" customWidth="1"/>
    <col min="3845" max="3845" width="15.7109375" style="52" customWidth="1"/>
    <col min="3846" max="3846" width="12.85546875" style="52" customWidth="1"/>
    <col min="3847" max="3847" width="12.7109375" style="52" customWidth="1"/>
    <col min="3848" max="3848" width="12.85546875" style="52" customWidth="1"/>
    <col min="3849" max="3849" width="14.42578125" style="52" customWidth="1"/>
    <col min="3850" max="4094" width="9.140625" style="52"/>
    <col min="4095" max="4095" width="2.7109375" style="52" customWidth="1"/>
    <col min="4096" max="4096" width="9.140625" style="52"/>
    <col min="4097" max="4097" width="40.28515625" style="52" bestFit="1" customWidth="1"/>
    <col min="4098" max="4098" width="10" style="52" customWidth="1"/>
    <col min="4099" max="4099" width="10.140625" style="52" customWidth="1"/>
    <col min="4100" max="4100" width="12.28515625" style="52" customWidth="1"/>
    <col min="4101" max="4101" width="15.7109375" style="52" customWidth="1"/>
    <col min="4102" max="4102" width="12.85546875" style="52" customWidth="1"/>
    <col min="4103" max="4103" width="12.7109375" style="52" customWidth="1"/>
    <col min="4104" max="4104" width="12.85546875" style="52" customWidth="1"/>
    <col min="4105" max="4105" width="14.42578125" style="52" customWidth="1"/>
    <col min="4106" max="4350" width="9.140625" style="52"/>
    <col min="4351" max="4351" width="2.7109375" style="52" customWidth="1"/>
    <col min="4352" max="4352" width="9.140625" style="52"/>
    <col min="4353" max="4353" width="40.28515625" style="52" bestFit="1" customWidth="1"/>
    <col min="4354" max="4354" width="10" style="52" customWidth="1"/>
    <col min="4355" max="4355" width="10.140625" style="52" customWidth="1"/>
    <col min="4356" max="4356" width="12.28515625" style="52" customWidth="1"/>
    <col min="4357" max="4357" width="15.7109375" style="52" customWidth="1"/>
    <col min="4358" max="4358" width="12.85546875" style="52" customWidth="1"/>
    <col min="4359" max="4359" width="12.7109375" style="52" customWidth="1"/>
    <col min="4360" max="4360" width="12.85546875" style="52" customWidth="1"/>
    <col min="4361" max="4361" width="14.42578125" style="52" customWidth="1"/>
    <col min="4362" max="4606" width="9.140625" style="52"/>
    <col min="4607" max="4607" width="2.7109375" style="52" customWidth="1"/>
    <col min="4608" max="4608" width="9.140625" style="52"/>
    <col min="4609" max="4609" width="40.28515625" style="52" bestFit="1" customWidth="1"/>
    <col min="4610" max="4610" width="10" style="52" customWidth="1"/>
    <col min="4611" max="4611" width="10.140625" style="52" customWidth="1"/>
    <col min="4612" max="4612" width="12.28515625" style="52" customWidth="1"/>
    <col min="4613" max="4613" width="15.7109375" style="52" customWidth="1"/>
    <col min="4614" max="4614" width="12.85546875" style="52" customWidth="1"/>
    <col min="4615" max="4615" width="12.7109375" style="52" customWidth="1"/>
    <col min="4616" max="4616" width="12.85546875" style="52" customWidth="1"/>
    <col min="4617" max="4617" width="14.42578125" style="52" customWidth="1"/>
    <col min="4618" max="4862" width="9.140625" style="52"/>
    <col min="4863" max="4863" width="2.7109375" style="52" customWidth="1"/>
    <col min="4864" max="4864" width="9.140625" style="52"/>
    <col min="4865" max="4865" width="40.28515625" style="52" bestFit="1" customWidth="1"/>
    <col min="4866" max="4866" width="10" style="52" customWidth="1"/>
    <col min="4867" max="4867" width="10.140625" style="52" customWidth="1"/>
    <col min="4868" max="4868" width="12.28515625" style="52" customWidth="1"/>
    <col min="4869" max="4869" width="15.7109375" style="52" customWidth="1"/>
    <col min="4870" max="4870" width="12.85546875" style="52" customWidth="1"/>
    <col min="4871" max="4871" width="12.7109375" style="52" customWidth="1"/>
    <col min="4872" max="4872" width="12.85546875" style="52" customWidth="1"/>
    <col min="4873" max="4873" width="14.42578125" style="52" customWidth="1"/>
    <col min="4874" max="5118" width="9.140625" style="52"/>
    <col min="5119" max="5119" width="2.7109375" style="52" customWidth="1"/>
    <col min="5120" max="5120" width="9.140625" style="52"/>
    <col min="5121" max="5121" width="40.28515625" style="52" bestFit="1" customWidth="1"/>
    <col min="5122" max="5122" width="10" style="52" customWidth="1"/>
    <col min="5123" max="5123" width="10.140625" style="52" customWidth="1"/>
    <col min="5124" max="5124" width="12.28515625" style="52" customWidth="1"/>
    <col min="5125" max="5125" width="15.7109375" style="52" customWidth="1"/>
    <col min="5126" max="5126" width="12.85546875" style="52" customWidth="1"/>
    <col min="5127" max="5127" width="12.7109375" style="52" customWidth="1"/>
    <col min="5128" max="5128" width="12.85546875" style="52" customWidth="1"/>
    <col min="5129" max="5129" width="14.42578125" style="52" customWidth="1"/>
    <col min="5130" max="5374" width="9.140625" style="52"/>
    <col min="5375" max="5375" width="2.7109375" style="52" customWidth="1"/>
    <col min="5376" max="5376" width="9.140625" style="52"/>
    <col min="5377" max="5377" width="40.28515625" style="52" bestFit="1" customWidth="1"/>
    <col min="5378" max="5378" width="10" style="52" customWidth="1"/>
    <col min="5379" max="5379" width="10.140625" style="52" customWidth="1"/>
    <col min="5380" max="5380" width="12.28515625" style="52" customWidth="1"/>
    <col min="5381" max="5381" width="15.7109375" style="52" customWidth="1"/>
    <col min="5382" max="5382" width="12.85546875" style="52" customWidth="1"/>
    <col min="5383" max="5383" width="12.7109375" style="52" customWidth="1"/>
    <col min="5384" max="5384" width="12.85546875" style="52" customWidth="1"/>
    <col min="5385" max="5385" width="14.42578125" style="52" customWidth="1"/>
    <col min="5386" max="5630" width="9.140625" style="52"/>
    <col min="5631" max="5631" width="2.7109375" style="52" customWidth="1"/>
    <col min="5632" max="5632" width="9.140625" style="52"/>
    <col min="5633" max="5633" width="40.28515625" style="52" bestFit="1" customWidth="1"/>
    <col min="5634" max="5634" width="10" style="52" customWidth="1"/>
    <col min="5635" max="5635" width="10.140625" style="52" customWidth="1"/>
    <col min="5636" max="5636" width="12.28515625" style="52" customWidth="1"/>
    <col min="5637" max="5637" width="15.7109375" style="52" customWidth="1"/>
    <col min="5638" max="5638" width="12.85546875" style="52" customWidth="1"/>
    <col min="5639" max="5639" width="12.7109375" style="52" customWidth="1"/>
    <col min="5640" max="5640" width="12.85546875" style="52" customWidth="1"/>
    <col min="5641" max="5641" width="14.42578125" style="52" customWidth="1"/>
    <col min="5642" max="5886" width="9.140625" style="52"/>
    <col min="5887" max="5887" width="2.7109375" style="52" customWidth="1"/>
    <col min="5888" max="5888" width="9.140625" style="52"/>
    <col min="5889" max="5889" width="40.28515625" style="52" bestFit="1" customWidth="1"/>
    <col min="5890" max="5890" width="10" style="52" customWidth="1"/>
    <col min="5891" max="5891" width="10.140625" style="52" customWidth="1"/>
    <col min="5892" max="5892" width="12.28515625" style="52" customWidth="1"/>
    <col min="5893" max="5893" width="15.7109375" style="52" customWidth="1"/>
    <col min="5894" max="5894" width="12.85546875" style="52" customWidth="1"/>
    <col min="5895" max="5895" width="12.7109375" style="52" customWidth="1"/>
    <col min="5896" max="5896" width="12.85546875" style="52" customWidth="1"/>
    <col min="5897" max="5897" width="14.42578125" style="52" customWidth="1"/>
    <col min="5898" max="6142" width="9.140625" style="52"/>
    <col min="6143" max="6143" width="2.7109375" style="52" customWidth="1"/>
    <col min="6144" max="6144" width="9.140625" style="52"/>
    <col min="6145" max="6145" width="40.28515625" style="52" bestFit="1" customWidth="1"/>
    <col min="6146" max="6146" width="10" style="52" customWidth="1"/>
    <col min="6147" max="6147" width="10.140625" style="52" customWidth="1"/>
    <col min="6148" max="6148" width="12.28515625" style="52" customWidth="1"/>
    <col min="6149" max="6149" width="15.7109375" style="52" customWidth="1"/>
    <col min="6150" max="6150" width="12.85546875" style="52" customWidth="1"/>
    <col min="6151" max="6151" width="12.7109375" style="52" customWidth="1"/>
    <col min="6152" max="6152" width="12.85546875" style="52" customWidth="1"/>
    <col min="6153" max="6153" width="14.42578125" style="52" customWidth="1"/>
    <col min="6154" max="6398" width="9.140625" style="52"/>
    <col min="6399" max="6399" width="2.7109375" style="52" customWidth="1"/>
    <col min="6400" max="6400" width="9.140625" style="52"/>
    <col min="6401" max="6401" width="40.28515625" style="52" bestFit="1" customWidth="1"/>
    <col min="6402" max="6402" width="10" style="52" customWidth="1"/>
    <col min="6403" max="6403" width="10.140625" style="52" customWidth="1"/>
    <col min="6404" max="6404" width="12.28515625" style="52" customWidth="1"/>
    <col min="6405" max="6405" width="15.7109375" style="52" customWidth="1"/>
    <col min="6406" max="6406" width="12.85546875" style="52" customWidth="1"/>
    <col min="6407" max="6407" width="12.7109375" style="52" customWidth="1"/>
    <col min="6408" max="6408" width="12.85546875" style="52" customWidth="1"/>
    <col min="6409" max="6409" width="14.42578125" style="52" customWidth="1"/>
    <col min="6410" max="6654" width="9.140625" style="52"/>
    <col min="6655" max="6655" width="2.7109375" style="52" customWidth="1"/>
    <col min="6656" max="6656" width="9.140625" style="52"/>
    <col min="6657" max="6657" width="40.28515625" style="52" bestFit="1" customWidth="1"/>
    <col min="6658" max="6658" width="10" style="52" customWidth="1"/>
    <col min="6659" max="6659" width="10.140625" style="52" customWidth="1"/>
    <col min="6660" max="6660" width="12.28515625" style="52" customWidth="1"/>
    <col min="6661" max="6661" width="15.7109375" style="52" customWidth="1"/>
    <col min="6662" max="6662" width="12.85546875" style="52" customWidth="1"/>
    <col min="6663" max="6663" width="12.7109375" style="52" customWidth="1"/>
    <col min="6664" max="6664" width="12.85546875" style="52" customWidth="1"/>
    <col min="6665" max="6665" width="14.42578125" style="52" customWidth="1"/>
    <col min="6666" max="6910" width="9.140625" style="52"/>
    <col min="6911" max="6911" width="2.7109375" style="52" customWidth="1"/>
    <col min="6912" max="6912" width="9.140625" style="52"/>
    <col min="6913" max="6913" width="40.28515625" style="52" bestFit="1" customWidth="1"/>
    <col min="6914" max="6914" width="10" style="52" customWidth="1"/>
    <col min="6915" max="6915" width="10.140625" style="52" customWidth="1"/>
    <col min="6916" max="6916" width="12.28515625" style="52" customWidth="1"/>
    <col min="6917" max="6917" width="15.7109375" style="52" customWidth="1"/>
    <col min="6918" max="6918" width="12.85546875" style="52" customWidth="1"/>
    <col min="6919" max="6919" width="12.7109375" style="52" customWidth="1"/>
    <col min="6920" max="6920" width="12.85546875" style="52" customWidth="1"/>
    <col min="6921" max="6921" width="14.42578125" style="52" customWidth="1"/>
    <col min="6922" max="7166" width="9.140625" style="52"/>
    <col min="7167" max="7167" width="2.7109375" style="52" customWidth="1"/>
    <col min="7168" max="7168" width="9.140625" style="52"/>
    <col min="7169" max="7169" width="40.28515625" style="52" bestFit="1" customWidth="1"/>
    <col min="7170" max="7170" width="10" style="52" customWidth="1"/>
    <col min="7171" max="7171" width="10.140625" style="52" customWidth="1"/>
    <col min="7172" max="7172" width="12.28515625" style="52" customWidth="1"/>
    <col min="7173" max="7173" width="15.7109375" style="52" customWidth="1"/>
    <col min="7174" max="7174" width="12.85546875" style="52" customWidth="1"/>
    <col min="7175" max="7175" width="12.7109375" style="52" customWidth="1"/>
    <col min="7176" max="7176" width="12.85546875" style="52" customWidth="1"/>
    <col min="7177" max="7177" width="14.42578125" style="52" customWidth="1"/>
    <col min="7178" max="7422" width="9.140625" style="52"/>
    <col min="7423" max="7423" width="2.7109375" style="52" customWidth="1"/>
    <col min="7424" max="7424" width="9.140625" style="52"/>
    <col min="7425" max="7425" width="40.28515625" style="52" bestFit="1" customWidth="1"/>
    <col min="7426" max="7426" width="10" style="52" customWidth="1"/>
    <col min="7427" max="7427" width="10.140625" style="52" customWidth="1"/>
    <col min="7428" max="7428" width="12.28515625" style="52" customWidth="1"/>
    <col min="7429" max="7429" width="15.7109375" style="52" customWidth="1"/>
    <col min="7430" max="7430" width="12.85546875" style="52" customWidth="1"/>
    <col min="7431" max="7431" width="12.7109375" style="52" customWidth="1"/>
    <col min="7432" max="7432" width="12.85546875" style="52" customWidth="1"/>
    <col min="7433" max="7433" width="14.42578125" style="52" customWidth="1"/>
    <col min="7434" max="7678" width="9.140625" style="52"/>
    <col min="7679" max="7679" width="2.7109375" style="52" customWidth="1"/>
    <col min="7680" max="7680" width="9.140625" style="52"/>
    <col min="7681" max="7681" width="40.28515625" style="52" bestFit="1" customWidth="1"/>
    <col min="7682" max="7682" width="10" style="52" customWidth="1"/>
    <col min="7683" max="7683" width="10.140625" style="52" customWidth="1"/>
    <col min="7684" max="7684" width="12.28515625" style="52" customWidth="1"/>
    <col min="7685" max="7685" width="15.7109375" style="52" customWidth="1"/>
    <col min="7686" max="7686" width="12.85546875" style="52" customWidth="1"/>
    <col min="7687" max="7687" width="12.7109375" style="52" customWidth="1"/>
    <col min="7688" max="7688" width="12.85546875" style="52" customWidth="1"/>
    <col min="7689" max="7689" width="14.42578125" style="52" customWidth="1"/>
    <col min="7690" max="7934" width="9.140625" style="52"/>
    <col min="7935" max="7935" width="2.7109375" style="52" customWidth="1"/>
    <col min="7936" max="7936" width="9.140625" style="52"/>
    <col min="7937" max="7937" width="40.28515625" style="52" bestFit="1" customWidth="1"/>
    <col min="7938" max="7938" width="10" style="52" customWidth="1"/>
    <col min="7939" max="7939" width="10.140625" style="52" customWidth="1"/>
    <col min="7940" max="7940" width="12.28515625" style="52" customWidth="1"/>
    <col min="7941" max="7941" width="15.7109375" style="52" customWidth="1"/>
    <col min="7942" max="7942" width="12.85546875" style="52" customWidth="1"/>
    <col min="7943" max="7943" width="12.7109375" style="52" customWidth="1"/>
    <col min="7944" max="7944" width="12.85546875" style="52" customWidth="1"/>
    <col min="7945" max="7945" width="14.42578125" style="52" customWidth="1"/>
    <col min="7946" max="8190" width="9.140625" style="52"/>
    <col min="8191" max="8191" width="2.7109375" style="52" customWidth="1"/>
    <col min="8192" max="8192" width="9.140625" style="52"/>
    <col min="8193" max="8193" width="40.28515625" style="52" bestFit="1" customWidth="1"/>
    <col min="8194" max="8194" width="10" style="52" customWidth="1"/>
    <col min="8195" max="8195" width="10.140625" style="52" customWidth="1"/>
    <col min="8196" max="8196" width="12.28515625" style="52" customWidth="1"/>
    <col min="8197" max="8197" width="15.7109375" style="52" customWidth="1"/>
    <col min="8198" max="8198" width="12.85546875" style="52" customWidth="1"/>
    <col min="8199" max="8199" width="12.7109375" style="52" customWidth="1"/>
    <col min="8200" max="8200" width="12.85546875" style="52" customWidth="1"/>
    <col min="8201" max="8201" width="14.42578125" style="52" customWidth="1"/>
    <col min="8202" max="8446" width="9.140625" style="52"/>
    <col min="8447" max="8447" width="2.7109375" style="52" customWidth="1"/>
    <col min="8448" max="8448" width="9.140625" style="52"/>
    <col min="8449" max="8449" width="40.28515625" style="52" bestFit="1" customWidth="1"/>
    <col min="8450" max="8450" width="10" style="52" customWidth="1"/>
    <col min="8451" max="8451" width="10.140625" style="52" customWidth="1"/>
    <col min="8452" max="8452" width="12.28515625" style="52" customWidth="1"/>
    <col min="8453" max="8453" width="15.7109375" style="52" customWidth="1"/>
    <col min="8454" max="8454" width="12.85546875" style="52" customWidth="1"/>
    <col min="8455" max="8455" width="12.7109375" style="52" customWidth="1"/>
    <col min="8456" max="8456" width="12.85546875" style="52" customWidth="1"/>
    <col min="8457" max="8457" width="14.42578125" style="52" customWidth="1"/>
    <col min="8458" max="8702" width="9.140625" style="52"/>
    <col min="8703" max="8703" width="2.7109375" style="52" customWidth="1"/>
    <col min="8704" max="8704" width="9.140625" style="52"/>
    <col min="8705" max="8705" width="40.28515625" style="52" bestFit="1" customWidth="1"/>
    <col min="8706" max="8706" width="10" style="52" customWidth="1"/>
    <col min="8707" max="8707" width="10.140625" style="52" customWidth="1"/>
    <col min="8708" max="8708" width="12.28515625" style="52" customWidth="1"/>
    <col min="8709" max="8709" width="15.7109375" style="52" customWidth="1"/>
    <col min="8710" max="8710" width="12.85546875" style="52" customWidth="1"/>
    <col min="8711" max="8711" width="12.7109375" style="52" customWidth="1"/>
    <col min="8712" max="8712" width="12.85546875" style="52" customWidth="1"/>
    <col min="8713" max="8713" width="14.42578125" style="52" customWidth="1"/>
    <col min="8714" max="8958" width="9.140625" style="52"/>
    <col min="8959" max="8959" width="2.7109375" style="52" customWidth="1"/>
    <col min="8960" max="8960" width="9.140625" style="52"/>
    <col min="8961" max="8961" width="40.28515625" style="52" bestFit="1" customWidth="1"/>
    <col min="8962" max="8962" width="10" style="52" customWidth="1"/>
    <col min="8963" max="8963" width="10.140625" style="52" customWidth="1"/>
    <col min="8964" max="8964" width="12.28515625" style="52" customWidth="1"/>
    <col min="8965" max="8965" width="15.7109375" style="52" customWidth="1"/>
    <col min="8966" max="8966" width="12.85546875" style="52" customWidth="1"/>
    <col min="8967" max="8967" width="12.7109375" style="52" customWidth="1"/>
    <col min="8968" max="8968" width="12.85546875" style="52" customWidth="1"/>
    <col min="8969" max="8969" width="14.42578125" style="52" customWidth="1"/>
    <col min="8970" max="9214" width="9.140625" style="52"/>
    <col min="9215" max="9215" width="2.7109375" style="52" customWidth="1"/>
    <col min="9216" max="9216" width="9.140625" style="52"/>
    <col min="9217" max="9217" width="40.28515625" style="52" bestFit="1" customWidth="1"/>
    <col min="9218" max="9218" width="10" style="52" customWidth="1"/>
    <col min="9219" max="9219" width="10.140625" style="52" customWidth="1"/>
    <col min="9220" max="9220" width="12.28515625" style="52" customWidth="1"/>
    <col min="9221" max="9221" width="15.7109375" style="52" customWidth="1"/>
    <col min="9222" max="9222" width="12.85546875" style="52" customWidth="1"/>
    <col min="9223" max="9223" width="12.7109375" style="52" customWidth="1"/>
    <col min="9224" max="9224" width="12.85546875" style="52" customWidth="1"/>
    <col min="9225" max="9225" width="14.42578125" style="52" customWidth="1"/>
    <col min="9226" max="9470" width="9.140625" style="52"/>
    <col min="9471" max="9471" width="2.7109375" style="52" customWidth="1"/>
    <col min="9472" max="9472" width="9.140625" style="52"/>
    <col min="9473" max="9473" width="40.28515625" style="52" bestFit="1" customWidth="1"/>
    <col min="9474" max="9474" width="10" style="52" customWidth="1"/>
    <col min="9475" max="9475" width="10.140625" style="52" customWidth="1"/>
    <col min="9476" max="9476" width="12.28515625" style="52" customWidth="1"/>
    <col min="9477" max="9477" width="15.7109375" style="52" customWidth="1"/>
    <col min="9478" max="9478" width="12.85546875" style="52" customWidth="1"/>
    <col min="9479" max="9479" width="12.7109375" style="52" customWidth="1"/>
    <col min="9480" max="9480" width="12.85546875" style="52" customWidth="1"/>
    <col min="9481" max="9481" width="14.42578125" style="52" customWidth="1"/>
    <col min="9482" max="9726" width="9.140625" style="52"/>
    <col min="9727" max="9727" width="2.7109375" style="52" customWidth="1"/>
    <col min="9728" max="9728" width="9.140625" style="52"/>
    <col min="9729" max="9729" width="40.28515625" style="52" bestFit="1" customWidth="1"/>
    <col min="9730" max="9730" width="10" style="52" customWidth="1"/>
    <col min="9731" max="9731" width="10.140625" style="52" customWidth="1"/>
    <col min="9732" max="9732" width="12.28515625" style="52" customWidth="1"/>
    <col min="9733" max="9733" width="15.7109375" style="52" customWidth="1"/>
    <col min="9734" max="9734" width="12.85546875" style="52" customWidth="1"/>
    <col min="9735" max="9735" width="12.7109375" style="52" customWidth="1"/>
    <col min="9736" max="9736" width="12.85546875" style="52" customWidth="1"/>
    <col min="9737" max="9737" width="14.42578125" style="52" customWidth="1"/>
    <col min="9738" max="9982" width="9.140625" style="52"/>
    <col min="9983" max="9983" width="2.7109375" style="52" customWidth="1"/>
    <col min="9984" max="9984" width="9.140625" style="52"/>
    <col min="9985" max="9985" width="40.28515625" style="52" bestFit="1" customWidth="1"/>
    <col min="9986" max="9986" width="10" style="52" customWidth="1"/>
    <col min="9987" max="9987" width="10.140625" style="52" customWidth="1"/>
    <col min="9988" max="9988" width="12.28515625" style="52" customWidth="1"/>
    <col min="9989" max="9989" width="15.7109375" style="52" customWidth="1"/>
    <col min="9990" max="9990" width="12.85546875" style="52" customWidth="1"/>
    <col min="9991" max="9991" width="12.7109375" style="52" customWidth="1"/>
    <col min="9992" max="9992" width="12.85546875" style="52" customWidth="1"/>
    <col min="9993" max="9993" width="14.42578125" style="52" customWidth="1"/>
    <col min="9994" max="10238" width="9.140625" style="52"/>
    <col min="10239" max="10239" width="2.7109375" style="52" customWidth="1"/>
    <col min="10240" max="10240" width="9.140625" style="52"/>
    <col min="10241" max="10241" width="40.28515625" style="52" bestFit="1" customWidth="1"/>
    <col min="10242" max="10242" width="10" style="52" customWidth="1"/>
    <col min="10243" max="10243" width="10.140625" style="52" customWidth="1"/>
    <col min="10244" max="10244" width="12.28515625" style="52" customWidth="1"/>
    <col min="10245" max="10245" width="15.7109375" style="52" customWidth="1"/>
    <col min="10246" max="10246" width="12.85546875" style="52" customWidth="1"/>
    <col min="10247" max="10247" width="12.7109375" style="52" customWidth="1"/>
    <col min="10248" max="10248" width="12.85546875" style="52" customWidth="1"/>
    <col min="10249" max="10249" width="14.42578125" style="52" customWidth="1"/>
    <col min="10250" max="10494" width="9.140625" style="52"/>
    <col min="10495" max="10495" width="2.7109375" style="52" customWidth="1"/>
    <col min="10496" max="10496" width="9.140625" style="52"/>
    <col min="10497" max="10497" width="40.28515625" style="52" bestFit="1" customWidth="1"/>
    <col min="10498" max="10498" width="10" style="52" customWidth="1"/>
    <col min="10499" max="10499" width="10.140625" style="52" customWidth="1"/>
    <col min="10500" max="10500" width="12.28515625" style="52" customWidth="1"/>
    <col min="10501" max="10501" width="15.7109375" style="52" customWidth="1"/>
    <col min="10502" max="10502" width="12.85546875" style="52" customWidth="1"/>
    <col min="10503" max="10503" width="12.7109375" style="52" customWidth="1"/>
    <col min="10504" max="10504" width="12.85546875" style="52" customWidth="1"/>
    <col min="10505" max="10505" width="14.42578125" style="52" customWidth="1"/>
    <col min="10506" max="10750" width="9.140625" style="52"/>
    <col min="10751" max="10751" width="2.7109375" style="52" customWidth="1"/>
    <col min="10752" max="10752" width="9.140625" style="52"/>
    <col min="10753" max="10753" width="40.28515625" style="52" bestFit="1" customWidth="1"/>
    <col min="10754" max="10754" width="10" style="52" customWidth="1"/>
    <col min="10755" max="10755" width="10.140625" style="52" customWidth="1"/>
    <col min="10756" max="10756" width="12.28515625" style="52" customWidth="1"/>
    <col min="10757" max="10757" width="15.7109375" style="52" customWidth="1"/>
    <col min="10758" max="10758" width="12.85546875" style="52" customWidth="1"/>
    <col min="10759" max="10759" width="12.7109375" style="52" customWidth="1"/>
    <col min="10760" max="10760" width="12.85546875" style="52" customWidth="1"/>
    <col min="10761" max="10761" width="14.42578125" style="52" customWidth="1"/>
    <col min="10762" max="11006" width="9.140625" style="52"/>
    <col min="11007" max="11007" width="2.7109375" style="52" customWidth="1"/>
    <col min="11008" max="11008" width="9.140625" style="52"/>
    <col min="11009" max="11009" width="40.28515625" style="52" bestFit="1" customWidth="1"/>
    <col min="11010" max="11010" width="10" style="52" customWidth="1"/>
    <col min="11011" max="11011" width="10.140625" style="52" customWidth="1"/>
    <col min="11012" max="11012" width="12.28515625" style="52" customWidth="1"/>
    <col min="11013" max="11013" width="15.7109375" style="52" customWidth="1"/>
    <col min="11014" max="11014" width="12.85546875" style="52" customWidth="1"/>
    <col min="11015" max="11015" width="12.7109375" style="52" customWidth="1"/>
    <col min="11016" max="11016" width="12.85546875" style="52" customWidth="1"/>
    <col min="11017" max="11017" width="14.42578125" style="52" customWidth="1"/>
    <col min="11018" max="11262" width="9.140625" style="52"/>
    <col min="11263" max="11263" width="2.7109375" style="52" customWidth="1"/>
    <col min="11264" max="11264" width="9.140625" style="52"/>
    <col min="11265" max="11265" width="40.28515625" style="52" bestFit="1" customWidth="1"/>
    <col min="11266" max="11266" width="10" style="52" customWidth="1"/>
    <col min="11267" max="11267" width="10.140625" style="52" customWidth="1"/>
    <col min="11268" max="11268" width="12.28515625" style="52" customWidth="1"/>
    <col min="11269" max="11269" width="15.7109375" style="52" customWidth="1"/>
    <col min="11270" max="11270" width="12.85546875" style="52" customWidth="1"/>
    <col min="11271" max="11271" width="12.7109375" style="52" customWidth="1"/>
    <col min="11272" max="11272" width="12.85546875" style="52" customWidth="1"/>
    <col min="11273" max="11273" width="14.42578125" style="52" customWidth="1"/>
    <col min="11274" max="11518" width="9.140625" style="52"/>
    <col min="11519" max="11519" width="2.7109375" style="52" customWidth="1"/>
    <col min="11520" max="11520" width="9.140625" style="52"/>
    <col min="11521" max="11521" width="40.28515625" style="52" bestFit="1" customWidth="1"/>
    <col min="11522" max="11522" width="10" style="52" customWidth="1"/>
    <col min="11523" max="11523" width="10.140625" style="52" customWidth="1"/>
    <col min="11524" max="11524" width="12.28515625" style="52" customWidth="1"/>
    <col min="11525" max="11525" width="15.7109375" style="52" customWidth="1"/>
    <col min="11526" max="11526" width="12.85546875" style="52" customWidth="1"/>
    <col min="11527" max="11527" width="12.7109375" style="52" customWidth="1"/>
    <col min="11528" max="11528" width="12.85546875" style="52" customWidth="1"/>
    <col min="11529" max="11529" width="14.42578125" style="52" customWidth="1"/>
    <col min="11530" max="11774" width="9.140625" style="52"/>
    <col min="11775" max="11775" width="2.7109375" style="52" customWidth="1"/>
    <col min="11776" max="11776" width="9.140625" style="52"/>
    <col min="11777" max="11777" width="40.28515625" style="52" bestFit="1" customWidth="1"/>
    <col min="11778" max="11778" width="10" style="52" customWidth="1"/>
    <col min="11779" max="11779" width="10.140625" style="52" customWidth="1"/>
    <col min="11780" max="11780" width="12.28515625" style="52" customWidth="1"/>
    <col min="11781" max="11781" width="15.7109375" style="52" customWidth="1"/>
    <col min="11782" max="11782" width="12.85546875" style="52" customWidth="1"/>
    <col min="11783" max="11783" width="12.7109375" style="52" customWidth="1"/>
    <col min="11784" max="11784" width="12.85546875" style="52" customWidth="1"/>
    <col min="11785" max="11785" width="14.42578125" style="52" customWidth="1"/>
    <col min="11786" max="12030" width="9.140625" style="52"/>
    <col min="12031" max="12031" width="2.7109375" style="52" customWidth="1"/>
    <col min="12032" max="12032" width="9.140625" style="52"/>
    <col min="12033" max="12033" width="40.28515625" style="52" bestFit="1" customWidth="1"/>
    <col min="12034" max="12034" width="10" style="52" customWidth="1"/>
    <col min="12035" max="12035" width="10.140625" style="52" customWidth="1"/>
    <col min="12036" max="12036" width="12.28515625" style="52" customWidth="1"/>
    <col min="12037" max="12037" width="15.7109375" style="52" customWidth="1"/>
    <col min="12038" max="12038" width="12.85546875" style="52" customWidth="1"/>
    <col min="12039" max="12039" width="12.7109375" style="52" customWidth="1"/>
    <col min="12040" max="12040" width="12.85546875" style="52" customWidth="1"/>
    <col min="12041" max="12041" width="14.42578125" style="52" customWidth="1"/>
    <col min="12042" max="12286" width="9.140625" style="52"/>
    <col min="12287" max="12287" width="2.7109375" style="52" customWidth="1"/>
    <col min="12288" max="12288" width="9.140625" style="52"/>
    <col min="12289" max="12289" width="40.28515625" style="52" bestFit="1" customWidth="1"/>
    <col min="12290" max="12290" width="10" style="52" customWidth="1"/>
    <col min="12291" max="12291" width="10.140625" style="52" customWidth="1"/>
    <col min="12292" max="12292" width="12.28515625" style="52" customWidth="1"/>
    <col min="12293" max="12293" width="15.7109375" style="52" customWidth="1"/>
    <col min="12294" max="12294" width="12.85546875" style="52" customWidth="1"/>
    <col min="12295" max="12295" width="12.7109375" style="52" customWidth="1"/>
    <col min="12296" max="12296" width="12.85546875" style="52" customWidth="1"/>
    <col min="12297" max="12297" width="14.42578125" style="52" customWidth="1"/>
    <col min="12298" max="12542" width="9.140625" style="52"/>
    <col min="12543" max="12543" width="2.7109375" style="52" customWidth="1"/>
    <col min="12544" max="12544" width="9.140625" style="52"/>
    <col min="12545" max="12545" width="40.28515625" style="52" bestFit="1" customWidth="1"/>
    <col min="12546" max="12546" width="10" style="52" customWidth="1"/>
    <col min="12547" max="12547" width="10.140625" style="52" customWidth="1"/>
    <col min="12548" max="12548" width="12.28515625" style="52" customWidth="1"/>
    <col min="12549" max="12549" width="15.7109375" style="52" customWidth="1"/>
    <col min="12550" max="12550" width="12.85546875" style="52" customWidth="1"/>
    <col min="12551" max="12551" width="12.7109375" style="52" customWidth="1"/>
    <col min="12552" max="12552" width="12.85546875" style="52" customWidth="1"/>
    <col min="12553" max="12553" width="14.42578125" style="52" customWidth="1"/>
    <col min="12554" max="12798" width="9.140625" style="52"/>
    <col min="12799" max="12799" width="2.7109375" style="52" customWidth="1"/>
    <col min="12800" max="12800" width="9.140625" style="52"/>
    <col min="12801" max="12801" width="40.28515625" style="52" bestFit="1" customWidth="1"/>
    <col min="12802" max="12802" width="10" style="52" customWidth="1"/>
    <col min="12803" max="12803" width="10.140625" style="52" customWidth="1"/>
    <col min="12804" max="12804" width="12.28515625" style="52" customWidth="1"/>
    <col min="12805" max="12805" width="15.7109375" style="52" customWidth="1"/>
    <col min="12806" max="12806" width="12.85546875" style="52" customWidth="1"/>
    <col min="12807" max="12807" width="12.7109375" style="52" customWidth="1"/>
    <col min="12808" max="12808" width="12.85546875" style="52" customWidth="1"/>
    <col min="12809" max="12809" width="14.42578125" style="52" customWidth="1"/>
    <col min="12810" max="13054" width="9.140625" style="52"/>
    <col min="13055" max="13055" width="2.7109375" style="52" customWidth="1"/>
    <col min="13056" max="13056" width="9.140625" style="52"/>
    <col min="13057" max="13057" width="40.28515625" style="52" bestFit="1" customWidth="1"/>
    <col min="13058" max="13058" width="10" style="52" customWidth="1"/>
    <col min="13059" max="13059" width="10.140625" style="52" customWidth="1"/>
    <col min="13060" max="13060" width="12.28515625" style="52" customWidth="1"/>
    <col min="13061" max="13061" width="15.7109375" style="52" customWidth="1"/>
    <col min="13062" max="13062" width="12.85546875" style="52" customWidth="1"/>
    <col min="13063" max="13063" width="12.7109375" style="52" customWidth="1"/>
    <col min="13064" max="13064" width="12.85546875" style="52" customWidth="1"/>
    <col min="13065" max="13065" width="14.42578125" style="52" customWidth="1"/>
    <col min="13066" max="13310" width="9.140625" style="52"/>
    <col min="13311" max="13311" width="2.7109375" style="52" customWidth="1"/>
    <col min="13312" max="13312" width="9.140625" style="52"/>
    <col min="13313" max="13313" width="40.28515625" style="52" bestFit="1" customWidth="1"/>
    <col min="13314" max="13314" width="10" style="52" customWidth="1"/>
    <col min="13315" max="13315" width="10.140625" style="52" customWidth="1"/>
    <col min="13316" max="13316" width="12.28515625" style="52" customWidth="1"/>
    <col min="13317" max="13317" width="15.7109375" style="52" customWidth="1"/>
    <col min="13318" max="13318" width="12.85546875" style="52" customWidth="1"/>
    <col min="13319" max="13319" width="12.7109375" style="52" customWidth="1"/>
    <col min="13320" max="13320" width="12.85546875" style="52" customWidth="1"/>
    <col min="13321" max="13321" width="14.42578125" style="52" customWidth="1"/>
    <col min="13322" max="13566" width="9.140625" style="52"/>
    <col min="13567" max="13567" width="2.7109375" style="52" customWidth="1"/>
    <col min="13568" max="13568" width="9.140625" style="52"/>
    <col min="13569" max="13569" width="40.28515625" style="52" bestFit="1" customWidth="1"/>
    <col min="13570" max="13570" width="10" style="52" customWidth="1"/>
    <col min="13571" max="13571" width="10.140625" style="52" customWidth="1"/>
    <col min="13572" max="13572" width="12.28515625" style="52" customWidth="1"/>
    <col min="13573" max="13573" width="15.7109375" style="52" customWidth="1"/>
    <col min="13574" max="13574" width="12.85546875" style="52" customWidth="1"/>
    <col min="13575" max="13575" width="12.7109375" style="52" customWidth="1"/>
    <col min="13576" max="13576" width="12.85546875" style="52" customWidth="1"/>
    <col min="13577" max="13577" width="14.42578125" style="52" customWidth="1"/>
    <col min="13578" max="13822" width="9.140625" style="52"/>
    <col min="13823" max="13823" width="2.7109375" style="52" customWidth="1"/>
    <col min="13824" max="13824" width="9.140625" style="52"/>
    <col min="13825" max="13825" width="40.28515625" style="52" bestFit="1" customWidth="1"/>
    <col min="13826" max="13826" width="10" style="52" customWidth="1"/>
    <col min="13827" max="13827" width="10.140625" style="52" customWidth="1"/>
    <col min="13828" max="13828" width="12.28515625" style="52" customWidth="1"/>
    <col min="13829" max="13829" width="15.7109375" style="52" customWidth="1"/>
    <col min="13830" max="13830" width="12.85546875" style="52" customWidth="1"/>
    <col min="13831" max="13831" width="12.7109375" style="52" customWidth="1"/>
    <col min="13832" max="13832" width="12.85546875" style="52" customWidth="1"/>
    <col min="13833" max="13833" width="14.42578125" style="52" customWidth="1"/>
    <col min="13834" max="14078" width="9.140625" style="52"/>
    <col min="14079" max="14079" width="2.7109375" style="52" customWidth="1"/>
    <col min="14080" max="14080" width="9.140625" style="52"/>
    <col min="14081" max="14081" width="40.28515625" style="52" bestFit="1" customWidth="1"/>
    <col min="14082" max="14082" width="10" style="52" customWidth="1"/>
    <col min="14083" max="14083" width="10.140625" style="52" customWidth="1"/>
    <col min="14084" max="14084" width="12.28515625" style="52" customWidth="1"/>
    <col min="14085" max="14085" width="15.7109375" style="52" customWidth="1"/>
    <col min="14086" max="14086" width="12.85546875" style="52" customWidth="1"/>
    <col min="14087" max="14087" width="12.7109375" style="52" customWidth="1"/>
    <col min="14088" max="14088" width="12.85546875" style="52" customWidth="1"/>
    <col min="14089" max="14089" width="14.42578125" style="52" customWidth="1"/>
    <col min="14090" max="14334" width="9.140625" style="52"/>
    <col min="14335" max="14335" width="2.7109375" style="52" customWidth="1"/>
    <col min="14336" max="14336" width="9.140625" style="52"/>
    <col min="14337" max="14337" width="40.28515625" style="52" bestFit="1" customWidth="1"/>
    <col min="14338" max="14338" width="10" style="52" customWidth="1"/>
    <col min="14339" max="14339" width="10.140625" style="52" customWidth="1"/>
    <col min="14340" max="14340" width="12.28515625" style="52" customWidth="1"/>
    <col min="14341" max="14341" width="15.7109375" style="52" customWidth="1"/>
    <col min="14342" max="14342" width="12.85546875" style="52" customWidth="1"/>
    <col min="14343" max="14343" width="12.7109375" style="52" customWidth="1"/>
    <col min="14344" max="14344" width="12.85546875" style="52" customWidth="1"/>
    <col min="14345" max="14345" width="14.42578125" style="52" customWidth="1"/>
    <col min="14346" max="14590" width="9.140625" style="52"/>
    <col min="14591" max="14591" width="2.7109375" style="52" customWidth="1"/>
    <col min="14592" max="14592" width="9.140625" style="52"/>
    <col min="14593" max="14593" width="40.28515625" style="52" bestFit="1" customWidth="1"/>
    <col min="14594" max="14594" width="10" style="52" customWidth="1"/>
    <col min="14595" max="14595" width="10.140625" style="52" customWidth="1"/>
    <col min="14596" max="14596" width="12.28515625" style="52" customWidth="1"/>
    <col min="14597" max="14597" width="15.7109375" style="52" customWidth="1"/>
    <col min="14598" max="14598" width="12.85546875" style="52" customWidth="1"/>
    <col min="14599" max="14599" width="12.7109375" style="52" customWidth="1"/>
    <col min="14600" max="14600" width="12.85546875" style="52" customWidth="1"/>
    <col min="14601" max="14601" width="14.42578125" style="52" customWidth="1"/>
    <col min="14602" max="14846" width="9.140625" style="52"/>
    <col min="14847" max="14847" width="2.7109375" style="52" customWidth="1"/>
    <col min="14848" max="14848" width="9.140625" style="52"/>
    <col min="14849" max="14849" width="40.28515625" style="52" bestFit="1" customWidth="1"/>
    <col min="14850" max="14850" width="10" style="52" customWidth="1"/>
    <col min="14851" max="14851" width="10.140625" style="52" customWidth="1"/>
    <col min="14852" max="14852" width="12.28515625" style="52" customWidth="1"/>
    <col min="14853" max="14853" width="15.7109375" style="52" customWidth="1"/>
    <col min="14854" max="14854" width="12.85546875" style="52" customWidth="1"/>
    <col min="14855" max="14855" width="12.7109375" style="52" customWidth="1"/>
    <col min="14856" max="14856" width="12.85546875" style="52" customWidth="1"/>
    <col min="14857" max="14857" width="14.42578125" style="52" customWidth="1"/>
    <col min="14858" max="15102" width="9.140625" style="52"/>
    <col min="15103" max="15103" width="2.7109375" style="52" customWidth="1"/>
    <col min="15104" max="15104" width="9.140625" style="52"/>
    <col min="15105" max="15105" width="40.28515625" style="52" bestFit="1" customWidth="1"/>
    <col min="15106" max="15106" width="10" style="52" customWidth="1"/>
    <col min="15107" max="15107" width="10.140625" style="52" customWidth="1"/>
    <col min="15108" max="15108" width="12.28515625" style="52" customWidth="1"/>
    <col min="15109" max="15109" width="15.7109375" style="52" customWidth="1"/>
    <col min="15110" max="15110" width="12.85546875" style="52" customWidth="1"/>
    <col min="15111" max="15111" width="12.7109375" style="52" customWidth="1"/>
    <col min="15112" max="15112" width="12.85546875" style="52" customWidth="1"/>
    <col min="15113" max="15113" width="14.42578125" style="52" customWidth="1"/>
    <col min="15114" max="15358" width="9.140625" style="52"/>
    <col min="15359" max="15359" width="2.7109375" style="52" customWidth="1"/>
    <col min="15360" max="15360" width="9.140625" style="52"/>
    <col min="15361" max="15361" width="40.28515625" style="52" bestFit="1" customWidth="1"/>
    <col min="15362" max="15362" width="10" style="52" customWidth="1"/>
    <col min="15363" max="15363" width="10.140625" style="52" customWidth="1"/>
    <col min="15364" max="15364" width="12.28515625" style="52" customWidth="1"/>
    <col min="15365" max="15365" width="15.7109375" style="52" customWidth="1"/>
    <col min="15366" max="15366" width="12.85546875" style="52" customWidth="1"/>
    <col min="15367" max="15367" width="12.7109375" style="52" customWidth="1"/>
    <col min="15368" max="15368" width="12.85546875" style="52" customWidth="1"/>
    <col min="15369" max="15369" width="14.42578125" style="52" customWidth="1"/>
    <col min="15370" max="15614" width="9.140625" style="52"/>
    <col min="15615" max="15615" width="2.7109375" style="52" customWidth="1"/>
    <col min="15616" max="15616" width="9.140625" style="52"/>
    <col min="15617" max="15617" width="40.28515625" style="52" bestFit="1" customWidth="1"/>
    <col min="15618" max="15618" width="10" style="52" customWidth="1"/>
    <col min="15619" max="15619" width="10.140625" style="52" customWidth="1"/>
    <col min="15620" max="15620" width="12.28515625" style="52" customWidth="1"/>
    <col min="15621" max="15621" width="15.7109375" style="52" customWidth="1"/>
    <col min="15622" max="15622" width="12.85546875" style="52" customWidth="1"/>
    <col min="15623" max="15623" width="12.7109375" style="52" customWidth="1"/>
    <col min="15624" max="15624" width="12.85546875" style="52" customWidth="1"/>
    <col min="15625" max="15625" width="14.42578125" style="52" customWidth="1"/>
    <col min="15626" max="15870" width="9.140625" style="52"/>
    <col min="15871" max="15871" width="2.7109375" style="52" customWidth="1"/>
    <col min="15872" max="15872" width="9.140625" style="52"/>
    <col min="15873" max="15873" width="40.28515625" style="52" bestFit="1" customWidth="1"/>
    <col min="15874" max="15874" width="10" style="52" customWidth="1"/>
    <col min="15875" max="15875" width="10.140625" style="52" customWidth="1"/>
    <col min="15876" max="15876" width="12.28515625" style="52" customWidth="1"/>
    <col min="15877" max="15877" width="15.7109375" style="52" customWidth="1"/>
    <col min="15878" max="15878" width="12.85546875" style="52" customWidth="1"/>
    <col min="15879" max="15879" width="12.7109375" style="52" customWidth="1"/>
    <col min="15880" max="15880" width="12.85546875" style="52" customWidth="1"/>
    <col min="15881" max="15881" width="14.42578125" style="52" customWidth="1"/>
    <col min="15882" max="16126" width="9.140625" style="52"/>
    <col min="16127" max="16127" width="2.7109375" style="52" customWidth="1"/>
    <col min="16128" max="16128" width="9.140625" style="52"/>
    <col min="16129" max="16129" width="40.28515625" style="52" bestFit="1" customWidth="1"/>
    <col min="16130" max="16130" width="10" style="52" customWidth="1"/>
    <col min="16131" max="16131" width="10.140625" style="52" customWidth="1"/>
    <col min="16132" max="16132" width="12.28515625" style="52" customWidth="1"/>
    <col min="16133" max="16133" width="15.7109375" style="52" customWidth="1"/>
    <col min="16134" max="16134" width="12.85546875" style="52" customWidth="1"/>
    <col min="16135" max="16135" width="12.7109375" style="52" customWidth="1"/>
    <col min="16136" max="16136" width="12.85546875" style="52" customWidth="1"/>
    <col min="16137" max="16137" width="14.42578125" style="52" customWidth="1"/>
    <col min="16138" max="16384" width="9.140625" style="52"/>
  </cols>
  <sheetData>
    <row r="1" spans="1:13" x14ac:dyDescent="0.2">
      <c r="C1" s="155"/>
      <c r="D1" s="154"/>
      <c r="E1" s="155"/>
      <c r="F1" s="155"/>
      <c r="G1" s="155"/>
      <c r="H1" s="155"/>
      <c r="I1" s="155"/>
      <c r="J1" s="152" t="s">
        <v>301</v>
      </c>
      <c r="K1" s="1146" t="str">
        <f>EBNUMBER</f>
        <v>EB-2016-0066</v>
      </c>
      <c r="M1" s="155"/>
    </row>
    <row r="2" spans="1:13" x14ac:dyDescent="0.2">
      <c r="C2" s="155"/>
      <c r="D2" s="154"/>
      <c r="E2" s="155"/>
      <c r="F2" s="155"/>
      <c r="G2" s="155"/>
      <c r="H2" s="155"/>
      <c r="I2" s="155"/>
      <c r="J2" s="152" t="s">
        <v>302</v>
      </c>
      <c r="K2" s="51"/>
      <c r="M2" s="155"/>
    </row>
    <row r="3" spans="1:13" x14ac:dyDescent="0.2">
      <c r="C3" s="155"/>
      <c r="D3" s="154"/>
      <c r="E3" s="155"/>
      <c r="F3" s="155"/>
      <c r="G3" s="155"/>
      <c r="H3" s="155"/>
      <c r="I3" s="155"/>
      <c r="J3" s="152" t="s">
        <v>303</v>
      </c>
      <c r="K3" s="51"/>
      <c r="M3" s="155"/>
    </row>
    <row r="4" spans="1:13" x14ac:dyDescent="0.2">
      <c r="C4" s="155"/>
      <c r="D4" s="154"/>
      <c r="E4" s="155"/>
      <c r="F4" s="155"/>
      <c r="G4" s="155"/>
      <c r="H4" s="155"/>
      <c r="I4" s="155"/>
      <c r="J4" s="152" t="s">
        <v>304</v>
      </c>
      <c r="K4" s="51"/>
      <c r="M4" s="155"/>
    </row>
    <row r="5" spans="1:13" x14ac:dyDescent="0.2">
      <c r="C5" s="155"/>
      <c r="D5" s="154"/>
      <c r="E5" s="155"/>
      <c r="F5" s="155"/>
      <c r="G5" s="155"/>
      <c r="H5" s="155"/>
      <c r="I5" s="155"/>
      <c r="J5" s="152" t="s">
        <v>305</v>
      </c>
      <c r="K5" s="1147"/>
      <c r="M5" s="155"/>
    </row>
    <row r="6" spans="1:13" x14ac:dyDescent="0.2">
      <c r="C6" s="155"/>
      <c r="D6" s="154"/>
      <c r="E6" s="155"/>
      <c r="F6" s="155"/>
      <c r="G6" s="155"/>
      <c r="H6" s="155"/>
      <c r="I6" s="155"/>
      <c r="J6" s="152"/>
      <c r="K6" s="1146"/>
      <c r="M6" s="155"/>
    </row>
    <row r="7" spans="1:13" x14ac:dyDescent="0.2">
      <c r="C7" s="155"/>
      <c r="D7" s="154"/>
      <c r="E7" s="155"/>
      <c r="F7" s="155"/>
      <c r="G7" s="155"/>
      <c r="H7" s="155"/>
      <c r="I7" s="155"/>
      <c r="J7" s="152" t="s">
        <v>306</v>
      </c>
      <c r="K7" s="1147"/>
      <c r="M7" s="239"/>
    </row>
    <row r="9" spans="1:13" ht="18" x14ac:dyDescent="0.2">
      <c r="A9" s="1679" t="s">
        <v>1446</v>
      </c>
      <c r="B9" s="1679"/>
      <c r="C9" s="1679"/>
      <c r="D9" s="1679"/>
      <c r="E9" s="1679"/>
      <c r="F9" s="1679"/>
      <c r="G9" s="1679"/>
      <c r="H9" s="1679"/>
      <c r="I9" s="1679"/>
    </row>
    <row r="10" spans="1:13" ht="18" x14ac:dyDescent="0.2">
      <c r="A10" s="1679" t="s">
        <v>2</v>
      </c>
      <c r="B10" s="1679"/>
      <c r="C10" s="1679"/>
      <c r="D10" s="1679"/>
      <c r="E10" s="1679"/>
      <c r="F10" s="1679"/>
      <c r="G10" s="1679"/>
      <c r="H10" s="1679"/>
      <c r="I10" s="1679"/>
    </row>
    <row r="11" spans="1:13" ht="24" customHeight="1" x14ac:dyDescent="0.2">
      <c r="A11" s="1680" t="s">
        <v>1094</v>
      </c>
      <c r="B11" s="1680"/>
      <c r="C11" s="1680"/>
      <c r="D11" s="1680"/>
      <c r="E11" s="1680"/>
      <c r="F11" s="1680"/>
      <c r="G11" s="1680"/>
      <c r="H11" s="1680"/>
      <c r="I11" s="295"/>
      <c r="J11" s="295"/>
    </row>
    <row r="12" spans="1:13" ht="24" customHeight="1" x14ac:dyDescent="0.2">
      <c r="A12" s="1113"/>
      <c r="B12" s="1113"/>
      <c r="C12" s="1113"/>
      <c r="D12" s="1113"/>
      <c r="E12" s="1113"/>
      <c r="F12" s="1113"/>
      <c r="G12" s="1113"/>
      <c r="H12" s="1113"/>
      <c r="I12" s="295"/>
      <c r="J12" s="295"/>
    </row>
    <row r="13" spans="1:13" ht="49.5" customHeight="1" x14ac:dyDescent="0.25">
      <c r="A13" s="1700" t="s">
        <v>1042</v>
      </c>
      <c r="B13" s="1701"/>
      <c r="C13" s="878"/>
      <c r="D13" s="1115"/>
      <c r="E13" s="1145"/>
      <c r="F13" s="1145"/>
      <c r="G13" s="1145"/>
      <c r="H13" s="1113"/>
      <c r="I13" s="1113"/>
      <c r="J13" s="1116" t="s">
        <v>1057</v>
      </c>
      <c r="K13" s="1116" t="s">
        <v>882</v>
      </c>
    </row>
    <row r="14" spans="1:13" ht="42.75" customHeight="1" x14ac:dyDescent="0.2">
      <c r="A14" s="1693" t="s">
        <v>1101</v>
      </c>
      <c r="B14" s="1694"/>
      <c r="C14" s="1682" t="s">
        <v>1076</v>
      </c>
      <c r="D14" s="1652"/>
      <c r="E14" s="1652"/>
      <c r="F14" s="1652"/>
      <c r="G14" s="1652"/>
      <c r="H14" s="1652"/>
      <c r="I14" s="1652"/>
      <c r="J14" s="1118">
        <v>2017</v>
      </c>
      <c r="K14" s="1125" t="s">
        <v>105</v>
      </c>
    </row>
    <row r="15" spans="1:13" ht="44.25" customHeight="1" x14ac:dyDescent="0.2">
      <c r="A15" s="1149" t="s">
        <v>266</v>
      </c>
      <c r="B15" s="1148" t="s">
        <v>1095</v>
      </c>
      <c r="C15" s="1682" t="s">
        <v>1096</v>
      </c>
      <c r="D15" s="1652"/>
      <c r="E15" s="1652"/>
      <c r="F15" s="1652"/>
      <c r="G15" s="1652"/>
      <c r="H15" s="1652"/>
      <c r="I15" s="1652"/>
      <c r="J15" s="1118" t="s">
        <v>266</v>
      </c>
      <c r="K15" s="1125" t="s">
        <v>266</v>
      </c>
    </row>
    <row r="16" spans="1:13" ht="13.5" customHeight="1" x14ac:dyDescent="0.25">
      <c r="A16" s="1139"/>
      <c r="B16" s="1139"/>
      <c r="C16" s="1145"/>
      <c r="D16" s="1145"/>
      <c r="E16" s="1139"/>
      <c r="F16" s="1139"/>
      <c r="G16" s="1139"/>
      <c r="H16" s="1139"/>
    </row>
    <row r="17" spans="1:11" ht="13.5" thickBot="1" x14ac:dyDescent="0.25"/>
    <row r="18" spans="1:11" ht="62.25" customHeight="1" x14ac:dyDescent="0.2">
      <c r="A18" s="313" t="s">
        <v>3</v>
      </c>
      <c r="B18" s="1687" t="s">
        <v>235</v>
      </c>
      <c r="C18" s="245" t="s">
        <v>237</v>
      </c>
      <c r="D18" s="245" t="s">
        <v>395</v>
      </c>
      <c r="E18" s="245" t="s">
        <v>385</v>
      </c>
      <c r="F18" s="277" t="s">
        <v>1086</v>
      </c>
      <c r="G18" s="1697" t="s">
        <v>1062</v>
      </c>
      <c r="H18" s="245" t="s">
        <v>388</v>
      </c>
      <c r="I18" s="1150"/>
      <c r="J18" s="1710"/>
      <c r="K18" s="1150"/>
    </row>
    <row r="19" spans="1:11" ht="57.75" customHeight="1" thickBot="1" x14ac:dyDescent="0.25">
      <c r="A19" s="314"/>
      <c r="B19" s="1696"/>
      <c r="C19" s="278" t="s">
        <v>5</v>
      </c>
      <c r="D19" s="278" t="s">
        <v>7</v>
      </c>
      <c r="E19" s="278" t="s">
        <v>8</v>
      </c>
      <c r="F19" s="296" t="s">
        <v>1087</v>
      </c>
      <c r="G19" s="1698"/>
      <c r="H19" s="278" t="s">
        <v>382</v>
      </c>
      <c r="I19" s="1151"/>
      <c r="J19" s="1710"/>
      <c r="K19" s="1152"/>
    </row>
    <row r="20" spans="1:11" ht="25.5" x14ac:dyDescent="0.2">
      <c r="A20" s="315">
        <v>1611</v>
      </c>
      <c r="B20" s="316" t="s">
        <v>381</v>
      </c>
      <c r="C20" s="173"/>
      <c r="D20" s="317"/>
      <c r="E20" s="318">
        <f t="shared" ref="E20:E57" si="0">IF(D20=0,0,1/D20)</f>
        <v>0</v>
      </c>
      <c r="F20" s="191">
        <f>IF(D20=0,'App.2-CF_DepExp_Yr5'!K20,+'App.2-CF_DepExp_Yr5'!K20+((C20*0.5)/D20))</f>
        <v>0</v>
      </c>
      <c r="G20" s="323"/>
      <c r="H20" s="191">
        <f t="shared" ref="H20:H57" si="1">IF(ISERROR(+F20-G20), 0, +F20-G20)</f>
        <v>0</v>
      </c>
      <c r="I20" s="291"/>
      <c r="J20" s="195"/>
      <c r="K20" s="1153"/>
    </row>
    <row r="21" spans="1:11" x14ac:dyDescent="0.2">
      <c r="A21" s="1141">
        <v>1612</v>
      </c>
      <c r="B21" s="172" t="s">
        <v>442</v>
      </c>
      <c r="C21" s="173"/>
      <c r="D21" s="250"/>
      <c r="E21" s="252">
        <f t="shared" si="0"/>
        <v>0</v>
      </c>
      <c r="F21" s="191">
        <f>IF(D21=0,'App.2-CF_DepExp_Yr5'!K21,+'App.2-CF_DepExp_Yr5'!K21+((C21*0.5)/D21))</f>
        <v>0</v>
      </c>
      <c r="G21" s="324"/>
      <c r="H21" s="191">
        <f t="shared" si="1"/>
        <v>0</v>
      </c>
      <c r="I21" s="291"/>
      <c r="J21" s="195"/>
      <c r="K21" s="1153"/>
    </row>
    <row r="22" spans="1:11" x14ac:dyDescent="0.2">
      <c r="A22" s="253">
        <v>1805</v>
      </c>
      <c r="B22" s="179" t="s">
        <v>267</v>
      </c>
      <c r="C22" s="173"/>
      <c r="D22" s="250"/>
      <c r="E22" s="252">
        <f t="shared" si="0"/>
        <v>0</v>
      </c>
      <c r="F22" s="191">
        <f>IF(D22=0,'App.2-CF_DepExp_Yr5'!K22,+'App.2-CF_DepExp_Yr5'!K22+((C22*0.5)/D22))</f>
        <v>0</v>
      </c>
      <c r="G22" s="324"/>
      <c r="H22" s="191">
        <f t="shared" si="1"/>
        <v>0</v>
      </c>
      <c r="I22" s="291"/>
      <c r="J22" s="195"/>
      <c r="K22" s="1153"/>
    </row>
    <row r="23" spans="1:11" x14ac:dyDescent="0.2">
      <c r="A23" s="1141">
        <v>1808</v>
      </c>
      <c r="B23" s="180" t="s">
        <v>268</v>
      </c>
      <c r="C23" s="173"/>
      <c r="D23" s="250"/>
      <c r="E23" s="252">
        <f t="shared" si="0"/>
        <v>0</v>
      </c>
      <c r="F23" s="191">
        <f>IF(D23=0,'App.2-CF_DepExp_Yr5'!K23,+'App.2-CF_DepExp_Yr5'!K23+((C23*0.5)/D23))</f>
        <v>0</v>
      </c>
      <c r="G23" s="324"/>
      <c r="H23" s="191">
        <f t="shared" si="1"/>
        <v>0</v>
      </c>
      <c r="I23" s="291"/>
      <c r="J23" s="195"/>
      <c r="K23" s="1153"/>
    </row>
    <row r="24" spans="1:11" x14ac:dyDescent="0.2">
      <c r="A24" s="1141">
        <v>1810</v>
      </c>
      <c r="B24" s="180" t="s">
        <v>299</v>
      </c>
      <c r="C24" s="173"/>
      <c r="D24" s="250"/>
      <c r="E24" s="252">
        <f t="shared" si="0"/>
        <v>0</v>
      </c>
      <c r="F24" s="191">
        <f>IF(D24=0,'App.2-CF_DepExp_Yr5'!K24,+'App.2-CF_DepExp_Yr5'!K24+((C24*0.5)/D24))</f>
        <v>0</v>
      </c>
      <c r="G24" s="324"/>
      <c r="H24" s="191">
        <f t="shared" si="1"/>
        <v>0</v>
      </c>
      <c r="I24" s="291"/>
      <c r="J24" s="195"/>
      <c r="K24" s="1153"/>
    </row>
    <row r="25" spans="1:11" x14ac:dyDescent="0.2">
      <c r="A25" s="1141">
        <v>1815</v>
      </c>
      <c r="B25" s="180" t="s">
        <v>269</v>
      </c>
      <c r="C25" s="173"/>
      <c r="D25" s="250"/>
      <c r="E25" s="252">
        <f t="shared" si="0"/>
        <v>0</v>
      </c>
      <c r="F25" s="191">
        <f>IF(D25=0,'App.2-CF_DepExp_Yr5'!K25,+'App.2-CF_DepExp_Yr5'!K25+((C25*0.5)/D25))</f>
        <v>0</v>
      </c>
      <c r="G25" s="324"/>
      <c r="H25" s="191">
        <f t="shared" si="1"/>
        <v>0</v>
      </c>
      <c r="I25" s="291"/>
      <c r="J25" s="195"/>
      <c r="K25" s="1153"/>
    </row>
    <row r="26" spans="1:11" x14ac:dyDescent="0.2">
      <c r="A26" s="1141">
        <v>1820</v>
      </c>
      <c r="B26" s="172" t="s">
        <v>207</v>
      </c>
      <c r="C26" s="173"/>
      <c r="D26" s="250"/>
      <c r="E26" s="252">
        <f t="shared" si="0"/>
        <v>0</v>
      </c>
      <c r="F26" s="191">
        <f>IF(D26=0,'App.2-CF_DepExp_Yr5'!K26,+'App.2-CF_DepExp_Yr5'!K26+((C26*0.5)/D26))</f>
        <v>0</v>
      </c>
      <c r="G26" s="324"/>
      <c r="H26" s="191">
        <f t="shared" si="1"/>
        <v>0</v>
      </c>
      <c r="I26" s="291"/>
      <c r="J26" s="195"/>
      <c r="K26" s="1153"/>
    </row>
    <row r="27" spans="1:11" x14ac:dyDescent="0.2">
      <c r="A27" s="1141">
        <v>1825</v>
      </c>
      <c r="B27" s="180" t="s">
        <v>270</v>
      </c>
      <c r="C27" s="173"/>
      <c r="D27" s="250"/>
      <c r="E27" s="252">
        <f t="shared" si="0"/>
        <v>0</v>
      </c>
      <c r="F27" s="191">
        <f>IF(D27=0,'App.2-CF_DepExp_Yr5'!K27,+'App.2-CF_DepExp_Yr5'!K27+((C27*0.5)/D27))</f>
        <v>0</v>
      </c>
      <c r="G27" s="324"/>
      <c r="H27" s="191">
        <f t="shared" si="1"/>
        <v>0</v>
      </c>
      <c r="I27" s="291"/>
      <c r="J27" s="195"/>
      <c r="K27" s="1153"/>
    </row>
    <row r="28" spans="1:11" x14ac:dyDescent="0.2">
      <c r="A28" s="1141">
        <v>1830</v>
      </c>
      <c r="B28" s="180" t="s">
        <v>271</v>
      </c>
      <c r="C28" s="173"/>
      <c r="D28" s="250"/>
      <c r="E28" s="252">
        <f t="shared" si="0"/>
        <v>0</v>
      </c>
      <c r="F28" s="191">
        <f>IF(D28=0,'App.2-CF_DepExp_Yr5'!K28,+'App.2-CF_DepExp_Yr5'!K28+((C28*0.5)/D28))</f>
        <v>0</v>
      </c>
      <c r="G28" s="324"/>
      <c r="H28" s="191">
        <f t="shared" si="1"/>
        <v>0</v>
      </c>
      <c r="I28" s="291"/>
      <c r="J28" s="195"/>
      <c r="K28" s="1153"/>
    </row>
    <row r="29" spans="1:11" x14ac:dyDescent="0.2">
      <c r="A29" s="1141">
        <v>1835</v>
      </c>
      <c r="B29" s="180" t="s">
        <v>208</v>
      </c>
      <c r="C29" s="173"/>
      <c r="D29" s="250"/>
      <c r="E29" s="252">
        <f t="shared" si="0"/>
        <v>0</v>
      </c>
      <c r="F29" s="191">
        <f>IF(D29=0,'App.2-CF_DepExp_Yr5'!K29,+'App.2-CF_DepExp_Yr5'!K29+((C29*0.5)/D29))</f>
        <v>0</v>
      </c>
      <c r="G29" s="324"/>
      <c r="H29" s="191">
        <f t="shared" si="1"/>
        <v>0</v>
      </c>
      <c r="I29" s="291"/>
      <c r="J29" s="195"/>
      <c r="K29" s="1153"/>
    </row>
    <row r="30" spans="1:11" x14ac:dyDescent="0.2">
      <c r="A30" s="1141">
        <v>1840</v>
      </c>
      <c r="B30" s="180" t="s">
        <v>209</v>
      </c>
      <c r="C30" s="173"/>
      <c r="D30" s="250"/>
      <c r="E30" s="252">
        <f t="shared" si="0"/>
        <v>0</v>
      </c>
      <c r="F30" s="191">
        <f>IF(D30=0,'App.2-CF_DepExp_Yr5'!K30,+'App.2-CF_DepExp_Yr5'!K30+((C30*0.5)/D30))</f>
        <v>0</v>
      </c>
      <c r="G30" s="324"/>
      <c r="H30" s="191">
        <f t="shared" si="1"/>
        <v>0</v>
      </c>
      <c r="I30" s="291"/>
      <c r="J30" s="195"/>
      <c r="K30" s="1153"/>
    </row>
    <row r="31" spans="1:11" x14ac:dyDescent="0.2">
      <c r="A31" s="1141">
        <v>1845</v>
      </c>
      <c r="B31" s="180" t="s">
        <v>210</v>
      </c>
      <c r="C31" s="173"/>
      <c r="D31" s="250"/>
      <c r="E31" s="252">
        <f t="shared" si="0"/>
        <v>0</v>
      </c>
      <c r="F31" s="191">
        <f>IF(D31=0,'App.2-CF_DepExp_Yr5'!K31,+'App.2-CF_DepExp_Yr5'!K31+((C31*0.5)/D31))</f>
        <v>0</v>
      </c>
      <c r="G31" s="324"/>
      <c r="H31" s="191">
        <f t="shared" si="1"/>
        <v>0</v>
      </c>
      <c r="I31" s="291"/>
      <c r="J31" s="195"/>
      <c r="K31" s="1153"/>
    </row>
    <row r="32" spans="1:11" x14ac:dyDescent="0.2">
      <c r="A32" s="1141">
        <v>1850</v>
      </c>
      <c r="B32" s="180" t="s">
        <v>272</v>
      </c>
      <c r="C32" s="173"/>
      <c r="D32" s="250"/>
      <c r="E32" s="252">
        <f t="shared" si="0"/>
        <v>0</v>
      </c>
      <c r="F32" s="191">
        <f>IF(D32=0,'App.2-CF_DepExp_Yr5'!K32,+'App.2-CF_DepExp_Yr5'!K32+((C32*0.5)/D32))</f>
        <v>0</v>
      </c>
      <c r="G32" s="324"/>
      <c r="H32" s="191">
        <f t="shared" si="1"/>
        <v>0</v>
      </c>
      <c r="I32" s="291"/>
      <c r="J32" s="195"/>
      <c r="K32" s="1153"/>
    </row>
    <row r="33" spans="1:11" x14ac:dyDescent="0.2">
      <c r="A33" s="1141">
        <v>1855</v>
      </c>
      <c r="B33" s="180" t="s">
        <v>211</v>
      </c>
      <c r="C33" s="173"/>
      <c r="D33" s="250"/>
      <c r="E33" s="252">
        <f t="shared" si="0"/>
        <v>0</v>
      </c>
      <c r="F33" s="191">
        <f>IF(D33=0,'App.2-CF_DepExp_Yr5'!K33,+'App.2-CF_DepExp_Yr5'!K33+((C33*0.5)/D33))</f>
        <v>0</v>
      </c>
      <c r="G33" s="324"/>
      <c r="H33" s="191">
        <f t="shared" si="1"/>
        <v>0</v>
      </c>
      <c r="I33" s="291"/>
      <c r="J33" s="195"/>
      <c r="K33" s="1153"/>
    </row>
    <row r="34" spans="1:11" x14ac:dyDescent="0.2">
      <c r="A34" s="1141">
        <v>1860</v>
      </c>
      <c r="B34" s="180" t="s">
        <v>273</v>
      </c>
      <c r="C34" s="173"/>
      <c r="D34" s="250"/>
      <c r="E34" s="252">
        <f t="shared" si="0"/>
        <v>0</v>
      </c>
      <c r="F34" s="191">
        <f>IF(D34=0,'App.2-CF_DepExp_Yr5'!K34,+'App.2-CF_DepExp_Yr5'!K34+((C34*0.5)/D34))</f>
        <v>0</v>
      </c>
      <c r="G34" s="324"/>
      <c r="H34" s="191">
        <f t="shared" si="1"/>
        <v>0</v>
      </c>
      <c r="I34" s="291"/>
      <c r="J34" s="195"/>
      <c r="K34" s="1153"/>
    </row>
    <row r="35" spans="1:11" x14ac:dyDescent="0.2">
      <c r="A35" s="253">
        <v>1860</v>
      </c>
      <c r="B35" s="179" t="s">
        <v>212</v>
      </c>
      <c r="C35" s="173"/>
      <c r="D35" s="250"/>
      <c r="E35" s="252">
        <f t="shared" si="0"/>
        <v>0</v>
      </c>
      <c r="F35" s="191">
        <f>IF(D35=0,'App.2-CF_DepExp_Yr5'!K35,+'App.2-CF_DepExp_Yr5'!K35+((C35*0.5)/D35))</f>
        <v>0</v>
      </c>
      <c r="G35" s="324"/>
      <c r="H35" s="191">
        <f t="shared" si="1"/>
        <v>0</v>
      </c>
      <c r="I35" s="291"/>
      <c r="J35" s="195"/>
      <c r="K35" s="1153"/>
    </row>
    <row r="36" spans="1:11" x14ac:dyDescent="0.2">
      <c r="A36" s="253">
        <v>1905</v>
      </c>
      <c r="B36" s="179" t="s">
        <v>267</v>
      </c>
      <c r="C36" s="173"/>
      <c r="D36" s="250"/>
      <c r="E36" s="252">
        <f t="shared" si="0"/>
        <v>0</v>
      </c>
      <c r="F36" s="191">
        <f>IF(D36=0,'App.2-CF_DepExp_Yr5'!K36,+'App.2-CF_DepExp_Yr5'!K36+((C36*0.5)/D36))</f>
        <v>0</v>
      </c>
      <c r="G36" s="324"/>
      <c r="H36" s="191">
        <f t="shared" si="1"/>
        <v>0</v>
      </c>
      <c r="I36" s="291"/>
      <c r="J36" s="195"/>
      <c r="K36" s="1153"/>
    </row>
    <row r="37" spans="1:11" x14ac:dyDescent="0.2">
      <c r="A37" s="1141">
        <v>1908</v>
      </c>
      <c r="B37" s="180" t="s">
        <v>275</v>
      </c>
      <c r="C37" s="173"/>
      <c r="D37" s="250"/>
      <c r="E37" s="252">
        <f t="shared" si="0"/>
        <v>0</v>
      </c>
      <c r="F37" s="191">
        <f>IF(D37=0,'App.2-CF_DepExp_Yr5'!K37,+'App.2-CF_DepExp_Yr5'!K37+((C37*0.5)/D37))</f>
        <v>0</v>
      </c>
      <c r="G37" s="324"/>
      <c r="H37" s="191">
        <f t="shared" si="1"/>
        <v>0</v>
      </c>
      <c r="I37" s="291"/>
      <c r="J37" s="195"/>
      <c r="K37" s="1153"/>
    </row>
    <row r="38" spans="1:11" x14ac:dyDescent="0.2">
      <c r="A38" s="1141">
        <v>1910</v>
      </c>
      <c r="B38" s="180" t="s">
        <v>299</v>
      </c>
      <c r="C38" s="173"/>
      <c r="D38" s="250"/>
      <c r="E38" s="252">
        <f t="shared" si="0"/>
        <v>0</v>
      </c>
      <c r="F38" s="191">
        <f>IF(D38=0,'App.2-CF_DepExp_Yr5'!K38,+'App.2-CF_DepExp_Yr5'!K38+((C38*0.5)/D38))</f>
        <v>0</v>
      </c>
      <c r="G38" s="324"/>
      <c r="H38" s="191">
        <f t="shared" si="1"/>
        <v>0</v>
      </c>
      <c r="I38" s="291"/>
      <c r="J38" s="195"/>
      <c r="K38" s="1153"/>
    </row>
    <row r="39" spans="1:11" x14ac:dyDescent="0.2">
      <c r="A39" s="1141">
        <v>1915</v>
      </c>
      <c r="B39" s="180" t="s">
        <v>213</v>
      </c>
      <c r="C39" s="173"/>
      <c r="D39" s="250"/>
      <c r="E39" s="252">
        <f t="shared" si="0"/>
        <v>0</v>
      </c>
      <c r="F39" s="191">
        <f>IF(D39=0,'App.2-CF_DepExp_Yr5'!K39,+'App.2-CF_DepExp_Yr5'!K39+((C39*0.5)/D39))</f>
        <v>0</v>
      </c>
      <c r="G39" s="324"/>
      <c r="H39" s="191">
        <f t="shared" si="1"/>
        <v>0</v>
      </c>
      <c r="I39" s="291"/>
      <c r="J39" s="195"/>
      <c r="K39" s="1153"/>
    </row>
    <row r="40" spans="1:11" x14ac:dyDescent="0.2">
      <c r="A40" s="1141">
        <v>1915</v>
      </c>
      <c r="B40" s="180" t="s">
        <v>214</v>
      </c>
      <c r="C40" s="173"/>
      <c r="D40" s="250"/>
      <c r="E40" s="252">
        <f t="shared" si="0"/>
        <v>0</v>
      </c>
      <c r="F40" s="191">
        <f>IF(D40=0,'App.2-CF_DepExp_Yr5'!K40,+'App.2-CF_DepExp_Yr5'!K40+((C40*0.5)/D40))</f>
        <v>0</v>
      </c>
      <c r="G40" s="324"/>
      <c r="H40" s="191">
        <f t="shared" si="1"/>
        <v>0</v>
      </c>
      <c r="I40" s="291"/>
      <c r="J40" s="195"/>
      <c r="K40" s="1153"/>
    </row>
    <row r="41" spans="1:11" x14ac:dyDescent="0.2">
      <c r="A41" s="1141">
        <v>1920</v>
      </c>
      <c r="B41" s="180" t="s">
        <v>215</v>
      </c>
      <c r="C41" s="173"/>
      <c r="D41" s="250"/>
      <c r="E41" s="252">
        <f t="shared" si="0"/>
        <v>0</v>
      </c>
      <c r="F41" s="191">
        <f>IF(D41=0,'App.2-CF_DepExp_Yr5'!K41,+'App.2-CF_DepExp_Yr5'!K41+((C41*0.5)/D41))</f>
        <v>0</v>
      </c>
      <c r="G41" s="324"/>
      <c r="H41" s="191">
        <f t="shared" si="1"/>
        <v>0</v>
      </c>
      <c r="I41" s="291"/>
      <c r="J41" s="195"/>
      <c r="K41" s="1153"/>
    </row>
    <row r="42" spans="1:11" x14ac:dyDescent="0.2">
      <c r="A42" s="254">
        <v>1920</v>
      </c>
      <c r="B42" s="172" t="s">
        <v>217</v>
      </c>
      <c r="C42" s="173"/>
      <c r="D42" s="250"/>
      <c r="E42" s="252">
        <f t="shared" si="0"/>
        <v>0</v>
      </c>
      <c r="F42" s="191">
        <f>IF(D42=0,'App.2-CF_DepExp_Yr5'!K42,+'App.2-CF_DepExp_Yr5'!K42+((C42*0.5)/D42))</f>
        <v>0</v>
      </c>
      <c r="G42" s="324"/>
      <c r="H42" s="191">
        <f t="shared" si="1"/>
        <v>0</v>
      </c>
      <c r="I42" s="291"/>
      <c r="J42" s="195"/>
      <c r="K42" s="1153"/>
    </row>
    <row r="43" spans="1:11" x14ac:dyDescent="0.2">
      <c r="A43" s="254">
        <v>1920</v>
      </c>
      <c r="B43" s="172" t="s">
        <v>216</v>
      </c>
      <c r="C43" s="173"/>
      <c r="D43" s="250"/>
      <c r="E43" s="252">
        <f t="shared" si="0"/>
        <v>0</v>
      </c>
      <c r="F43" s="191">
        <f>IF(D43=0,'App.2-CF_DepExp_Yr5'!K43,+'App.2-CF_DepExp_Yr5'!K43+((C43*0.5)/D43))</f>
        <v>0</v>
      </c>
      <c r="G43" s="324"/>
      <c r="H43" s="191">
        <f t="shared" si="1"/>
        <v>0</v>
      </c>
      <c r="I43" s="291"/>
      <c r="J43" s="195"/>
      <c r="K43" s="1153"/>
    </row>
    <row r="44" spans="1:11" x14ac:dyDescent="0.2">
      <c r="A44" s="1141">
        <v>1930</v>
      </c>
      <c r="B44" s="180" t="s">
        <v>286</v>
      </c>
      <c r="C44" s="173"/>
      <c r="D44" s="250"/>
      <c r="E44" s="252">
        <f t="shared" si="0"/>
        <v>0</v>
      </c>
      <c r="F44" s="191">
        <f>IF(D44=0,'App.2-CF_DepExp_Yr5'!K44,+'App.2-CF_DepExp_Yr5'!K44+((C44*0.5)/D44))</f>
        <v>0</v>
      </c>
      <c r="G44" s="324"/>
      <c r="H44" s="191">
        <f t="shared" si="1"/>
        <v>0</v>
      </c>
      <c r="I44" s="291"/>
      <c r="J44" s="195"/>
      <c r="K44" s="1153"/>
    </row>
    <row r="45" spans="1:11" x14ac:dyDescent="0.2">
      <c r="A45" s="1141">
        <v>1935</v>
      </c>
      <c r="B45" s="180" t="s">
        <v>287</v>
      </c>
      <c r="C45" s="173"/>
      <c r="D45" s="250"/>
      <c r="E45" s="252">
        <f t="shared" si="0"/>
        <v>0</v>
      </c>
      <c r="F45" s="191">
        <f>IF(D45=0,'App.2-CF_DepExp_Yr5'!K45,+'App.2-CF_DepExp_Yr5'!K45+((C45*0.5)/D45))</f>
        <v>0</v>
      </c>
      <c r="G45" s="324"/>
      <c r="H45" s="191">
        <f t="shared" si="1"/>
        <v>0</v>
      </c>
      <c r="I45" s="291"/>
      <c r="J45" s="195"/>
      <c r="K45" s="1153"/>
    </row>
    <row r="46" spans="1:11" x14ac:dyDescent="0.2">
      <c r="A46" s="1141">
        <v>1940</v>
      </c>
      <c r="B46" s="180" t="s">
        <v>288</v>
      </c>
      <c r="C46" s="173"/>
      <c r="D46" s="250"/>
      <c r="E46" s="252">
        <f t="shared" si="0"/>
        <v>0</v>
      </c>
      <c r="F46" s="191">
        <f>IF(D46=0,'App.2-CF_DepExp_Yr5'!K46,+'App.2-CF_DepExp_Yr5'!K46+((C46*0.5)/D46))</f>
        <v>0</v>
      </c>
      <c r="G46" s="324"/>
      <c r="H46" s="191">
        <f t="shared" si="1"/>
        <v>0</v>
      </c>
      <c r="I46" s="291"/>
      <c r="J46" s="195"/>
      <c r="K46" s="1153"/>
    </row>
    <row r="47" spans="1:11" x14ac:dyDescent="0.2">
      <c r="A47" s="1141">
        <v>1945</v>
      </c>
      <c r="B47" s="180" t="s">
        <v>289</v>
      </c>
      <c r="C47" s="173"/>
      <c r="D47" s="250"/>
      <c r="E47" s="252">
        <f t="shared" si="0"/>
        <v>0</v>
      </c>
      <c r="F47" s="191">
        <f>IF(D47=0,'App.2-CF_DepExp_Yr5'!K47,+'App.2-CF_DepExp_Yr5'!K47+((C47*0.5)/D47))</f>
        <v>0</v>
      </c>
      <c r="G47" s="324"/>
      <c r="H47" s="191">
        <f t="shared" si="1"/>
        <v>0</v>
      </c>
      <c r="I47" s="291"/>
      <c r="J47" s="195"/>
      <c r="K47" s="1153"/>
    </row>
    <row r="48" spans="1:11" x14ac:dyDescent="0.2">
      <c r="A48" s="1141">
        <v>1950</v>
      </c>
      <c r="B48" s="180" t="s">
        <v>218</v>
      </c>
      <c r="C48" s="173"/>
      <c r="D48" s="250"/>
      <c r="E48" s="252">
        <f t="shared" si="0"/>
        <v>0</v>
      </c>
      <c r="F48" s="191">
        <f>IF(D48=0,'App.2-CF_DepExp_Yr5'!K48,+'App.2-CF_DepExp_Yr5'!K48+((C48*0.5)/D48))</f>
        <v>0</v>
      </c>
      <c r="G48" s="324"/>
      <c r="H48" s="191">
        <f t="shared" si="1"/>
        <v>0</v>
      </c>
      <c r="I48" s="291"/>
      <c r="J48" s="195"/>
      <c r="K48" s="1153"/>
    </row>
    <row r="49" spans="1:11" x14ac:dyDescent="0.2">
      <c r="A49" s="1141">
        <v>1955</v>
      </c>
      <c r="B49" s="180" t="s">
        <v>290</v>
      </c>
      <c r="C49" s="173"/>
      <c r="D49" s="250"/>
      <c r="E49" s="252">
        <f t="shared" si="0"/>
        <v>0</v>
      </c>
      <c r="F49" s="191">
        <f>IF(D49=0,'App.2-CF_DepExp_Yr5'!K49,+'App.2-CF_DepExp_Yr5'!K49+((C49*0.5)/D49))</f>
        <v>0</v>
      </c>
      <c r="G49" s="324"/>
      <c r="H49" s="191">
        <f t="shared" si="1"/>
        <v>0</v>
      </c>
      <c r="I49" s="291"/>
      <c r="J49" s="195"/>
      <c r="K49" s="1153"/>
    </row>
    <row r="50" spans="1:11" x14ac:dyDescent="0.2">
      <c r="A50" s="255">
        <v>1955</v>
      </c>
      <c r="B50" s="184" t="s">
        <v>219</v>
      </c>
      <c r="C50" s="173"/>
      <c r="D50" s="250"/>
      <c r="E50" s="252">
        <f t="shared" si="0"/>
        <v>0</v>
      </c>
      <c r="F50" s="191">
        <f>IF(D50=0,'App.2-CF_DepExp_Yr5'!K50,+'App.2-CF_DepExp_Yr5'!K50+((C50*0.5)/D50))</f>
        <v>0</v>
      </c>
      <c r="G50" s="324"/>
      <c r="H50" s="191">
        <f t="shared" si="1"/>
        <v>0</v>
      </c>
      <c r="I50" s="291"/>
      <c r="J50" s="195"/>
      <c r="K50" s="1153"/>
    </row>
    <row r="51" spans="1:11" x14ac:dyDescent="0.2">
      <c r="A51" s="254">
        <v>1960</v>
      </c>
      <c r="B51" s="172" t="s">
        <v>220</v>
      </c>
      <c r="C51" s="173"/>
      <c r="D51" s="250"/>
      <c r="E51" s="252">
        <f t="shared" si="0"/>
        <v>0</v>
      </c>
      <c r="F51" s="191">
        <f>IF(D51=0,'App.2-CF_DepExp_Yr5'!K51,+'App.2-CF_DepExp_Yr5'!K51+((C51*0.5)/D51))</f>
        <v>0</v>
      </c>
      <c r="G51" s="324"/>
      <c r="H51" s="191">
        <f t="shared" si="1"/>
        <v>0</v>
      </c>
      <c r="I51" s="291"/>
      <c r="J51" s="195"/>
      <c r="K51" s="1153"/>
    </row>
    <row r="52" spans="1:11" x14ac:dyDescent="0.2">
      <c r="A52" s="255">
        <v>1970</v>
      </c>
      <c r="B52" s="256" t="s">
        <v>501</v>
      </c>
      <c r="C52" s="173"/>
      <c r="D52" s="250"/>
      <c r="E52" s="252">
        <f t="shared" si="0"/>
        <v>0</v>
      </c>
      <c r="F52" s="191">
        <f>IF(D52=0,'App.2-CF_DepExp_Yr5'!K52,+'App.2-CF_DepExp_Yr5'!K52+((C52*0.5)/D52))</f>
        <v>0</v>
      </c>
      <c r="G52" s="324"/>
      <c r="H52" s="191">
        <f t="shared" si="1"/>
        <v>0</v>
      </c>
      <c r="I52" s="291"/>
      <c r="J52" s="195"/>
      <c r="K52" s="1153"/>
    </row>
    <row r="53" spans="1:11" x14ac:dyDescent="0.2">
      <c r="A53" s="1141">
        <v>1975</v>
      </c>
      <c r="B53" s="180" t="s">
        <v>291</v>
      </c>
      <c r="C53" s="173"/>
      <c r="D53" s="250"/>
      <c r="E53" s="252">
        <f t="shared" si="0"/>
        <v>0</v>
      </c>
      <c r="F53" s="191">
        <f>IF(D53=0,'App.2-CF_DepExp_Yr5'!K53,+'App.2-CF_DepExp_Yr5'!K53+((C53*0.5)/D53))</f>
        <v>0</v>
      </c>
      <c r="G53" s="324"/>
      <c r="H53" s="191">
        <f t="shared" si="1"/>
        <v>0</v>
      </c>
      <c r="I53" s="291"/>
      <c r="J53" s="195"/>
      <c r="K53" s="1153"/>
    </row>
    <row r="54" spans="1:11" x14ac:dyDescent="0.2">
      <c r="A54" s="1141">
        <v>1980</v>
      </c>
      <c r="B54" s="180" t="s">
        <v>292</v>
      </c>
      <c r="C54" s="173"/>
      <c r="D54" s="250"/>
      <c r="E54" s="252">
        <f t="shared" si="0"/>
        <v>0</v>
      </c>
      <c r="F54" s="191">
        <f>IF(D54=0,'App.2-CF_DepExp_Yr5'!K54,+'App.2-CF_DepExp_Yr5'!K54+((C54*0.5)/D54))</f>
        <v>0</v>
      </c>
      <c r="G54" s="324"/>
      <c r="H54" s="191">
        <f t="shared" si="1"/>
        <v>0</v>
      </c>
      <c r="I54" s="291"/>
      <c r="J54" s="195"/>
      <c r="K54" s="1153"/>
    </row>
    <row r="55" spans="1:11" x14ac:dyDescent="0.2">
      <c r="A55" s="1141">
        <v>1985</v>
      </c>
      <c r="B55" s="180" t="s">
        <v>293</v>
      </c>
      <c r="C55" s="173"/>
      <c r="D55" s="250"/>
      <c r="E55" s="252">
        <f t="shared" si="0"/>
        <v>0</v>
      </c>
      <c r="F55" s="191">
        <f>IF(D55=0,'App.2-CF_DepExp_Yr5'!K55,+'App.2-CF_DepExp_Yr5'!K55+((C55*0.5)/D55))</f>
        <v>0</v>
      </c>
      <c r="G55" s="324"/>
      <c r="H55" s="191">
        <f t="shared" si="1"/>
        <v>0</v>
      </c>
      <c r="I55" s="291"/>
      <c r="J55" s="195"/>
      <c r="K55" s="1153"/>
    </row>
    <row r="56" spans="1:11" x14ac:dyDescent="0.2">
      <c r="A56" s="1141">
        <v>1990</v>
      </c>
      <c r="B56" s="1142" t="s">
        <v>502</v>
      </c>
      <c r="C56" s="173"/>
      <c r="D56" s="250"/>
      <c r="E56" s="252">
        <f t="shared" si="0"/>
        <v>0</v>
      </c>
      <c r="F56" s="191">
        <f>IF(D56=0,'App.2-CF_DepExp_Yr5'!K56,+'App.2-CF_DepExp_Yr5'!K56+((C56*0.5)/D56))</f>
        <v>0</v>
      </c>
      <c r="G56" s="324"/>
      <c r="H56" s="191">
        <f t="shared" si="1"/>
        <v>0</v>
      </c>
      <c r="I56" s="291"/>
      <c r="J56" s="195"/>
      <c r="K56" s="1153"/>
    </row>
    <row r="57" spans="1:11" ht="13.5" thickBot="1" x14ac:dyDescent="0.25">
      <c r="A57" s="1143">
        <v>1995</v>
      </c>
      <c r="B57" s="180" t="s">
        <v>294</v>
      </c>
      <c r="C57" s="173"/>
      <c r="D57" s="250"/>
      <c r="E57" s="252">
        <f t="shared" si="0"/>
        <v>0</v>
      </c>
      <c r="F57" s="191">
        <f>IF(D57=0,'App.2-CF_DepExp_Yr5'!K57,+'App.2-CF_DepExp_Yr5'!K57+((C57*0.5)/D57))</f>
        <v>0</v>
      </c>
      <c r="G57" s="325"/>
      <c r="H57" s="285">
        <f t="shared" si="1"/>
        <v>0</v>
      </c>
      <c r="I57" s="291"/>
      <c r="J57" s="195"/>
      <c r="K57" s="1153"/>
    </row>
    <row r="58" spans="1:11" ht="14.25" thickTop="1" thickBot="1" x14ac:dyDescent="0.25">
      <c r="A58" s="261"/>
      <c r="B58" s="301" t="s">
        <v>295</v>
      </c>
      <c r="C58" s="302">
        <f>SUM(C20:C57)</f>
        <v>0</v>
      </c>
      <c r="D58" s="287"/>
      <c r="E58" s="326"/>
      <c r="F58" s="310">
        <f>SUM(F20:F57)</f>
        <v>0</v>
      </c>
      <c r="G58" s="310">
        <f>SUM(G20:G57)</f>
        <v>0</v>
      </c>
      <c r="H58" s="310">
        <f>SUM(H20:H57)</f>
        <v>0</v>
      </c>
      <c r="I58" s="291"/>
      <c r="J58" s="1153"/>
      <c r="K58" s="1153"/>
    </row>
    <row r="59" spans="1:11" x14ac:dyDescent="0.2">
      <c r="A59" s="289"/>
      <c r="B59" s="311" t="s">
        <v>506</v>
      </c>
      <c r="C59" s="312"/>
      <c r="D59" s="312"/>
      <c r="E59" s="312"/>
      <c r="F59" s="173"/>
      <c r="G59" s="312"/>
      <c r="H59" s="312"/>
    </row>
    <row r="60" spans="1:11" ht="27" customHeight="1" x14ac:dyDescent="0.2">
      <c r="B60" s="1684" t="s">
        <v>1079</v>
      </c>
      <c r="C60" s="1684"/>
      <c r="D60" s="1684"/>
      <c r="E60" s="1709"/>
      <c r="F60" s="191">
        <f>SUM(F58:F59)</f>
        <v>0</v>
      </c>
    </row>
    <row r="61" spans="1:11" x14ac:dyDescent="0.2">
      <c r="A61" s="152" t="s">
        <v>11</v>
      </c>
      <c r="B61" s="56"/>
      <c r="C61" s="56"/>
      <c r="D61" s="56"/>
      <c r="E61" s="56"/>
      <c r="F61" s="56"/>
      <c r="G61" s="56"/>
      <c r="H61" s="56"/>
    </row>
    <row r="62" spans="1:11" ht="27" customHeight="1" x14ac:dyDescent="0.2">
      <c r="A62" s="305">
        <v>1</v>
      </c>
      <c r="B62" s="1590" t="s">
        <v>424</v>
      </c>
      <c r="C62" s="1590"/>
      <c r="D62" s="1590"/>
      <c r="E62" s="1590"/>
      <c r="F62" s="1590"/>
      <c r="G62" s="1590"/>
      <c r="H62" s="1590"/>
      <c r="I62" s="1144"/>
    </row>
    <row r="63" spans="1:11" ht="12.75" customHeight="1" x14ac:dyDescent="0.2">
      <c r="A63" s="294">
        <v>2</v>
      </c>
      <c r="B63" s="1590" t="s">
        <v>865</v>
      </c>
      <c r="C63" s="1590"/>
      <c r="D63" s="1590"/>
      <c r="E63" s="1590"/>
      <c r="F63" s="1590"/>
      <c r="G63" s="1590"/>
      <c r="H63" s="1590"/>
      <c r="I63" s="1590"/>
    </row>
    <row r="64" spans="1:11" ht="12.75" customHeight="1" x14ac:dyDescent="0.2">
      <c r="A64" s="327"/>
      <c r="I64" s="1140"/>
    </row>
    <row r="65" spans="1:11" ht="11.25" customHeight="1" x14ac:dyDescent="0.2">
      <c r="A65" s="294"/>
      <c r="B65" s="1590"/>
      <c r="C65" s="1590"/>
      <c r="D65" s="1590"/>
      <c r="E65" s="1590"/>
      <c r="F65" s="1590"/>
      <c r="G65" s="1590"/>
      <c r="H65" s="1590"/>
      <c r="I65" s="1590"/>
    </row>
    <row r="66" spans="1:11" ht="12.75" customHeight="1" x14ac:dyDescent="0.2">
      <c r="A66" s="152" t="s">
        <v>226</v>
      </c>
      <c r="B66" s="1684" t="s">
        <v>190</v>
      </c>
      <c r="C66" s="1684"/>
      <c r="D66" s="1684"/>
      <c r="E66" s="1684"/>
      <c r="F66" s="1684"/>
      <c r="G66" s="1684"/>
      <c r="H66" s="1684"/>
      <c r="I66" s="271"/>
    </row>
    <row r="67" spans="1:11" ht="27" customHeight="1" x14ac:dyDescent="0.2">
      <c r="A67" s="56"/>
      <c r="B67" s="1684"/>
      <c r="C67" s="1684"/>
      <c r="D67" s="1684"/>
      <c r="E67" s="1684"/>
      <c r="F67" s="1684"/>
      <c r="G67" s="1684"/>
      <c r="H67" s="1684"/>
      <c r="I67" s="271"/>
    </row>
    <row r="68" spans="1:11" ht="12.75" customHeight="1" x14ac:dyDescent="0.2">
      <c r="A68" s="152"/>
      <c r="B68" s="1684"/>
      <c r="C68" s="1684"/>
      <c r="D68" s="1684"/>
      <c r="E68" s="1684"/>
      <c r="F68" s="1684"/>
      <c r="G68" s="1684"/>
      <c r="H68" s="1684"/>
      <c r="I68" s="271"/>
    </row>
    <row r="69" spans="1:11" ht="27" customHeight="1" x14ac:dyDescent="0.2">
      <c r="A69" s="56"/>
      <c r="B69" s="1684"/>
      <c r="C69" s="1684"/>
      <c r="D69" s="1684"/>
      <c r="E69" s="1684"/>
      <c r="F69" s="1684"/>
      <c r="G69" s="1684"/>
      <c r="H69" s="1684"/>
      <c r="I69" s="271"/>
    </row>
    <row r="70" spans="1:11" x14ac:dyDescent="0.2">
      <c r="J70" s="322"/>
      <c r="K70" s="322"/>
    </row>
    <row r="71" spans="1:11" ht="23.25" customHeight="1" x14ac:dyDescent="0.2">
      <c r="J71" s="322"/>
      <c r="K71" s="322"/>
    </row>
    <row r="72" spans="1:11" x14ac:dyDescent="0.2">
      <c r="A72" s="56"/>
      <c r="B72" s="322"/>
      <c r="C72" s="322"/>
      <c r="D72" s="322"/>
      <c r="E72" s="322"/>
      <c r="F72" s="322"/>
      <c r="G72" s="322"/>
      <c r="H72" s="322"/>
      <c r="I72" s="322"/>
      <c r="J72" s="322"/>
      <c r="K72" s="322"/>
    </row>
    <row r="73" spans="1:11" x14ac:dyDescent="0.2">
      <c r="A73" s="1144"/>
      <c r="B73" s="1144"/>
      <c r="C73" s="1144"/>
      <c r="D73" s="1144"/>
      <c r="E73" s="1144"/>
      <c r="F73" s="56"/>
      <c r="G73" s="56"/>
      <c r="H73" s="56"/>
    </row>
  </sheetData>
  <mergeCells count="16">
    <mergeCell ref="A9:I9"/>
    <mergeCell ref="A10:I10"/>
    <mergeCell ref="A11:H11"/>
    <mergeCell ref="A13:B13"/>
    <mergeCell ref="A14:B14"/>
    <mergeCell ref="C14:I14"/>
    <mergeCell ref="C15:I15"/>
    <mergeCell ref="B18:B19"/>
    <mergeCell ref="G18:G19"/>
    <mergeCell ref="J18:J19"/>
    <mergeCell ref="B60:E60"/>
    <mergeCell ref="B62:H62"/>
    <mergeCell ref="B63:I63"/>
    <mergeCell ref="B65:I65"/>
    <mergeCell ref="B66:H67"/>
    <mergeCell ref="B68:H69"/>
  </mergeCells>
  <dataValidations count="1">
    <dataValidation allowBlank="1" showInputMessage="1" showErrorMessage="1" promptTitle="Date Format" prompt="E.g:  &quot;August 1, 2011&quot;" sqref="WVO983055 JF7 TB7 ACX7 AMT7 AWP7 BGL7 BQH7 CAD7 CJZ7 CTV7 DDR7 DNN7 DXJ7 EHF7 ERB7 FAX7 FKT7 FUP7 GEL7 GOH7 GYD7 HHZ7 HRV7 IBR7 ILN7 IVJ7 JFF7 JPB7 JYX7 KIT7 KSP7 LCL7 LMH7 LWD7 MFZ7 MPV7 MZR7 NJN7 NTJ7 ODF7 ONB7 OWX7 PGT7 PQP7 QAL7 QKH7 QUD7 RDZ7 RNV7 RXR7 SHN7 SRJ7 TBF7 TLB7 TUX7 UET7 UOP7 UYL7 VIH7 VSD7 WBZ7 WLV7 WVR7 H65551 JC65551 SY65551 ACU65551 AMQ65551 AWM65551 BGI65551 BQE65551 CAA65551 CJW65551 CTS65551 DDO65551 DNK65551 DXG65551 EHC65551 EQY65551 FAU65551 FKQ65551 FUM65551 GEI65551 GOE65551 GYA65551 HHW65551 HRS65551 IBO65551 ILK65551 IVG65551 JFC65551 JOY65551 JYU65551 KIQ65551 KSM65551 LCI65551 LME65551 LWA65551 MFW65551 MPS65551 MZO65551 NJK65551 NTG65551 ODC65551 OMY65551 OWU65551 PGQ65551 PQM65551 QAI65551 QKE65551 QUA65551 RDW65551 RNS65551 RXO65551 SHK65551 SRG65551 TBC65551 TKY65551 TUU65551 UEQ65551 UOM65551 UYI65551 VIE65551 VSA65551 WBW65551 WLS65551 WVO65551 H131087 JC131087 SY131087 ACU131087 AMQ131087 AWM131087 BGI131087 BQE131087 CAA131087 CJW131087 CTS131087 DDO131087 DNK131087 DXG131087 EHC131087 EQY131087 FAU131087 FKQ131087 FUM131087 GEI131087 GOE131087 GYA131087 HHW131087 HRS131087 IBO131087 ILK131087 IVG131087 JFC131087 JOY131087 JYU131087 KIQ131087 KSM131087 LCI131087 LME131087 LWA131087 MFW131087 MPS131087 MZO131087 NJK131087 NTG131087 ODC131087 OMY131087 OWU131087 PGQ131087 PQM131087 QAI131087 QKE131087 QUA131087 RDW131087 RNS131087 RXO131087 SHK131087 SRG131087 TBC131087 TKY131087 TUU131087 UEQ131087 UOM131087 UYI131087 VIE131087 VSA131087 WBW131087 WLS131087 WVO131087 H196623 JC196623 SY196623 ACU196623 AMQ196623 AWM196623 BGI196623 BQE196623 CAA196623 CJW196623 CTS196623 DDO196623 DNK196623 DXG196623 EHC196623 EQY196623 FAU196623 FKQ196623 FUM196623 GEI196623 GOE196623 GYA196623 HHW196623 HRS196623 IBO196623 ILK196623 IVG196623 JFC196623 JOY196623 JYU196623 KIQ196623 KSM196623 LCI196623 LME196623 LWA196623 MFW196623 MPS196623 MZO196623 NJK196623 NTG196623 ODC196623 OMY196623 OWU196623 PGQ196623 PQM196623 QAI196623 QKE196623 QUA196623 RDW196623 RNS196623 RXO196623 SHK196623 SRG196623 TBC196623 TKY196623 TUU196623 UEQ196623 UOM196623 UYI196623 VIE196623 VSA196623 WBW196623 WLS196623 WVO196623 H262159 JC262159 SY262159 ACU262159 AMQ262159 AWM262159 BGI262159 BQE262159 CAA262159 CJW262159 CTS262159 DDO262159 DNK262159 DXG262159 EHC262159 EQY262159 FAU262159 FKQ262159 FUM262159 GEI262159 GOE262159 GYA262159 HHW262159 HRS262159 IBO262159 ILK262159 IVG262159 JFC262159 JOY262159 JYU262159 KIQ262159 KSM262159 LCI262159 LME262159 LWA262159 MFW262159 MPS262159 MZO262159 NJK262159 NTG262159 ODC262159 OMY262159 OWU262159 PGQ262159 PQM262159 QAI262159 QKE262159 QUA262159 RDW262159 RNS262159 RXO262159 SHK262159 SRG262159 TBC262159 TKY262159 TUU262159 UEQ262159 UOM262159 UYI262159 VIE262159 VSA262159 WBW262159 WLS262159 WVO262159 H327695 JC327695 SY327695 ACU327695 AMQ327695 AWM327695 BGI327695 BQE327695 CAA327695 CJW327695 CTS327695 DDO327695 DNK327695 DXG327695 EHC327695 EQY327695 FAU327695 FKQ327695 FUM327695 GEI327695 GOE327695 GYA327695 HHW327695 HRS327695 IBO327695 ILK327695 IVG327695 JFC327695 JOY327695 JYU327695 KIQ327695 KSM327695 LCI327695 LME327695 LWA327695 MFW327695 MPS327695 MZO327695 NJK327695 NTG327695 ODC327695 OMY327695 OWU327695 PGQ327695 PQM327695 QAI327695 QKE327695 QUA327695 RDW327695 RNS327695 RXO327695 SHK327695 SRG327695 TBC327695 TKY327695 TUU327695 UEQ327695 UOM327695 UYI327695 VIE327695 VSA327695 WBW327695 WLS327695 WVO327695 H393231 JC393231 SY393231 ACU393231 AMQ393231 AWM393231 BGI393231 BQE393231 CAA393231 CJW393231 CTS393231 DDO393231 DNK393231 DXG393231 EHC393231 EQY393231 FAU393231 FKQ393231 FUM393231 GEI393231 GOE393231 GYA393231 HHW393231 HRS393231 IBO393231 ILK393231 IVG393231 JFC393231 JOY393231 JYU393231 KIQ393231 KSM393231 LCI393231 LME393231 LWA393231 MFW393231 MPS393231 MZO393231 NJK393231 NTG393231 ODC393231 OMY393231 OWU393231 PGQ393231 PQM393231 QAI393231 QKE393231 QUA393231 RDW393231 RNS393231 RXO393231 SHK393231 SRG393231 TBC393231 TKY393231 TUU393231 UEQ393231 UOM393231 UYI393231 VIE393231 VSA393231 WBW393231 WLS393231 WVO393231 H458767 JC458767 SY458767 ACU458767 AMQ458767 AWM458767 BGI458767 BQE458767 CAA458767 CJW458767 CTS458767 DDO458767 DNK458767 DXG458767 EHC458767 EQY458767 FAU458767 FKQ458767 FUM458767 GEI458767 GOE458767 GYA458767 HHW458767 HRS458767 IBO458767 ILK458767 IVG458767 JFC458767 JOY458767 JYU458767 KIQ458767 KSM458767 LCI458767 LME458767 LWA458767 MFW458767 MPS458767 MZO458767 NJK458767 NTG458767 ODC458767 OMY458767 OWU458767 PGQ458767 PQM458767 QAI458767 QKE458767 QUA458767 RDW458767 RNS458767 RXO458767 SHK458767 SRG458767 TBC458767 TKY458767 TUU458767 UEQ458767 UOM458767 UYI458767 VIE458767 VSA458767 WBW458767 WLS458767 WVO458767 H524303 JC524303 SY524303 ACU524303 AMQ524303 AWM524303 BGI524303 BQE524303 CAA524303 CJW524303 CTS524303 DDO524303 DNK524303 DXG524303 EHC524303 EQY524303 FAU524303 FKQ524303 FUM524303 GEI524303 GOE524303 GYA524303 HHW524303 HRS524303 IBO524303 ILK524303 IVG524303 JFC524303 JOY524303 JYU524303 KIQ524303 KSM524303 LCI524303 LME524303 LWA524303 MFW524303 MPS524303 MZO524303 NJK524303 NTG524303 ODC524303 OMY524303 OWU524303 PGQ524303 PQM524303 QAI524303 QKE524303 QUA524303 RDW524303 RNS524303 RXO524303 SHK524303 SRG524303 TBC524303 TKY524303 TUU524303 UEQ524303 UOM524303 UYI524303 VIE524303 VSA524303 WBW524303 WLS524303 WVO524303 H589839 JC589839 SY589839 ACU589839 AMQ589839 AWM589839 BGI589839 BQE589839 CAA589839 CJW589839 CTS589839 DDO589839 DNK589839 DXG589839 EHC589839 EQY589839 FAU589839 FKQ589839 FUM589839 GEI589839 GOE589839 GYA589839 HHW589839 HRS589839 IBO589839 ILK589839 IVG589839 JFC589839 JOY589839 JYU589839 KIQ589839 KSM589839 LCI589839 LME589839 LWA589839 MFW589839 MPS589839 MZO589839 NJK589839 NTG589839 ODC589839 OMY589839 OWU589839 PGQ589839 PQM589839 QAI589839 QKE589839 QUA589839 RDW589839 RNS589839 RXO589839 SHK589839 SRG589839 TBC589839 TKY589839 TUU589839 UEQ589839 UOM589839 UYI589839 VIE589839 VSA589839 WBW589839 WLS589839 WVO589839 H655375 JC655375 SY655375 ACU655375 AMQ655375 AWM655375 BGI655375 BQE655375 CAA655375 CJW655375 CTS655375 DDO655375 DNK655375 DXG655375 EHC655375 EQY655375 FAU655375 FKQ655375 FUM655375 GEI655375 GOE655375 GYA655375 HHW655375 HRS655375 IBO655375 ILK655375 IVG655375 JFC655375 JOY655375 JYU655375 KIQ655375 KSM655375 LCI655375 LME655375 LWA655375 MFW655375 MPS655375 MZO655375 NJK655375 NTG655375 ODC655375 OMY655375 OWU655375 PGQ655375 PQM655375 QAI655375 QKE655375 QUA655375 RDW655375 RNS655375 RXO655375 SHK655375 SRG655375 TBC655375 TKY655375 TUU655375 UEQ655375 UOM655375 UYI655375 VIE655375 VSA655375 WBW655375 WLS655375 WVO655375 H720911 JC720911 SY720911 ACU720911 AMQ720911 AWM720911 BGI720911 BQE720911 CAA720911 CJW720911 CTS720911 DDO720911 DNK720911 DXG720911 EHC720911 EQY720911 FAU720911 FKQ720911 FUM720911 GEI720911 GOE720911 GYA720911 HHW720911 HRS720911 IBO720911 ILK720911 IVG720911 JFC720911 JOY720911 JYU720911 KIQ720911 KSM720911 LCI720911 LME720911 LWA720911 MFW720911 MPS720911 MZO720911 NJK720911 NTG720911 ODC720911 OMY720911 OWU720911 PGQ720911 PQM720911 QAI720911 QKE720911 QUA720911 RDW720911 RNS720911 RXO720911 SHK720911 SRG720911 TBC720911 TKY720911 TUU720911 UEQ720911 UOM720911 UYI720911 VIE720911 VSA720911 WBW720911 WLS720911 WVO720911 H786447 JC786447 SY786447 ACU786447 AMQ786447 AWM786447 BGI786447 BQE786447 CAA786447 CJW786447 CTS786447 DDO786447 DNK786447 DXG786447 EHC786447 EQY786447 FAU786447 FKQ786447 FUM786447 GEI786447 GOE786447 GYA786447 HHW786447 HRS786447 IBO786447 ILK786447 IVG786447 JFC786447 JOY786447 JYU786447 KIQ786447 KSM786447 LCI786447 LME786447 LWA786447 MFW786447 MPS786447 MZO786447 NJK786447 NTG786447 ODC786447 OMY786447 OWU786447 PGQ786447 PQM786447 QAI786447 QKE786447 QUA786447 RDW786447 RNS786447 RXO786447 SHK786447 SRG786447 TBC786447 TKY786447 TUU786447 UEQ786447 UOM786447 UYI786447 VIE786447 VSA786447 WBW786447 WLS786447 WVO786447 H851983 JC851983 SY851983 ACU851983 AMQ851983 AWM851983 BGI851983 BQE851983 CAA851983 CJW851983 CTS851983 DDO851983 DNK851983 DXG851983 EHC851983 EQY851983 FAU851983 FKQ851983 FUM851983 GEI851983 GOE851983 GYA851983 HHW851983 HRS851983 IBO851983 ILK851983 IVG851983 JFC851983 JOY851983 JYU851983 KIQ851983 KSM851983 LCI851983 LME851983 LWA851983 MFW851983 MPS851983 MZO851983 NJK851983 NTG851983 ODC851983 OMY851983 OWU851983 PGQ851983 PQM851983 QAI851983 QKE851983 QUA851983 RDW851983 RNS851983 RXO851983 SHK851983 SRG851983 TBC851983 TKY851983 TUU851983 UEQ851983 UOM851983 UYI851983 VIE851983 VSA851983 WBW851983 WLS851983 WVO851983 H917519 JC917519 SY917519 ACU917519 AMQ917519 AWM917519 BGI917519 BQE917519 CAA917519 CJW917519 CTS917519 DDO917519 DNK917519 DXG917519 EHC917519 EQY917519 FAU917519 FKQ917519 FUM917519 GEI917519 GOE917519 GYA917519 HHW917519 HRS917519 IBO917519 ILK917519 IVG917519 JFC917519 JOY917519 JYU917519 KIQ917519 KSM917519 LCI917519 LME917519 LWA917519 MFW917519 MPS917519 MZO917519 NJK917519 NTG917519 ODC917519 OMY917519 OWU917519 PGQ917519 PQM917519 QAI917519 QKE917519 QUA917519 RDW917519 RNS917519 RXO917519 SHK917519 SRG917519 TBC917519 TKY917519 TUU917519 UEQ917519 UOM917519 UYI917519 VIE917519 VSA917519 WBW917519 WLS917519 WVO917519 H983055 JC983055 SY983055 ACU983055 AMQ983055 AWM983055 BGI983055 BQE983055 CAA983055 CJW983055 CTS983055 DDO983055 DNK983055 DXG983055 EHC983055 EQY983055 FAU983055 FKQ983055 FUM983055 GEI983055 GOE983055 GYA983055 HHW983055 HRS983055 IBO983055 ILK983055 IVG983055 JFC983055 JOY983055 JYU983055 KIQ983055 KSM983055 LCI983055 LME983055 LWA983055 MFW983055 MPS983055 MZO983055 NJK983055 NTG983055 ODC983055 OMY983055 OWU983055 PGQ983055 PQM983055 QAI983055 QKE983055 QUA983055 RDW983055 RNS983055 RXO983055 SHK983055 SRG983055 TBC983055 TKY983055 TUU983055 UEQ983055 UOM983055 UYI983055 VIE983055 VSA983055 WBW983055 WLS983055"/>
  </dataValidations>
  <printOptions horizontalCentered="1"/>
  <pageMargins left="0.74803149606299213" right="0.74803149606299213" top="0.70866141732283472" bottom="0.39370078740157483" header="0.39370078740157483" footer="0.27559055118110237"/>
  <pageSetup scale="48" orientation="landscape"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17090" r:id="rId4" name="Check Box 2">
              <controlPr defaultSize="0" autoFill="0" autoLine="0" autoPict="0">
                <anchor moveWithCells="1">
                  <from>
                    <xdr:col>0</xdr:col>
                    <xdr:colOff>323850</xdr:colOff>
                    <xdr:row>13</xdr:row>
                    <xdr:rowOff>47625</xdr:rowOff>
                  </from>
                  <to>
                    <xdr:col>0</xdr:col>
                    <xdr:colOff>590550</xdr:colOff>
                    <xdr:row>13</xdr:row>
                    <xdr:rowOff>485775</xdr:rowOff>
                  </to>
                </anchor>
              </controlPr>
            </control>
          </mc:Choice>
        </mc:AlternateContent>
      </controls>
    </mc:Choice>
  </mc:AlternateContent>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9">
    <tabColor rgb="FF00B0F0"/>
    <pageSetUpPr fitToPage="1"/>
  </sheetPr>
  <dimension ref="A1:N310"/>
  <sheetViews>
    <sheetView showGridLines="0" zoomScaleNormal="100" workbookViewId="0">
      <selection activeCell="E16" sqref="E16"/>
    </sheetView>
  </sheetViews>
  <sheetFormatPr defaultRowHeight="12.75" x14ac:dyDescent="0.2"/>
  <cols>
    <col min="1" max="1" width="8.7109375" style="52" customWidth="1"/>
    <col min="2" max="2" width="45" style="52" customWidth="1"/>
    <col min="3" max="3" width="13.42578125" style="52" customWidth="1"/>
    <col min="4" max="4" width="14.85546875" style="52" customWidth="1"/>
    <col min="5" max="5" width="13.5703125" style="52" customWidth="1"/>
    <col min="6" max="6" width="11" style="52" customWidth="1"/>
    <col min="7" max="7" width="19.42578125" style="52" customWidth="1"/>
    <col min="8" max="8" width="7.7109375" style="52" customWidth="1"/>
    <col min="9" max="9" width="12.28515625" style="52" customWidth="1"/>
    <col min="10" max="10" width="12.7109375" style="52" customWidth="1"/>
    <col min="11" max="11" width="17.28515625" style="52" customWidth="1"/>
    <col min="12" max="12" width="16.5703125" style="52" bestFit="1" customWidth="1"/>
    <col min="13" max="257" width="9.140625" style="52"/>
    <col min="258" max="258" width="2.7109375" style="52" customWidth="1"/>
    <col min="259" max="259" width="9.140625" style="52"/>
    <col min="260" max="260" width="40.28515625" style="52" bestFit="1" customWidth="1"/>
    <col min="261" max="261" width="12.85546875" style="52" customWidth="1"/>
    <col min="262" max="262" width="10" style="52" customWidth="1"/>
    <col min="263" max="263" width="19.42578125" style="52" customWidth="1"/>
    <col min="264" max="264" width="7.7109375" style="52" customWidth="1"/>
    <col min="265" max="265" width="12.28515625" style="52" customWidth="1"/>
    <col min="266" max="266" width="12.7109375" style="52" customWidth="1"/>
    <col min="267" max="267" width="13.5703125" style="52" customWidth="1"/>
    <col min="268" max="268" width="11.85546875" style="52" customWidth="1"/>
    <col min="269" max="513" width="9.140625" style="52"/>
    <col min="514" max="514" width="2.7109375" style="52" customWidth="1"/>
    <col min="515" max="515" width="9.140625" style="52"/>
    <col min="516" max="516" width="40.28515625" style="52" bestFit="1" customWidth="1"/>
    <col min="517" max="517" width="12.85546875" style="52" customWidth="1"/>
    <col min="518" max="518" width="10" style="52" customWidth="1"/>
    <col min="519" max="519" width="19.42578125" style="52" customWidth="1"/>
    <col min="520" max="520" width="7.7109375" style="52" customWidth="1"/>
    <col min="521" max="521" width="12.28515625" style="52" customWidth="1"/>
    <col min="522" max="522" width="12.7109375" style="52" customWidth="1"/>
    <col min="523" max="523" width="13.5703125" style="52" customWidth="1"/>
    <col min="524" max="524" width="11.85546875" style="52" customWidth="1"/>
    <col min="525" max="769" width="9.140625" style="52"/>
    <col min="770" max="770" width="2.7109375" style="52" customWidth="1"/>
    <col min="771" max="771" width="9.140625" style="52"/>
    <col min="772" max="772" width="40.28515625" style="52" bestFit="1" customWidth="1"/>
    <col min="773" max="773" width="12.85546875" style="52" customWidth="1"/>
    <col min="774" max="774" width="10" style="52" customWidth="1"/>
    <col min="775" max="775" width="19.42578125" style="52" customWidth="1"/>
    <col min="776" max="776" width="7.7109375" style="52" customWidth="1"/>
    <col min="777" max="777" width="12.28515625" style="52" customWidth="1"/>
    <col min="778" max="778" width="12.7109375" style="52" customWidth="1"/>
    <col min="779" max="779" width="13.5703125" style="52" customWidth="1"/>
    <col min="780" max="780" width="11.85546875" style="52" customWidth="1"/>
    <col min="781" max="1025" width="9.140625" style="52"/>
    <col min="1026" max="1026" width="2.7109375" style="52" customWidth="1"/>
    <col min="1027" max="1027" width="9.140625" style="52"/>
    <col min="1028" max="1028" width="40.28515625" style="52" bestFit="1" customWidth="1"/>
    <col min="1029" max="1029" width="12.85546875" style="52" customWidth="1"/>
    <col min="1030" max="1030" width="10" style="52" customWidth="1"/>
    <col min="1031" max="1031" width="19.42578125" style="52" customWidth="1"/>
    <col min="1032" max="1032" width="7.7109375" style="52" customWidth="1"/>
    <col min="1033" max="1033" width="12.28515625" style="52" customWidth="1"/>
    <col min="1034" max="1034" width="12.7109375" style="52" customWidth="1"/>
    <col min="1035" max="1035" width="13.5703125" style="52" customWidth="1"/>
    <col min="1036" max="1036" width="11.85546875" style="52" customWidth="1"/>
    <col min="1037" max="1281" width="9.140625" style="52"/>
    <col min="1282" max="1282" width="2.7109375" style="52" customWidth="1"/>
    <col min="1283" max="1283" width="9.140625" style="52"/>
    <col min="1284" max="1284" width="40.28515625" style="52" bestFit="1" customWidth="1"/>
    <col min="1285" max="1285" width="12.85546875" style="52" customWidth="1"/>
    <col min="1286" max="1286" width="10" style="52" customWidth="1"/>
    <col min="1287" max="1287" width="19.42578125" style="52" customWidth="1"/>
    <col min="1288" max="1288" width="7.7109375" style="52" customWidth="1"/>
    <col min="1289" max="1289" width="12.28515625" style="52" customWidth="1"/>
    <col min="1290" max="1290" width="12.7109375" style="52" customWidth="1"/>
    <col min="1291" max="1291" width="13.5703125" style="52" customWidth="1"/>
    <col min="1292" max="1292" width="11.85546875" style="52" customWidth="1"/>
    <col min="1293" max="1537" width="9.140625" style="52"/>
    <col min="1538" max="1538" width="2.7109375" style="52" customWidth="1"/>
    <col min="1539" max="1539" width="9.140625" style="52"/>
    <col min="1540" max="1540" width="40.28515625" style="52" bestFit="1" customWidth="1"/>
    <col min="1541" max="1541" width="12.85546875" style="52" customWidth="1"/>
    <col min="1542" max="1542" width="10" style="52" customWidth="1"/>
    <col min="1543" max="1543" width="19.42578125" style="52" customWidth="1"/>
    <col min="1544" max="1544" width="7.7109375" style="52" customWidth="1"/>
    <col min="1545" max="1545" width="12.28515625" style="52" customWidth="1"/>
    <col min="1546" max="1546" width="12.7109375" style="52" customWidth="1"/>
    <col min="1547" max="1547" width="13.5703125" style="52" customWidth="1"/>
    <col min="1548" max="1548" width="11.85546875" style="52" customWidth="1"/>
    <col min="1549" max="1793" width="9.140625" style="52"/>
    <col min="1794" max="1794" width="2.7109375" style="52" customWidth="1"/>
    <col min="1795" max="1795" width="9.140625" style="52"/>
    <col min="1796" max="1796" width="40.28515625" style="52" bestFit="1" customWidth="1"/>
    <col min="1797" max="1797" width="12.85546875" style="52" customWidth="1"/>
    <col min="1798" max="1798" width="10" style="52" customWidth="1"/>
    <col min="1799" max="1799" width="19.42578125" style="52" customWidth="1"/>
    <col min="1800" max="1800" width="7.7109375" style="52" customWidth="1"/>
    <col min="1801" max="1801" width="12.28515625" style="52" customWidth="1"/>
    <col min="1802" max="1802" width="12.7109375" style="52" customWidth="1"/>
    <col min="1803" max="1803" width="13.5703125" style="52" customWidth="1"/>
    <col min="1804" max="1804" width="11.85546875" style="52" customWidth="1"/>
    <col min="1805" max="2049" width="9.140625" style="52"/>
    <col min="2050" max="2050" width="2.7109375" style="52" customWidth="1"/>
    <col min="2051" max="2051" width="9.140625" style="52"/>
    <col min="2052" max="2052" width="40.28515625" style="52" bestFit="1" customWidth="1"/>
    <col min="2053" max="2053" width="12.85546875" style="52" customWidth="1"/>
    <col min="2054" max="2054" width="10" style="52" customWidth="1"/>
    <col min="2055" max="2055" width="19.42578125" style="52" customWidth="1"/>
    <col min="2056" max="2056" width="7.7109375" style="52" customWidth="1"/>
    <col min="2057" max="2057" width="12.28515625" style="52" customWidth="1"/>
    <col min="2058" max="2058" width="12.7109375" style="52" customWidth="1"/>
    <col min="2059" max="2059" width="13.5703125" style="52" customWidth="1"/>
    <col min="2060" max="2060" width="11.85546875" style="52" customWidth="1"/>
    <col min="2061" max="2305" width="9.140625" style="52"/>
    <col min="2306" max="2306" width="2.7109375" style="52" customWidth="1"/>
    <col min="2307" max="2307" width="9.140625" style="52"/>
    <col min="2308" max="2308" width="40.28515625" style="52" bestFit="1" customWidth="1"/>
    <col min="2309" max="2309" width="12.85546875" style="52" customWidth="1"/>
    <col min="2310" max="2310" width="10" style="52" customWidth="1"/>
    <col min="2311" max="2311" width="19.42578125" style="52" customWidth="1"/>
    <col min="2312" max="2312" width="7.7109375" style="52" customWidth="1"/>
    <col min="2313" max="2313" width="12.28515625" style="52" customWidth="1"/>
    <col min="2314" max="2314" width="12.7109375" style="52" customWidth="1"/>
    <col min="2315" max="2315" width="13.5703125" style="52" customWidth="1"/>
    <col min="2316" max="2316" width="11.85546875" style="52" customWidth="1"/>
    <col min="2317" max="2561" width="9.140625" style="52"/>
    <col min="2562" max="2562" width="2.7109375" style="52" customWidth="1"/>
    <col min="2563" max="2563" width="9.140625" style="52"/>
    <col min="2564" max="2564" width="40.28515625" style="52" bestFit="1" customWidth="1"/>
    <col min="2565" max="2565" width="12.85546875" style="52" customWidth="1"/>
    <col min="2566" max="2566" width="10" style="52" customWidth="1"/>
    <col min="2567" max="2567" width="19.42578125" style="52" customWidth="1"/>
    <col min="2568" max="2568" width="7.7109375" style="52" customWidth="1"/>
    <col min="2569" max="2569" width="12.28515625" style="52" customWidth="1"/>
    <col min="2570" max="2570" width="12.7109375" style="52" customWidth="1"/>
    <col min="2571" max="2571" width="13.5703125" style="52" customWidth="1"/>
    <col min="2572" max="2572" width="11.85546875" style="52" customWidth="1"/>
    <col min="2573" max="2817" width="9.140625" style="52"/>
    <col min="2818" max="2818" width="2.7109375" style="52" customWidth="1"/>
    <col min="2819" max="2819" width="9.140625" style="52"/>
    <col min="2820" max="2820" width="40.28515625" style="52" bestFit="1" customWidth="1"/>
    <col min="2821" max="2821" width="12.85546875" style="52" customWidth="1"/>
    <col min="2822" max="2822" width="10" style="52" customWidth="1"/>
    <col min="2823" max="2823" width="19.42578125" style="52" customWidth="1"/>
    <col min="2824" max="2824" width="7.7109375" style="52" customWidth="1"/>
    <col min="2825" max="2825" width="12.28515625" style="52" customWidth="1"/>
    <col min="2826" max="2826" width="12.7109375" style="52" customWidth="1"/>
    <col min="2827" max="2827" width="13.5703125" style="52" customWidth="1"/>
    <col min="2828" max="2828" width="11.85546875" style="52" customWidth="1"/>
    <col min="2829" max="3073" width="9.140625" style="52"/>
    <col min="3074" max="3074" width="2.7109375" style="52" customWidth="1"/>
    <col min="3075" max="3075" width="9.140625" style="52"/>
    <col min="3076" max="3076" width="40.28515625" style="52" bestFit="1" customWidth="1"/>
    <col min="3077" max="3077" width="12.85546875" style="52" customWidth="1"/>
    <col min="3078" max="3078" width="10" style="52" customWidth="1"/>
    <col min="3079" max="3079" width="19.42578125" style="52" customWidth="1"/>
    <col min="3080" max="3080" width="7.7109375" style="52" customWidth="1"/>
    <col min="3081" max="3081" width="12.28515625" style="52" customWidth="1"/>
    <col min="3082" max="3082" width="12.7109375" style="52" customWidth="1"/>
    <col min="3083" max="3083" width="13.5703125" style="52" customWidth="1"/>
    <col min="3084" max="3084" width="11.85546875" style="52" customWidth="1"/>
    <col min="3085" max="3329" width="9.140625" style="52"/>
    <col min="3330" max="3330" width="2.7109375" style="52" customWidth="1"/>
    <col min="3331" max="3331" width="9.140625" style="52"/>
    <col min="3332" max="3332" width="40.28515625" style="52" bestFit="1" customWidth="1"/>
    <col min="3333" max="3333" width="12.85546875" style="52" customWidth="1"/>
    <col min="3334" max="3334" width="10" style="52" customWidth="1"/>
    <col min="3335" max="3335" width="19.42578125" style="52" customWidth="1"/>
    <col min="3336" max="3336" width="7.7109375" style="52" customWidth="1"/>
    <col min="3337" max="3337" width="12.28515625" style="52" customWidth="1"/>
    <col min="3338" max="3338" width="12.7109375" style="52" customWidth="1"/>
    <col min="3339" max="3339" width="13.5703125" style="52" customWidth="1"/>
    <col min="3340" max="3340" width="11.85546875" style="52" customWidth="1"/>
    <col min="3341" max="3585" width="9.140625" style="52"/>
    <col min="3586" max="3586" width="2.7109375" style="52" customWidth="1"/>
    <col min="3587" max="3587" width="9.140625" style="52"/>
    <col min="3588" max="3588" width="40.28515625" style="52" bestFit="1" customWidth="1"/>
    <col min="3589" max="3589" width="12.85546875" style="52" customWidth="1"/>
    <col min="3590" max="3590" width="10" style="52" customWidth="1"/>
    <col min="3591" max="3591" width="19.42578125" style="52" customWidth="1"/>
    <col min="3592" max="3592" width="7.7109375" style="52" customWidth="1"/>
    <col min="3593" max="3593" width="12.28515625" style="52" customWidth="1"/>
    <col min="3594" max="3594" width="12.7109375" style="52" customWidth="1"/>
    <col min="3595" max="3595" width="13.5703125" style="52" customWidth="1"/>
    <col min="3596" max="3596" width="11.85546875" style="52" customWidth="1"/>
    <col min="3597" max="3841" width="9.140625" style="52"/>
    <col min="3842" max="3842" width="2.7109375" style="52" customWidth="1"/>
    <col min="3843" max="3843" width="9.140625" style="52"/>
    <col min="3844" max="3844" width="40.28515625" style="52" bestFit="1" customWidth="1"/>
    <col min="3845" max="3845" width="12.85546875" style="52" customWidth="1"/>
    <col min="3846" max="3846" width="10" style="52" customWidth="1"/>
    <col min="3847" max="3847" width="19.42578125" style="52" customWidth="1"/>
    <col min="3848" max="3848" width="7.7109375" style="52" customWidth="1"/>
    <col min="3849" max="3849" width="12.28515625" style="52" customWidth="1"/>
    <col min="3850" max="3850" width="12.7109375" style="52" customWidth="1"/>
    <col min="3851" max="3851" width="13.5703125" style="52" customWidth="1"/>
    <col min="3852" max="3852" width="11.85546875" style="52" customWidth="1"/>
    <col min="3853" max="4097" width="9.140625" style="52"/>
    <col min="4098" max="4098" width="2.7109375" style="52" customWidth="1"/>
    <col min="4099" max="4099" width="9.140625" style="52"/>
    <col min="4100" max="4100" width="40.28515625" style="52" bestFit="1" customWidth="1"/>
    <col min="4101" max="4101" width="12.85546875" style="52" customWidth="1"/>
    <col min="4102" max="4102" width="10" style="52" customWidth="1"/>
    <col min="4103" max="4103" width="19.42578125" style="52" customWidth="1"/>
    <col min="4104" max="4104" width="7.7109375" style="52" customWidth="1"/>
    <col min="4105" max="4105" width="12.28515625" style="52" customWidth="1"/>
    <col min="4106" max="4106" width="12.7109375" style="52" customWidth="1"/>
    <col min="4107" max="4107" width="13.5703125" style="52" customWidth="1"/>
    <col min="4108" max="4108" width="11.85546875" style="52" customWidth="1"/>
    <col min="4109" max="4353" width="9.140625" style="52"/>
    <col min="4354" max="4354" width="2.7109375" style="52" customWidth="1"/>
    <col min="4355" max="4355" width="9.140625" style="52"/>
    <col min="4356" max="4356" width="40.28515625" style="52" bestFit="1" customWidth="1"/>
    <col min="4357" max="4357" width="12.85546875" style="52" customWidth="1"/>
    <col min="4358" max="4358" width="10" style="52" customWidth="1"/>
    <col min="4359" max="4359" width="19.42578125" style="52" customWidth="1"/>
    <col min="4360" max="4360" width="7.7109375" style="52" customWidth="1"/>
    <col min="4361" max="4361" width="12.28515625" style="52" customWidth="1"/>
    <col min="4362" max="4362" width="12.7109375" style="52" customWidth="1"/>
    <col min="4363" max="4363" width="13.5703125" style="52" customWidth="1"/>
    <col min="4364" max="4364" width="11.85546875" style="52" customWidth="1"/>
    <col min="4365" max="4609" width="9.140625" style="52"/>
    <col min="4610" max="4610" width="2.7109375" style="52" customWidth="1"/>
    <col min="4611" max="4611" width="9.140625" style="52"/>
    <col min="4612" max="4612" width="40.28515625" style="52" bestFit="1" customWidth="1"/>
    <col min="4613" max="4613" width="12.85546875" style="52" customWidth="1"/>
    <col min="4614" max="4614" width="10" style="52" customWidth="1"/>
    <col min="4615" max="4615" width="19.42578125" style="52" customWidth="1"/>
    <col min="4616" max="4616" width="7.7109375" style="52" customWidth="1"/>
    <col min="4617" max="4617" width="12.28515625" style="52" customWidth="1"/>
    <col min="4618" max="4618" width="12.7109375" style="52" customWidth="1"/>
    <col min="4619" max="4619" width="13.5703125" style="52" customWidth="1"/>
    <col min="4620" max="4620" width="11.85546875" style="52" customWidth="1"/>
    <col min="4621" max="4865" width="9.140625" style="52"/>
    <col min="4866" max="4866" width="2.7109375" style="52" customWidth="1"/>
    <col min="4867" max="4867" width="9.140625" style="52"/>
    <col min="4868" max="4868" width="40.28515625" style="52" bestFit="1" customWidth="1"/>
    <col min="4869" max="4869" width="12.85546875" style="52" customWidth="1"/>
    <col min="4870" max="4870" width="10" style="52" customWidth="1"/>
    <col min="4871" max="4871" width="19.42578125" style="52" customWidth="1"/>
    <col min="4872" max="4872" width="7.7109375" style="52" customWidth="1"/>
    <col min="4873" max="4873" width="12.28515625" style="52" customWidth="1"/>
    <col min="4874" max="4874" width="12.7109375" style="52" customWidth="1"/>
    <col min="4875" max="4875" width="13.5703125" style="52" customWidth="1"/>
    <col min="4876" max="4876" width="11.85546875" style="52" customWidth="1"/>
    <col min="4877" max="5121" width="9.140625" style="52"/>
    <col min="5122" max="5122" width="2.7109375" style="52" customWidth="1"/>
    <col min="5123" max="5123" width="9.140625" style="52"/>
    <col min="5124" max="5124" width="40.28515625" style="52" bestFit="1" customWidth="1"/>
    <col min="5125" max="5125" width="12.85546875" style="52" customWidth="1"/>
    <col min="5126" max="5126" width="10" style="52" customWidth="1"/>
    <col min="5127" max="5127" width="19.42578125" style="52" customWidth="1"/>
    <col min="5128" max="5128" width="7.7109375" style="52" customWidth="1"/>
    <col min="5129" max="5129" width="12.28515625" style="52" customWidth="1"/>
    <col min="5130" max="5130" width="12.7109375" style="52" customWidth="1"/>
    <col min="5131" max="5131" width="13.5703125" style="52" customWidth="1"/>
    <col min="5132" max="5132" width="11.85546875" style="52" customWidth="1"/>
    <col min="5133" max="5377" width="9.140625" style="52"/>
    <col min="5378" max="5378" width="2.7109375" style="52" customWidth="1"/>
    <col min="5379" max="5379" width="9.140625" style="52"/>
    <col min="5380" max="5380" width="40.28515625" style="52" bestFit="1" customWidth="1"/>
    <col min="5381" max="5381" width="12.85546875" style="52" customWidth="1"/>
    <col min="5382" max="5382" width="10" style="52" customWidth="1"/>
    <col min="5383" max="5383" width="19.42578125" style="52" customWidth="1"/>
    <col min="5384" max="5384" width="7.7109375" style="52" customWidth="1"/>
    <col min="5385" max="5385" width="12.28515625" style="52" customWidth="1"/>
    <col min="5386" max="5386" width="12.7109375" style="52" customWidth="1"/>
    <col min="5387" max="5387" width="13.5703125" style="52" customWidth="1"/>
    <col min="5388" max="5388" width="11.85546875" style="52" customWidth="1"/>
    <col min="5389" max="5633" width="9.140625" style="52"/>
    <col min="5634" max="5634" width="2.7109375" style="52" customWidth="1"/>
    <col min="5635" max="5635" width="9.140625" style="52"/>
    <col min="5636" max="5636" width="40.28515625" style="52" bestFit="1" customWidth="1"/>
    <col min="5637" max="5637" width="12.85546875" style="52" customWidth="1"/>
    <col min="5638" max="5638" width="10" style="52" customWidth="1"/>
    <col min="5639" max="5639" width="19.42578125" style="52" customWidth="1"/>
    <col min="5640" max="5640" width="7.7109375" style="52" customWidth="1"/>
    <col min="5641" max="5641" width="12.28515625" style="52" customWidth="1"/>
    <col min="5642" max="5642" width="12.7109375" style="52" customWidth="1"/>
    <col min="5643" max="5643" width="13.5703125" style="52" customWidth="1"/>
    <col min="5644" max="5644" width="11.85546875" style="52" customWidth="1"/>
    <col min="5645" max="5889" width="9.140625" style="52"/>
    <col min="5890" max="5890" width="2.7109375" style="52" customWidth="1"/>
    <col min="5891" max="5891" width="9.140625" style="52"/>
    <col min="5892" max="5892" width="40.28515625" style="52" bestFit="1" customWidth="1"/>
    <col min="5893" max="5893" width="12.85546875" style="52" customWidth="1"/>
    <col min="5894" max="5894" width="10" style="52" customWidth="1"/>
    <col min="5895" max="5895" width="19.42578125" style="52" customWidth="1"/>
    <col min="5896" max="5896" width="7.7109375" style="52" customWidth="1"/>
    <col min="5897" max="5897" width="12.28515625" style="52" customWidth="1"/>
    <col min="5898" max="5898" width="12.7109375" style="52" customWidth="1"/>
    <col min="5899" max="5899" width="13.5703125" style="52" customWidth="1"/>
    <col min="5900" max="5900" width="11.85546875" style="52" customWidth="1"/>
    <col min="5901" max="6145" width="9.140625" style="52"/>
    <col min="6146" max="6146" width="2.7109375" style="52" customWidth="1"/>
    <col min="6147" max="6147" width="9.140625" style="52"/>
    <col min="6148" max="6148" width="40.28515625" style="52" bestFit="1" customWidth="1"/>
    <col min="6149" max="6149" width="12.85546875" style="52" customWidth="1"/>
    <col min="6150" max="6150" width="10" style="52" customWidth="1"/>
    <col min="6151" max="6151" width="19.42578125" style="52" customWidth="1"/>
    <col min="6152" max="6152" width="7.7109375" style="52" customWidth="1"/>
    <col min="6153" max="6153" width="12.28515625" style="52" customWidth="1"/>
    <col min="6154" max="6154" width="12.7109375" style="52" customWidth="1"/>
    <col min="6155" max="6155" width="13.5703125" style="52" customWidth="1"/>
    <col min="6156" max="6156" width="11.85546875" style="52" customWidth="1"/>
    <col min="6157" max="6401" width="9.140625" style="52"/>
    <col min="6402" max="6402" width="2.7109375" style="52" customWidth="1"/>
    <col min="6403" max="6403" width="9.140625" style="52"/>
    <col min="6404" max="6404" width="40.28515625" style="52" bestFit="1" customWidth="1"/>
    <col min="6405" max="6405" width="12.85546875" style="52" customWidth="1"/>
    <col min="6406" max="6406" width="10" style="52" customWidth="1"/>
    <col min="6407" max="6407" width="19.42578125" style="52" customWidth="1"/>
    <col min="6408" max="6408" width="7.7109375" style="52" customWidth="1"/>
    <col min="6409" max="6409" width="12.28515625" style="52" customWidth="1"/>
    <col min="6410" max="6410" width="12.7109375" style="52" customWidth="1"/>
    <col min="6411" max="6411" width="13.5703125" style="52" customWidth="1"/>
    <col min="6412" max="6412" width="11.85546875" style="52" customWidth="1"/>
    <col min="6413" max="6657" width="9.140625" style="52"/>
    <col min="6658" max="6658" width="2.7109375" style="52" customWidth="1"/>
    <col min="6659" max="6659" width="9.140625" style="52"/>
    <col min="6660" max="6660" width="40.28515625" style="52" bestFit="1" customWidth="1"/>
    <col min="6661" max="6661" width="12.85546875" style="52" customWidth="1"/>
    <col min="6662" max="6662" width="10" style="52" customWidth="1"/>
    <col min="6663" max="6663" width="19.42578125" style="52" customWidth="1"/>
    <col min="6664" max="6664" width="7.7109375" style="52" customWidth="1"/>
    <col min="6665" max="6665" width="12.28515625" style="52" customWidth="1"/>
    <col min="6666" max="6666" width="12.7109375" style="52" customWidth="1"/>
    <col min="6667" max="6667" width="13.5703125" style="52" customWidth="1"/>
    <col min="6668" max="6668" width="11.85546875" style="52" customWidth="1"/>
    <col min="6669" max="6913" width="9.140625" style="52"/>
    <col min="6914" max="6914" width="2.7109375" style="52" customWidth="1"/>
    <col min="6915" max="6915" width="9.140625" style="52"/>
    <col min="6916" max="6916" width="40.28515625" style="52" bestFit="1" customWidth="1"/>
    <col min="6917" max="6917" width="12.85546875" style="52" customWidth="1"/>
    <col min="6918" max="6918" width="10" style="52" customWidth="1"/>
    <col min="6919" max="6919" width="19.42578125" style="52" customWidth="1"/>
    <col min="6920" max="6920" width="7.7109375" style="52" customWidth="1"/>
    <col min="6921" max="6921" width="12.28515625" style="52" customWidth="1"/>
    <col min="6922" max="6922" width="12.7109375" style="52" customWidth="1"/>
    <col min="6923" max="6923" width="13.5703125" style="52" customWidth="1"/>
    <col min="6924" max="6924" width="11.85546875" style="52" customWidth="1"/>
    <col min="6925" max="7169" width="9.140625" style="52"/>
    <col min="7170" max="7170" width="2.7109375" style="52" customWidth="1"/>
    <col min="7171" max="7171" width="9.140625" style="52"/>
    <col min="7172" max="7172" width="40.28515625" style="52" bestFit="1" customWidth="1"/>
    <col min="7173" max="7173" width="12.85546875" style="52" customWidth="1"/>
    <col min="7174" max="7174" width="10" style="52" customWidth="1"/>
    <col min="7175" max="7175" width="19.42578125" style="52" customWidth="1"/>
    <col min="7176" max="7176" width="7.7109375" style="52" customWidth="1"/>
    <col min="7177" max="7177" width="12.28515625" style="52" customWidth="1"/>
    <col min="7178" max="7178" width="12.7109375" style="52" customWidth="1"/>
    <col min="7179" max="7179" width="13.5703125" style="52" customWidth="1"/>
    <col min="7180" max="7180" width="11.85546875" style="52" customWidth="1"/>
    <col min="7181" max="7425" width="9.140625" style="52"/>
    <col min="7426" max="7426" width="2.7109375" style="52" customWidth="1"/>
    <col min="7427" max="7427" width="9.140625" style="52"/>
    <col min="7428" max="7428" width="40.28515625" style="52" bestFit="1" customWidth="1"/>
    <col min="7429" max="7429" width="12.85546875" style="52" customWidth="1"/>
    <col min="7430" max="7430" width="10" style="52" customWidth="1"/>
    <col min="7431" max="7431" width="19.42578125" style="52" customWidth="1"/>
    <col min="7432" max="7432" width="7.7109375" style="52" customWidth="1"/>
    <col min="7433" max="7433" width="12.28515625" style="52" customWidth="1"/>
    <col min="7434" max="7434" width="12.7109375" style="52" customWidth="1"/>
    <col min="7435" max="7435" width="13.5703125" style="52" customWidth="1"/>
    <col min="7436" max="7436" width="11.85546875" style="52" customWidth="1"/>
    <col min="7437" max="7681" width="9.140625" style="52"/>
    <col min="7682" max="7682" width="2.7109375" style="52" customWidth="1"/>
    <col min="7683" max="7683" width="9.140625" style="52"/>
    <col min="7684" max="7684" width="40.28515625" style="52" bestFit="1" customWidth="1"/>
    <col min="7685" max="7685" width="12.85546875" style="52" customWidth="1"/>
    <col min="7686" max="7686" width="10" style="52" customWidth="1"/>
    <col min="7687" max="7687" width="19.42578125" style="52" customWidth="1"/>
    <col min="7688" max="7688" width="7.7109375" style="52" customWidth="1"/>
    <col min="7689" max="7689" width="12.28515625" style="52" customWidth="1"/>
    <col min="7690" max="7690" width="12.7109375" style="52" customWidth="1"/>
    <col min="7691" max="7691" width="13.5703125" style="52" customWidth="1"/>
    <col min="7692" max="7692" width="11.85546875" style="52" customWidth="1"/>
    <col min="7693" max="7937" width="9.140625" style="52"/>
    <col min="7938" max="7938" width="2.7109375" style="52" customWidth="1"/>
    <col min="7939" max="7939" width="9.140625" style="52"/>
    <col min="7940" max="7940" width="40.28515625" style="52" bestFit="1" customWidth="1"/>
    <col min="7941" max="7941" width="12.85546875" style="52" customWidth="1"/>
    <col min="7942" max="7942" width="10" style="52" customWidth="1"/>
    <col min="7943" max="7943" width="19.42578125" style="52" customWidth="1"/>
    <col min="7944" max="7944" width="7.7109375" style="52" customWidth="1"/>
    <col min="7945" max="7945" width="12.28515625" style="52" customWidth="1"/>
    <col min="7946" max="7946" width="12.7109375" style="52" customWidth="1"/>
    <col min="7947" max="7947" width="13.5703125" style="52" customWidth="1"/>
    <col min="7948" max="7948" width="11.85546875" style="52" customWidth="1"/>
    <col min="7949" max="8193" width="9.140625" style="52"/>
    <col min="8194" max="8194" width="2.7109375" style="52" customWidth="1"/>
    <col min="8195" max="8195" width="9.140625" style="52"/>
    <col min="8196" max="8196" width="40.28515625" style="52" bestFit="1" customWidth="1"/>
    <col min="8197" max="8197" width="12.85546875" style="52" customWidth="1"/>
    <col min="8198" max="8198" width="10" style="52" customWidth="1"/>
    <col min="8199" max="8199" width="19.42578125" style="52" customWidth="1"/>
    <col min="8200" max="8200" width="7.7109375" style="52" customWidth="1"/>
    <col min="8201" max="8201" width="12.28515625" style="52" customWidth="1"/>
    <col min="8202" max="8202" width="12.7109375" style="52" customWidth="1"/>
    <col min="8203" max="8203" width="13.5703125" style="52" customWidth="1"/>
    <col min="8204" max="8204" width="11.85546875" style="52" customWidth="1"/>
    <col min="8205" max="8449" width="9.140625" style="52"/>
    <col min="8450" max="8450" width="2.7109375" style="52" customWidth="1"/>
    <col min="8451" max="8451" width="9.140625" style="52"/>
    <col min="8452" max="8452" width="40.28515625" style="52" bestFit="1" customWidth="1"/>
    <col min="8453" max="8453" width="12.85546875" style="52" customWidth="1"/>
    <col min="8454" max="8454" width="10" style="52" customWidth="1"/>
    <col min="8455" max="8455" width="19.42578125" style="52" customWidth="1"/>
    <col min="8456" max="8456" width="7.7109375" style="52" customWidth="1"/>
    <col min="8457" max="8457" width="12.28515625" style="52" customWidth="1"/>
    <col min="8458" max="8458" width="12.7109375" style="52" customWidth="1"/>
    <col min="8459" max="8459" width="13.5703125" style="52" customWidth="1"/>
    <col min="8460" max="8460" width="11.85546875" style="52" customWidth="1"/>
    <col min="8461" max="8705" width="9.140625" style="52"/>
    <col min="8706" max="8706" width="2.7109375" style="52" customWidth="1"/>
    <col min="8707" max="8707" width="9.140625" style="52"/>
    <col min="8708" max="8708" width="40.28515625" style="52" bestFit="1" customWidth="1"/>
    <col min="8709" max="8709" width="12.85546875" style="52" customWidth="1"/>
    <col min="8710" max="8710" width="10" style="52" customWidth="1"/>
    <col min="8711" max="8711" width="19.42578125" style="52" customWidth="1"/>
    <col min="8712" max="8712" width="7.7109375" style="52" customWidth="1"/>
    <col min="8713" max="8713" width="12.28515625" style="52" customWidth="1"/>
    <col min="8714" max="8714" width="12.7109375" style="52" customWidth="1"/>
    <col min="8715" max="8715" width="13.5703125" style="52" customWidth="1"/>
    <col min="8716" max="8716" width="11.85546875" style="52" customWidth="1"/>
    <col min="8717" max="8961" width="9.140625" style="52"/>
    <col min="8962" max="8962" width="2.7109375" style="52" customWidth="1"/>
    <col min="8963" max="8963" width="9.140625" style="52"/>
    <col min="8964" max="8964" width="40.28515625" style="52" bestFit="1" customWidth="1"/>
    <col min="8965" max="8965" width="12.85546875" style="52" customWidth="1"/>
    <col min="8966" max="8966" width="10" style="52" customWidth="1"/>
    <col min="8967" max="8967" width="19.42578125" style="52" customWidth="1"/>
    <col min="8968" max="8968" width="7.7109375" style="52" customWidth="1"/>
    <col min="8969" max="8969" width="12.28515625" style="52" customWidth="1"/>
    <col min="8970" max="8970" width="12.7109375" style="52" customWidth="1"/>
    <col min="8971" max="8971" width="13.5703125" style="52" customWidth="1"/>
    <col min="8972" max="8972" width="11.85546875" style="52" customWidth="1"/>
    <col min="8973" max="9217" width="9.140625" style="52"/>
    <col min="9218" max="9218" width="2.7109375" style="52" customWidth="1"/>
    <col min="9219" max="9219" width="9.140625" style="52"/>
    <col min="9220" max="9220" width="40.28515625" style="52" bestFit="1" customWidth="1"/>
    <col min="9221" max="9221" width="12.85546875" style="52" customWidth="1"/>
    <col min="9222" max="9222" width="10" style="52" customWidth="1"/>
    <col min="9223" max="9223" width="19.42578125" style="52" customWidth="1"/>
    <col min="9224" max="9224" width="7.7109375" style="52" customWidth="1"/>
    <col min="9225" max="9225" width="12.28515625" style="52" customWidth="1"/>
    <col min="9226" max="9226" width="12.7109375" style="52" customWidth="1"/>
    <col min="9227" max="9227" width="13.5703125" style="52" customWidth="1"/>
    <col min="9228" max="9228" width="11.85546875" style="52" customWidth="1"/>
    <col min="9229" max="9473" width="9.140625" style="52"/>
    <col min="9474" max="9474" width="2.7109375" style="52" customWidth="1"/>
    <col min="9475" max="9475" width="9.140625" style="52"/>
    <col min="9476" max="9476" width="40.28515625" style="52" bestFit="1" customWidth="1"/>
    <col min="9477" max="9477" width="12.85546875" style="52" customWidth="1"/>
    <col min="9478" max="9478" width="10" style="52" customWidth="1"/>
    <col min="9479" max="9479" width="19.42578125" style="52" customWidth="1"/>
    <col min="9480" max="9480" width="7.7109375" style="52" customWidth="1"/>
    <col min="9481" max="9481" width="12.28515625" style="52" customWidth="1"/>
    <col min="9482" max="9482" width="12.7109375" style="52" customWidth="1"/>
    <col min="9483" max="9483" width="13.5703125" style="52" customWidth="1"/>
    <col min="9484" max="9484" width="11.85546875" style="52" customWidth="1"/>
    <col min="9485" max="9729" width="9.140625" style="52"/>
    <col min="9730" max="9730" width="2.7109375" style="52" customWidth="1"/>
    <col min="9731" max="9731" width="9.140625" style="52"/>
    <col min="9732" max="9732" width="40.28515625" style="52" bestFit="1" customWidth="1"/>
    <col min="9733" max="9733" width="12.85546875" style="52" customWidth="1"/>
    <col min="9734" max="9734" width="10" style="52" customWidth="1"/>
    <col min="9735" max="9735" width="19.42578125" style="52" customWidth="1"/>
    <col min="9736" max="9736" width="7.7109375" style="52" customWidth="1"/>
    <col min="9737" max="9737" width="12.28515625" style="52" customWidth="1"/>
    <col min="9738" max="9738" width="12.7109375" style="52" customWidth="1"/>
    <col min="9739" max="9739" width="13.5703125" style="52" customWidth="1"/>
    <col min="9740" max="9740" width="11.85546875" style="52" customWidth="1"/>
    <col min="9741" max="9985" width="9.140625" style="52"/>
    <col min="9986" max="9986" width="2.7109375" style="52" customWidth="1"/>
    <col min="9987" max="9987" width="9.140625" style="52"/>
    <col min="9988" max="9988" width="40.28515625" style="52" bestFit="1" customWidth="1"/>
    <col min="9989" max="9989" width="12.85546875" style="52" customWidth="1"/>
    <col min="9990" max="9990" width="10" style="52" customWidth="1"/>
    <col min="9991" max="9991" width="19.42578125" style="52" customWidth="1"/>
    <col min="9992" max="9992" width="7.7109375" style="52" customWidth="1"/>
    <col min="9993" max="9993" width="12.28515625" style="52" customWidth="1"/>
    <col min="9994" max="9994" width="12.7109375" style="52" customWidth="1"/>
    <col min="9995" max="9995" width="13.5703125" style="52" customWidth="1"/>
    <col min="9996" max="9996" width="11.85546875" style="52" customWidth="1"/>
    <col min="9997" max="10241" width="9.140625" style="52"/>
    <col min="10242" max="10242" width="2.7109375" style="52" customWidth="1"/>
    <col min="10243" max="10243" width="9.140625" style="52"/>
    <col min="10244" max="10244" width="40.28515625" style="52" bestFit="1" customWidth="1"/>
    <col min="10245" max="10245" width="12.85546875" style="52" customWidth="1"/>
    <col min="10246" max="10246" width="10" style="52" customWidth="1"/>
    <col min="10247" max="10247" width="19.42578125" style="52" customWidth="1"/>
    <col min="10248" max="10248" width="7.7109375" style="52" customWidth="1"/>
    <col min="10249" max="10249" width="12.28515625" style="52" customWidth="1"/>
    <col min="10250" max="10250" width="12.7109375" style="52" customWidth="1"/>
    <col min="10251" max="10251" width="13.5703125" style="52" customWidth="1"/>
    <col min="10252" max="10252" width="11.85546875" style="52" customWidth="1"/>
    <col min="10253" max="10497" width="9.140625" style="52"/>
    <col min="10498" max="10498" width="2.7109375" style="52" customWidth="1"/>
    <col min="10499" max="10499" width="9.140625" style="52"/>
    <col min="10500" max="10500" width="40.28515625" style="52" bestFit="1" customWidth="1"/>
    <col min="10501" max="10501" width="12.85546875" style="52" customWidth="1"/>
    <col min="10502" max="10502" width="10" style="52" customWidth="1"/>
    <col min="10503" max="10503" width="19.42578125" style="52" customWidth="1"/>
    <col min="10504" max="10504" width="7.7109375" style="52" customWidth="1"/>
    <col min="10505" max="10505" width="12.28515625" style="52" customWidth="1"/>
    <col min="10506" max="10506" width="12.7109375" style="52" customWidth="1"/>
    <col min="10507" max="10507" width="13.5703125" style="52" customWidth="1"/>
    <col min="10508" max="10508" width="11.85546875" style="52" customWidth="1"/>
    <col min="10509" max="10753" width="9.140625" style="52"/>
    <col min="10754" max="10754" width="2.7109375" style="52" customWidth="1"/>
    <col min="10755" max="10755" width="9.140625" style="52"/>
    <col min="10756" max="10756" width="40.28515625" style="52" bestFit="1" customWidth="1"/>
    <col min="10757" max="10757" width="12.85546875" style="52" customWidth="1"/>
    <col min="10758" max="10758" width="10" style="52" customWidth="1"/>
    <col min="10759" max="10759" width="19.42578125" style="52" customWidth="1"/>
    <col min="10760" max="10760" width="7.7109375" style="52" customWidth="1"/>
    <col min="10761" max="10761" width="12.28515625" style="52" customWidth="1"/>
    <col min="10762" max="10762" width="12.7109375" style="52" customWidth="1"/>
    <col min="10763" max="10763" width="13.5703125" style="52" customWidth="1"/>
    <col min="10764" max="10764" width="11.85546875" style="52" customWidth="1"/>
    <col min="10765" max="11009" width="9.140625" style="52"/>
    <col min="11010" max="11010" width="2.7109375" style="52" customWidth="1"/>
    <col min="11011" max="11011" width="9.140625" style="52"/>
    <col min="11012" max="11012" width="40.28515625" style="52" bestFit="1" customWidth="1"/>
    <col min="11013" max="11013" width="12.85546875" style="52" customWidth="1"/>
    <col min="11014" max="11014" width="10" style="52" customWidth="1"/>
    <col min="11015" max="11015" width="19.42578125" style="52" customWidth="1"/>
    <col min="11016" max="11016" width="7.7109375" style="52" customWidth="1"/>
    <col min="11017" max="11017" width="12.28515625" style="52" customWidth="1"/>
    <col min="11018" max="11018" width="12.7109375" style="52" customWidth="1"/>
    <col min="11019" max="11019" width="13.5703125" style="52" customWidth="1"/>
    <col min="11020" max="11020" width="11.85546875" style="52" customWidth="1"/>
    <col min="11021" max="11265" width="9.140625" style="52"/>
    <col min="11266" max="11266" width="2.7109375" style="52" customWidth="1"/>
    <col min="11267" max="11267" width="9.140625" style="52"/>
    <col min="11268" max="11268" width="40.28515625" style="52" bestFit="1" customWidth="1"/>
    <col min="11269" max="11269" width="12.85546875" style="52" customWidth="1"/>
    <col min="11270" max="11270" width="10" style="52" customWidth="1"/>
    <col min="11271" max="11271" width="19.42578125" style="52" customWidth="1"/>
    <col min="11272" max="11272" width="7.7109375" style="52" customWidth="1"/>
    <col min="11273" max="11273" width="12.28515625" style="52" customWidth="1"/>
    <col min="11274" max="11274" width="12.7109375" style="52" customWidth="1"/>
    <col min="11275" max="11275" width="13.5703125" style="52" customWidth="1"/>
    <col min="11276" max="11276" width="11.85546875" style="52" customWidth="1"/>
    <col min="11277" max="11521" width="9.140625" style="52"/>
    <col min="11522" max="11522" width="2.7109375" style="52" customWidth="1"/>
    <col min="11523" max="11523" width="9.140625" style="52"/>
    <col min="11524" max="11524" width="40.28515625" style="52" bestFit="1" customWidth="1"/>
    <col min="11525" max="11525" width="12.85546875" style="52" customWidth="1"/>
    <col min="11526" max="11526" width="10" style="52" customWidth="1"/>
    <col min="11527" max="11527" width="19.42578125" style="52" customWidth="1"/>
    <col min="11528" max="11528" width="7.7109375" style="52" customWidth="1"/>
    <col min="11529" max="11529" width="12.28515625" style="52" customWidth="1"/>
    <col min="11530" max="11530" width="12.7109375" style="52" customWidth="1"/>
    <col min="11531" max="11531" width="13.5703125" style="52" customWidth="1"/>
    <col min="11532" max="11532" width="11.85546875" style="52" customWidth="1"/>
    <col min="11533" max="11777" width="9.140625" style="52"/>
    <col min="11778" max="11778" width="2.7109375" style="52" customWidth="1"/>
    <col min="11779" max="11779" width="9.140625" style="52"/>
    <col min="11780" max="11780" width="40.28515625" style="52" bestFit="1" customWidth="1"/>
    <col min="11781" max="11781" width="12.85546875" style="52" customWidth="1"/>
    <col min="11782" max="11782" width="10" style="52" customWidth="1"/>
    <col min="11783" max="11783" width="19.42578125" style="52" customWidth="1"/>
    <col min="11784" max="11784" width="7.7109375" style="52" customWidth="1"/>
    <col min="11785" max="11785" width="12.28515625" style="52" customWidth="1"/>
    <col min="11786" max="11786" width="12.7109375" style="52" customWidth="1"/>
    <col min="11787" max="11787" width="13.5703125" style="52" customWidth="1"/>
    <col min="11788" max="11788" width="11.85546875" style="52" customWidth="1"/>
    <col min="11789" max="12033" width="9.140625" style="52"/>
    <col min="12034" max="12034" width="2.7109375" style="52" customWidth="1"/>
    <col min="12035" max="12035" width="9.140625" style="52"/>
    <col min="12036" max="12036" width="40.28515625" style="52" bestFit="1" customWidth="1"/>
    <col min="12037" max="12037" width="12.85546875" style="52" customWidth="1"/>
    <col min="12038" max="12038" width="10" style="52" customWidth="1"/>
    <col min="12039" max="12039" width="19.42578125" style="52" customWidth="1"/>
    <col min="12040" max="12040" width="7.7109375" style="52" customWidth="1"/>
    <col min="12041" max="12041" width="12.28515625" style="52" customWidth="1"/>
    <col min="12042" max="12042" width="12.7109375" style="52" customWidth="1"/>
    <col min="12043" max="12043" width="13.5703125" style="52" customWidth="1"/>
    <col min="12044" max="12044" width="11.85546875" style="52" customWidth="1"/>
    <col min="12045" max="12289" width="9.140625" style="52"/>
    <col min="12290" max="12290" width="2.7109375" style="52" customWidth="1"/>
    <col min="12291" max="12291" width="9.140625" style="52"/>
    <col min="12292" max="12292" width="40.28515625" style="52" bestFit="1" customWidth="1"/>
    <col min="12293" max="12293" width="12.85546875" style="52" customWidth="1"/>
    <col min="12294" max="12294" width="10" style="52" customWidth="1"/>
    <col min="12295" max="12295" width="19.42578125" style="52" customWidth="1"/>
    <col min="12296" max="12296" width="7.7109375" style="52" customWidth="1"/>
    <col min="12297" max="12297" width="12.28515625" style="52" customWidth="1"/>
    <col min="12298" max="12298" width="12.7109375" style="52" customWidth="1"/>
    <col min="12299" max="12299" width="13.5703125" style="52" customWidth="1"/>
    <col min="12300" max="12300" width="11.85546875" style="52" customWidth="1"/>
    <col min="12301" max="12545" width="9.140625" style="52"/>
    <col min="12546" max="12546" width="2.7109375" style="52" customWidth="1"/>
    <col min="12547" max="12547" width="9.140625" style="52"/>
    <col min="12548" max="12548" width="40.28515625" style="52" bestFit="1" customWidth="1"/>
    <col min="12549" max="12549" width="12.85546875" style="52" customWidth="1"/>
    <col min="12550" max="12550" width="10" style="52" customWidth="1"/>
    <col min="12551" max="12551" width="19.42578125" style="52" customWidth="1"/>
    <col min="12552" max="12552" width="7.7109375" style="52" customWidth="1"/>
    <col min="12553" max="12553" width="12.28515625" style="52" customWidth="1"/>
    <col min="12554" max="12554" width="12.7109375" style="52" customWidth="1"/>
    <col min="12555" max="12555" width="13.5703125" style="52" customWidth="1"/>
    <col min="12556" max="12556" width="11.85546875" style="52" customWidth="1"/>
    <col min="12557" max="12801" width="9.140625" style="52"/>
    <col min="12802" max="12802" width="2.7109375" style="52" customWidth="1"/>
    <col min="12803" max="12803" width="9.140625" style="52"/>
    <col min="12804" max="12804" width="40.28515625" style="52" bestFit="1" customWidth="1"/>
    <col min="12805" max="12805" width="12.85546875" style="52" customWidth="1"/>
    <col min="12806" max="12806" width="10" style="52" customWidth="1"/>
    <col min="12807" max="12807" width="19.42578125" style="52" customWidth="1"/>
    <col min="12808" max="12808" width="7.7109375" style="52" customWidth="1"/>
    <col min="12809" max="12809" width="12.28515625" style="52" customWidth="1"/>
    <col min="12810" max="12810" width="12.7109375" style="52" customWidth="1"/>
    <col min="12811" max="12811" width="13.5703125" style="52" customWidth="1"/>
    <col min="12812" max="12812" width="11.85546875" style="52" customWidth="1"/>
    <col min="12813" max="13057" width="9.140625" style="52"/>
    <col min="13058" max="13058" width="2.7109375" style="52" customWidth="1"/>
    <col min="13059" max="13059" width="9.140625" style="52"/>
    <col min="13060" max="13060" width="40.28515625" style="52" bestFit="1" customWidth="1"/>
    <col min="13061" max="13061" width="12.85546875" style="52" customWidth="1"/>
    <col min="13062" max="13062" width="10" style="52" customWidth="1"/>
    <col min="13063" max="13063" width="19.42578125" style="52" customWidth="1"/>
    <col min="13064" max="13064" width="7.7109375" style="52" customWidth="1"/>
    <col min="13065" max="13065" width="12.28515625" style="52" customWidth="1"/>
    <col min="13066" max="13066" width="12.7109375" style="52" customWidth="1"/>
    <col min="13067" max="13067" width="13.5703125" style="52" customWidth="1"/>
    <col min="13068" max="13068" width="11.85546875" style="52" customWidth="1"/>
    <col min="13069" max="13313" width="9.140625" style="52"/>
    <col min="13314" max="13314" width="2.7109375" style="52" customWidth="1"/>
    <col min="13315" max="13315" width="9.140625" style="52"/>
    <col min="13316" max="13316" width="40.28515625" style="52" bestFit="1" customWidth="1"/>
    <col min="13317" max="13317" width="12.85546875" style="52" customWidth="1"/>
    <col min="13318" max="13318" width="10" style="52" customWidth="1"/>
    <col min="13319" max="13319" width="19.42578125" style="52" customWidth="1"/>
    <col min="13320" max="13320" width="7.7109375" style="52" customWidth="1"/>
    <col min="13321" max="13321" width="12.28515625" style="52" customWidth="1"/>
    <col min="13322" max="13322" width="12.7109375" style="52" customWidth="1"/>
    <col min="13323" max="13323" width="13.5703125" style="52" customWidth="1"/>
    <col min="13324" max="13324" width="11.85546875" style="52" customWidth="1"/>
    <col min="13325" max="13569" width="9.140625" style="52"/>
    <col min="13570" max="13570" width="2.7109375" style="52" customWidth="1"/>
    <col min="13571" max="13571" width="9.140625" style="52"/>
    <col min="13572" max="13572" width="40.28515625" style="52" bestFit="1" customWidth="1"/>
    <col min="13573" max="13573" width="12.85546875" style="52" customWidth="1"/>
    <col min="13574" max="13574" width="10" style="52" customWidth="1"/>
    <col min="13575" max="13575" width="19.42578125" style="52" customWidth="1"/>
    <col min="13576" max="13576" width="7.7109375" style="52" customWidth="1"/>
    <col min="13577" max="13577" width="12.28515625" style="52" customWidth="1"/>
    <col min="13578" max="13578" width="12.7109375" style="52" customWidth="1"/>
    <col min="13579" max="13579" width="13.5703125" style="52" customWidth="1"/>
    <col min="13580" max="13580" width="11.85546875" style="52" customWidth="1"/>
    <col min="13581" max="13825" width="9.140625" style="52"/>
    <col min="13826" max="13826" width="2.7109375" style="52" customWidth="1"/>
    <col min="13827" max="13827" width="9.140625" style="52"/>
    <col min="13828" max="13828" width="40.28515625" style="52" bestFit="1" customWidth="1"/>
    <col min="13829" max="13829" width="12.85546875" style="52" customWidth="1"/>
    <col min="13830" max="13830" width="10" style="52" customWidth="1"/>
    <col min="13831" max="13831" width="19.42578125" style="52" customWidth="1"/>
    <col min="13832" max="13832" width="7.7109375" style="52" customWidth="1"/>
    <col min="13833" max="13833" width="12.28515625" style="52" customWidth="1"/>
    <col min="13834" max="13834" width="12.7109375" style="52" customWidth="1"/>
    <col min="13835" max="13835" width="13.5703125" style="52" customWidth="1"/>
    <col min="13836" max="13836" width="11.85546875" style="52" customWidth="1"/>
    <col min="13837" max="14081" width="9.140625" style="52"/>
    <col min="14082" max="14082" width="2.7109375" style="52" customWidth="1"/>
    <col min="14083" max="14083" width="9.140625" style="52"/>
    <col min="14084" max="14084" width="40.28515625" style="52" bestFit="1" customWidth="1"/>
    <col min="14085" max="14085" width="12.85546875" style="52" customWidth="1"/>
    <col min="14086" max="14086" width="10" style="52" customWidth="1"/>
    <col min="14087" max="14087" width="19.42578125" style="52" customWidth="1"/>
    <col min="14088" max="14088" width="7.7109375" style="52" customWidth="1"/>
    <col min="14089" max="14089" width="12.28515625" style="52" customWidth="1"/>
    <col min="14090" max="14090" width="12.7109375" style="52" customWidth="1"/>
    <col min="14091" max="14091" width="13.5703125" style="52" customWidth="1"/>
    <col min="14092" max="14092" width="11.85546875" style="52" customWidth="1"/>
    <col min="14093" max="14337" width="9.140625" style="52"/>
    <col min="14338" max="14338" width="2.7109375" style="52" customWidth="1"/>
    <col min="14339" max="14339" width="9.140625" style="52"/>
    <col min="14340" max="14340" width="40.28515625" style="52" bestFit="1" customWidth="1"/>
    <col min="14341" max="14341" width="12.85546875" style="52" customWidth="1"/>
    <col min="14342" max="14342" width="10" style="52" customWidth="1"/>
    <col min="14343" max="14343" width="19.42578125" style="52" customWidth="1"/>
    <col min="14344" max="14344" width="7.7109375" style="52" customWidth="1"/>
    <col min="14345" max="14345" width="12.28515625" style="52" customWidth="1"/>
    <col min="14346" max="14346" width="12.7109375" style="52" customWidth="1"/>
    <col min="14347" max="14347" width="13.5703125" style="52" customWidth="1"/>
    <col min="14348" max="14348" width="11.85546875" style="52" customWidth="1"/>
    <col min="14349" max="14593" width="9.140625" style="52"/>
    <col min="14594" max="14594" width="2.7109375" style="52" customWidth="1"/>
    <col min="14595" max="14595" width="9.140625" style="52"/>
    <col min="14596" max="14596" width="40.28515625" style="52" bestFit="1" customWidth="1"/>
    <col min="14597" max="14597" width="12.85546875" style="52" customWidth="1"/>
    <col min="14598" max="14598" width="10" style="52" customWidth="1"/>
    <col min="14599" max="14599" width="19.42578125" style="52" customWidth="1"/>
    <col min="14600" max="14600" width="7.7109375" style="52" customWidth="1"/>
    <col min="14601" max="14601" width="12.28515625" style="52" customWidth="1"/>
    <col min="14602" max="14602" width="12.7109375" style="52" customWidth="1"/>
    <col min="14603" max="14603" width="13.5703125" style="52" customWidth="1"/>
    <col min="14604" max="14604" width="11.85546875" style="52" customWidth="1"/>
    <col min="14605" max="14849" width="9.140625" style="52"/>
    <col min="14850" max="14850" width="2.7109375" style="52" customWidth="1"/>
    <col min="14851" max="14851" width="9.140625" style="52"/>
    <col min="14852" max="14852" width="40.28515625" style="52" bestFit="1" customWidth="1"/>
    <col min="14853" max="14853" width="12.85546875" style="52" customWidth="1"/>
    <col min="14854" max="14854" width="10" style="52" customWidth="1"/>
    <col min="14855" max="14855" width="19.42578125" style="52" customWidth="1"/>
    <col min="14856" max="14856" width="7.7109375" style="52" customWidth="1"/>
    <col min="14857" max="14857" width="12.28515625" style="52" customWidth="1"/>
    <col min="14858" max="14858" width="12.7109375" style="52" customWidth="1"/>
    <col min="14859" max="14859" width="13.5703125" style="52" customWidth="1"/>
    <col min="14860" max="14860" width="11.85546875" style="52" customWidth="1"/>
    <col min="14861" max="15105" width="9.140625" style="52"/>
    <col min="15106" max="15106" width="2.7109375" style="52" customWidth="1"/>
    <col min="15107" max="15107" width="9.140625" style="52"/>
    <col min="15108" max="15108" width="40.28515625" style="52" bestFit="1" customWidth="1"/>
    <col min="15109" max="15109" width="12.85546875" style="52" customWidth="1"/>
    <col min="15110" max="15110" width="10" style="52" customWidth="1"/>
    <col min="15111" max="15111" width="19.42578125" style="52" customWidth="1"/>
    <col min="15112" max="15112" width="7.7109375" style="52" customWidth="1"/>
    <col min="15113" max="15113" width="12.28515625" style="52" customWidth="1"/>
    <col min="15114" max="15114" width="12.7109375" style="52" customWidth="1"/>
    <col min="15115" max="15115" width="13.5703125" style="52" customWidth="1"/>
    <col min="15116" max="15116" width="11.85546875" style="52" customWidth="1"/>
    <col min="15117" max="15361" width="9.140625" style="52"/>
    <col min="15362" max="15362" width="2.7109375" style="52" customWidth="1"/>
    <col min="15363" max="15363" width="9.140625" style="52"/>
    <col min="15364" max="15364" width="40.28515625" style="52" bestFit="1" customWidth="1"/>
    <col min="15365" max="15365" width="12.85546875" style="52" customWidth="1"/>
    <col min="15366" max="15366" width="10" style="52" customWidth="1"/>
    <col min="15367" max="15367" width="19.42578125" style="52" customWidth="1"/>
    <col min="15368" max="15368" width="7.7109375" style="52" customWidth="1"/>
    <col min="15369" max="15369" width="12.28515625" style="52" customWidth="1"/>
    <col min="15370" max="15370" width="12.7109375" style="52" customWidth="1"/>
    <col min="15371" max="15371" width="13.5703125" style="52" customWidth="1"/>
    <col min="15372" max="15372" width="11.85546875" style="52" customWidth="1"/>
    <col min="15373" max="15617" width="9.140625" style="52"/>
    <col min="15618" max="15618" width="2.7109375" style="52" customWidth="1"/>
    <col min="15619" max="15619" width="9.140625" style="52"/>
    <col min="15620" max="15620" width="40.28515625" style="52" bestFit="1" customWidth="1"/>
    <col min="15621" max="15621" width="12.85546875" style="52" customWidth="1"/>
    <col min="15622" max="15622" width="10" style="52" customWidth="1"/>
    <col min="15623" max="15623" width="19.42578125" style="52" customWidth="1"/>
    <col min="15624" max="15624" width="7.7109375" style="52" customWidth="1"/>
    <col min="15625" max="15625" width="12.28515625" style="52" customWidth="1"/>
    <col min="15626" max="15626" width="12.7109375" style="52" customWidth="1"/>
    <col min="15627" max="15627" width="13.5703125" style="52" customWidth="1"/>
    <col min="15628" max="15628" width="11.85546875" style="52" customWidth="1"/>
    <col min="15629" max="15873" width="9.140625" style="52"/>
    <col min="15874" max="15874" width="2.7109375" style="52" customWidth="1"/>
    <col min="15875" max="15875" width="9.140625" style="52"/>
    <col min="15876" max="15876" width="40.28515625" style="52" bestFit="1" customWidth="1"/>
    <col min="15877" max="15877" width="12.85546875" style="52" customWidth="1"/>
    <col min="15878" max="15878" width="10" style="52" customWidth="1"/>
    <col min="15879" max="15879" width="19.42578125" style="52" customWidth="1"/>
    <col min="15880" max="15880" width="7.7109375" style="52" customWidth="1"/>
    <col min="15881" max="15881" width="12.28515625" style="52" customWidth="1"/>
    <col min="15882" max="15882" width="12.7109375" style="52" customWidth="1"/>
    <col min="15883" max="15883" width="13.5703125" style="52" customWidth="1"/>
    <col min="15884" max="15884" width="11.85546875" style="52" customWidth="1"/>
    <col min="15885" max="16129" width="9.140625" style="52"/>
    <col min="16130" max="16130" width="2.7109375" style="52" customWidth="1"/>
    <col min="16131" max="16131" width="9.140625" style="52"/>
    <col min="16132" max="16132" width="40.28515625" style="52" bestFit="1" customWidth="1"/>
    <col min="16133" max="16133" width="12.85546875" style="52" customWidth="1"/>
    <col min="16134" max="16134" width="10" style="52" customWidth="1"/>
    <col min="16135" max="16135" width="19.42578125" style="52" customWidth="1"/>
    <col min="16136" max="16136" width="7.7109375" style="52" customWidth="1"/>
    <col min="16137" max="16137" width="12.28515625" style="52" customWidth="1"/>
    <col min="16138" max="16138" width="12.7109375" style="52" customWidth="1"/>
    <col min="16139" max="16139" width="13.5703125" style="52" customWidth="1"/>
    <col min="16140" max="16140" width="11.85546875" style="52" customWidth="1"/>
    <col min="16141" max="16384" width="9.140625" style="52"/>
  </cols>
  <sheetData>
    <row r="1" spans="1:13" x14ac:dyDescent="0.2">
      <c r="G1" s="155"/>
      <c r="H1" s="154"/>
      <c r="I1" s="155"/>
      <c r="J1" s="155"/>
      <c r="K1" s="152" t="s">
        <v>301</v>
      </c>
      <c r="L1" s="61" t="str">
        <f>EBNUMBER</f>
        <v>EB-2016-0066</v>
      </c>
      <c r="M1" s="155"/>
    </row>
    <row r="2" spans="1:13" x14ac:dyDescent="0.2">
      <c r="G2" s="155"/>
      <c r="H2" s="154"/>
      <c r="I2" s="155"/>
      <c r="J2" s="155"/>
      <c r="K2" s="152" t="s">
        <v>302</v>
      </c>
      <c r="L2" s="51"/>
      <c r="M2" s="155"/>
    </row>
    <row r="3" spans="1:13" x14ac:dyDescent="0.2">
      <c r="G3" s="155"/>
      <c r="H3" s="154"/>
      <c r="I3" s="155"/>
      <c r="J3" s="155"/>
      <c r="K3" s="152" t="s">
        <v>303</v>
      </c>
      <c r="L3" s="51"/>
      <c r="M3" s="155"/>
    </row>
    <row r="4" spans="1:13" x14ac:dyDescent="0.2">
      <c r="G4" s="155"/>
      <c r="H4" s="154"/>
      <c r="I4" s="155"/>
      <c r="J4" s="155"/>
      <c r="K4" s="152" t="s">
        <v>304</v>
      </c>
      <c r="L4" s="51"/>
      <c r="M4" s="155"/>
    </row>
    <row r="5" spans="1:13" x14ac:dyDescent="0.2">
      <c r="G5" s="155"/>
      <c r="H5" s="154"/>
      <c r="I5" s="155"/>
      <c r="J5" s="155"/>
      <c r="K5" s="152" t="s">
        <v>305</v>
      </c>
      <c r="L5" s="1093"/>
      <c r="M5" s="155"/>
    </row>
    <row r="6" spans="1:13" x14ac:dyDescent="0.2">
      <c r="G6" s="155"/>
      <c r="H6" s="154"/>
      <c r="I6" s="155"/>
      <c r="J6" s="155"/>
      <c r="K6" s="152"/>
      <c r="L6" s="1092"/>
      <c r="M6" s="155"/>
    </row>
    <row r="7" spans="1:13" x14ac:dyDescent="0.2">
      <c r="G7" s="155"/>
      <c r="H7" s="154"/>
      <c r="I7" s="155"/>
      <c r="J7" s="239"/>
      <c r="K7" s="152" t="s">
        <v>306</v>
      </c>
      <c r="L7" s="1093"/>
      <c r="M7" s="239"/>
    </row>
    <row r="9" spans="1:13" ht="21" x14ac:dyDescent="0.25">
      <c r="A9" s="1591" t="s">
        <v>1072</v>
      </c>
      <c r="B9" s="1591"/>
      <c r="C9" s="1591"/>
      <c r="D9" s="1591"/>
      <c r="E9" s="1591"/>
      <c r="F9" s="1591"/>
      <c r="G9" s="1591"/>
      <c r="H9" s="1591"/>
      <c r="I9" s="1591"/>
      <c r="J9" s="1591"/>
      <c r="K9" s="1591"/>
      <c r="L9" s="1591"/>
    </row>
    <row r="10" spans="1:13" ht="18" x14ac:dyDescent="0.25">
      <c r="A10" s="1591" t="s">
        <v>2</v>
      </c>
      <c r="B10" s="1591"/>
      <c r="C10" s="1591"/>
      <c r="D10" s="1591"/>
      <c r="E10" s="1591"/>
      <c r="F10" s="1591"/>
      <c r="G10" s="1591"/>
      <c r="H10" s="1591"/>
      <c r="I10" s="1591"/>
      <c r="J10" s="1591"/>
      <c r="K10" s="1591"/>
      <c r="L10" s="1591"/>
    </row>
    <row r="11" spans="1:13" ht="22.5" customHeight="1" x14ac:dyDescent="0.25">
      <c r="A11" s="1591" t="s">
        <v>1071</v>
      </c>
      <c r="B11" s="1591"/>
      <c r="C11" s="1591"/>
      <c r="D11" s="1591"/>
      <c r="E11" s="1591"/>
      <c r="F11" s="1591"/>
      <c r="G11" s="1591"/>
      <c r="H11" s="1591"/>
      <c r="I11" s="1591"/>
      <c r="J11" s="1591"/>
      <c r="K11" s="1591"/>
      <c r="L11" s="1591"/>
      <c r="M11" s="1112"/>
    </row>
    <row r="12" spans="1:13" ht="22.5" customHeight="1" x14ac:dyDescent="0.25">
      <c r="A12" s="1112"/>
      <c r="B12" s="1112"/>
      <c r="C12" s="1112"/>
      <c r="D12" s="1112"/>
      <c r="E12" s="1112"/>
      <c r="F12" s="1112"/>
      <c r="G12" s="1112"/>
      <c r="H12" s="1112"/>
      <c r="I12" s="1112"/>
      <c r="J12" s="1112"/>
      <c r="K12" s="1112"/>
      <c r="L12" s="1112"/>
      <c r="M12" s="1112"/>
    </row>
    <row r="13" spans="1:13" x14ac:dyDescent="0.2">
      <c r="A13" s="204" t="s">
        <v>1070</v>
      </c>
      <c r="B13" s="295"/>
      <c r="C13" s="295"/>
      <c r="D13" s="295"/>
      <c r="E13" s="295"/>
      <c r="F13" s="295"/>
      <c r="G13" s="295"/>
      <c r="H13" s="295"/>
      <c r="I13" s="295"/>
      <c r="J13" s="295"/>
      <c r="K13" s="295"/>
      <c r="L13" s="295"/>
    </row>
    <row r="14" spans="1:13" ht="22.5" customHeight="1" x14ac:dyDescent="0.2">
      <c r="A14" s="204"/>
      <c r="B14" s="295"/>
      <c r="C14" s="295"/>
      <c r="D14" s="295"/>
      <c r="E14" s="295"/>
      <c r="F14" s="295"/>
      <c r="H14" s="295"/>
      <c r="I14" s="295"/>
      <c r="J14" s="295"/>
      <c r="K14" s="295"/>
      <c r="L14" s="295"/>
    </row>
    <row r="15" spans="1:13" ht="22.5" customHeight="1" x14ac:dyDescent="0.2">
      <c r="B15" s="1113"/>
      <c r="C15" s="1136"/>
      <c r="D15" s="1136" t="s">
        <v>882</v>
      </c>
      <c r="E15" s="48" t="s">
        <v>105</v>
      </c>
      <c r="F15" s="1113"/>
      <c r="G15" s="1138"/>
      <c r="H15" s="1113"/>
      <c r="I15" s="1113"/>
      <c r="J15" s="1113"/>
      <c r="K15" s="1113"/>
      <c r="L15" s="295"/>
    </row>
    <row r="16" spans="1:13" ht="13.5" customHeight="1" x14ac:dyDescent="0.25">
      <c r="A16" s="1046"/>
      <c r="B16" s="1046"/>
      <c r="C16" s="1136"/>
      <c r="D16" s="1136" t="s">
        <v>102</v>
      </c>
      <c r="E16" s="1137">
        <v>2013</v>
      </c>
      <c r="H16" s="1046"/>
      <c r="I16" s="1046"/>
      <c r="J16" s="1046"/>
    </row>
    <row r="17" spans="1:12" ht="15" customHeight="1" thickBot="1" x14ac:dyDescent="0.25"/>
    <row r="18" spans="1:12" ht="61.5" customHeight="1" x14ac:dyDescent="0.2">
      <c r="A18" s="1685" t="s">
        <v>3</v>
      </c>
      <c r="B18" s="1687" t="s">
        <v>235</v>
      </c>
      <c r="C18" s="245" t="s">
        <v>1043</v>
      </c>
      <c r="D18" s="245" t="s">
        <v>476</v>
      </c>
      <c r="E18" s="245" t="s">
        <v>477</v>
      </c>
      <c r="F18" s="245" t="s">
        <v>237</v>
      </c>
      <c r="G18" s="245" t="s">
        <v>1073</v>
      </c>
      <c r="H18" s="245" t="s">
        <v>6</v>
      </c>
      <c r="I18" s="245" t="s">
        <v>298</v>
      </c>
      <c r="J18" s="277" t="s">
        <v>1082</v>
      </c>
      <c r="K18" s="1697" t="s">
        <v>1062</v>
      </c>
      <c r="L18" s="277" t="s">
        <v>1074</v>
      </c>
    </row>
    <row r="19" spans="1:12" ht="25.5" customHeight="1" x14ac:dyDescent="0.2">
      <c r="A19" s="1686"/>
      <c r="B19" s="1688"/>
      <c r="C19" s="249" t="s">
        <v>4</v>
      </c>
      <c r="D19" s="249" t="s">
        <v>478</v>
      </c>
      <c r="E19" s="249" t="s">
        <v>479</v>
      </c>
      <c r="F19" s="249" t="s">
        <v>5</v>
      </c>
      <c r="G19" s="328" t="s">
        <v>997</v>
      </c>
      <c r="H19" s="249" t="s">
        <v>7</v>
      </c>
      <c r="I19" s="249" t="s">
        <v>8</v>
      </c>
      <c r="J19" s="329" t="s">
        <v>9</v>
      </c>
      <c r="K19" s="1711"/>
      <c r="L19" s="329" t="s">
        <v>382</v>
      </c>
    </row>
    <row r="20" spans="1:12" ht="25.5" x14ac:dyDescent="0.2">
      <c r="A20" s="1064">
        <v>1611</v>
      </c>
      <c r="B20" s="172" t="s">
        <v>381</v>
      </c>
      <c r="C20" s="173">
        <v>241021</v>
      </c>
      <c r="D20" s="173">
        <v>145574</v>
      </c>
      <c r="E20" s="191">
        <f>C20-D20</f>
        <v>95447</v>
      </c>
      <c r="F20" s="173">
        <v>2716</v>
      </c>
      <c r="G20" s="191">
        <f>E20+0.5*F20</f>
        <v>96805</v>
      </c>
      <c r="H20" s="250">
        <v>5</v>
      </c>
      <c r="I20" s="251">
        <f t="shared" ref="I20:I66" si="0">IF(H20=0,0,1/H20)</f>
        <v>0.2</v>
      </c>
      <c r="J20" s="191">
        <f t="shared" ref="J20:J66" si="1">IF(H20=0,0,G20/H20)</f>
        <v>19361</v>
      </c>
      <c r="K20" s="173">
        <v>19361</v>
      </c>
      <c r="L20" s="191">
        <f t="shared" ref="L20:L66" si="2">IF(ISERROR(+J20-K20), 0, +J20-K20)</f>
        <v>0</v>
      </c>
    </row>
    <row r="21" spans="1:12" x14ac:dyDescent="0.2">
      <c r="A21" s="1064">
        <v>1612</v>
      </c>
      <c r="B21" s="172" t="s">
        <v>442</v>
      </c>
      <c r="C21" s="173">
        <v>2945</v>
      </c>
      <c r="D21" s="173">
        <v>2945</v>
      </c>
      <c r="E21" s="191">
        <f t="shared" ref="E21:E66" si="3">C21-D21</f>
        <v>0</v>
      </c>
      <c r="F21" s="173"/>
      <c r="G21" s="191">
        <f t="shared" ref="G21:G66" si="4">E21+0.5*F21</f>
        <v>0</v>
      </c>
      <c r="H21" s="250">
        <v>5</v>
      </c>
      <c r="I21" s="252">
        <f t="shared" si="0"/>
        <v>0.2</v>
      </c>
      <c r="J21" s="191">
        <f t="shared" si="1"/>
        <v>0</v>
      </c>
      <c r="K21" s="173"/>
      <c r="L21" s="191">
        <f t="shared" si="2"/>
        <v>0</v>
      </c>
    </row>
    <row r="22" spans="1:12" x14ac:dyDescent="0.2">
      <c r="A22" s="253">
        <v>1805</v>
      </c>
      <c r="B22" s="179" t="s">
        <v>267</v>
      </c>
      <c r="C22" s="173">
        <v>2112</v>
      </c>
      <c r="D22" s="173">
        <v>0</v>
      </c>
      <c r="E22" s="191">
        <f t="shared" si="3"/>
        <v>2112</v>
      </c>
      <c r="F22" s="173"/>
      <c r="G22" s="191">
        <f t="shared" si="4"/>
        <v>2112</v>
      </c>
      <c r="H22" s="250"/>
      <c r="I22" s="252">
        <f t="shared" si="0"/>
        <v>0</v>
      </c>
      <c r="J22" s="191">
        <f t="shared" si="1"/>
        <v>0</v>
      </c>
      <c r="K22" s="173"/>
      <c r="L22" s="191">
        <f t="shared" si="2"/>
        <v>0</v>
      </c>
    </row>
    <row r="23" spans="1:12" x14ac:dyDescent="0.2">
      <c r="A23" s="1064">
        <v>1808</v>
      </c>
      <c r="B23" s="180" t="s">
        <v>268</v>
      </c>
      <c r="C23" s="173"/>
      <c r="D23" s="173"/>
      <c r="E23" s="191">
        <f t="shared" si="3"/>
        <v>0</v>
      </c>
      <c r="F23" s="173"/>
      <c r="G23" s="191">
        <f t="shared" si="4"/>
        <v>0</v>
      </c>
      <c r="H23" s="250"/>
      <c r="I23" s="252">
        <f t="shared" si="0"/>
        <v>0</v>
      </c>
      <c r="J23" s="191">
        <f t="shared" si="1"/>
        <v>0</v>
      </c>
      <c r="K23" s="173"/>
      <c r="L23" s="191">
        <f t="shared" si="2"/>
        <v>0</v>
      </c>
    </row>
    <row r="24" spans="1:12" x14ac:dyDescent="0.2">
      <c r="A24" s="1064">
        <v>1810</v>
      </c>
      <c r="B24" s="180" t="s">
        <v>299</v>
      </c>
      <c r="C24" s="173"/>
      <c r="D24" s="173"/>
      <c r="E24" s="191">
        <f t="shared" si="3"/>
        <v>0</v>
      </c>
      <c r="F24" s="173"/>
      <c r="G24" s="191">
        <f t="shared" si="4"/>
        <v>0</v>
      </c>
      <c r="H24" s="250"/>
      <c r="I24" s="252">
        <f t="shared" si="0"/>
        <v>0</v>
      </c>
      <c r="J24" s="191">
        <f t="shared" si="1"/>
        <v>0</v>
      </c>
      <c r="K24" s="173"/>
      <c r="L24" s="191">
        <f t="shared" si="2"/>
        <v>0</v>
      </c>
    </row>
    <row r="25" spans="1:12" x14ac:dyDescent="0.2">
      <c r="A25" s="1064">
        <v>1815</v>
      </c>
      <c r="B25" s="180" t="s">
        <v>269</v>
      </c>
      <c r="C25" s="173"/>
      <c r="D25" s="173"/>
      <c r="E25" s="191">
        <f t="shared" si="3"/>
        <v>0</v>
      </c>
      <c r="F25" s="173"/>
      <c r="G25" s="191">
        <f t="shared" si="4"/>
        <v>0</v>
      </c>
      <c r="H25" s="250"/>
      <c r="I25" s="252">
        <f t="shared" si="0"/>
        <v>0</v>
      </c>
      <c r="J25" s="191">
        <f t="shared" si="1"/>
        <v>0</v>
      </c>
      <c r="K25" s="173"/>
      <c r="L25" s="191">
        <f t="shared" si="2"/>
        <v>0</v>
      </c>
    </row>
    <row r="26" spans="1:12" x14ac:dyDescent="0.2">
      <c r="A26" s="1064">
        <v>1820</v>
      </c>
      <c r="B26" s="172" t="s">
        <v>207</v>
      </c>
      <c r="C26" s="173">
        <v>142098</v>
      </c>
      <c r="D26" s="173">
        <v>140238</v>
      </c>
      <c r="E26" s="191">
        <f t="shared" si="3"/>
        <v>1860</v>
      </c>
      <c r="F26" s="173"/>
      <c r="G26" s="191">
        <f t="shared" si="4"/>
        <v>1860</v>
      </c>
      <c r="H26" s="250">
        <v>30</v>
      </c>
      <c r="I26" s="252">
        <f t="shared" si="0"/>
        <v>3.3333333333333333E-2</v>
      </c>
      <c r="J26" s="191">
        <f t="shared" si="1"/>
        <v>62</v>
      </c>
      <c r="K26" s="173">
        <v>62</v>
      </c>
      <c r="L26" s="191">
        <f t="shared" si="2"/>
        <v>0</v>
      </c>
    </row>
    <row r="27" spans="1:12" x14ac:dyDescent="0.2">
      <c r="A27" s="1064">
        <v>1825</v>
      </c>
      <c r="B27" s="180" t="s">
        <v>270</v>
      </c>
      <c r="C27" s="173"/>
      <c r="D27" s="173"/>
      <c r="E27" s="191">
        <f t="shared" si="3"/>
        <v>0</v>
      </c>
      <c r="F27" s="173"/>
      <c r="G27" s="191">
        <f t="shared" si="4"/>
        <v>0</v>
      </c>
      <c r="H27" s="250"/>
      <c r="I27" s="252">
        <f t="shared" si="0"/>
        <v>0</v>
      </c>
      <c r="J27" s="191">
        <f t="shared" si="1"/>
        <v>0</v>
      </c>
      <c r="K27" s="173"/>
      <c r="L27" s="191">
        <f t="shared" si="2"/>
        <v>0</v>
      </c>
    </row>
    <row r="28" spans="1:12" x14ac:dyDescent="0.2">
      <c r="A28" s="1064">
        <v>1830</v>
      </c>
      <c r="B28" s="180" t="s">
        <v>271</v>
      </c>
      <c r="C28" s="173">
        <v>912587</v>
      </c>
      <c r="D28" s="173">
        <v>116739.49999999991</v>
      </c>
      <c r="E28" s="191">
        <f t="shared" si="3"/>
        <v>795847.50000000012</v>
      </c>
      <c r="F28" s="173">
        <v>88785</v>
      </c>
      <c r="G28" s="191">
        <f t="shared" si="4"/>
        <v>840240.00000000012</v>
      </c>
      <c r="H28" s="250">
        <v>45</v>
      </c>
      <c r="I28" s="252">
        <f t="shared" si="0"/>
        <v>2.2222222222222223E-2</v>
      </c>
      <c r="J28" s="191">
        <f t="shared" si="1"/>
        <v>18672.000000000004</v>
      </c>
      <c r="K28" s="173">
        <v>18672</v>
      </c>
      <c r="L28" s="191">
        <f t="shared" si="2"/>
        <v>3.637978807091713E-12</v>
      </c>
    </row>
    <row r="29" spans="1:12" x14ac:dyDescent="0.2">
      <c r="A29" s="1064">
        <v>1835</v>
      </c>
      <c r="B29" s="180" t="s">
        <v>208</v>
      </c>
      <c r="C29" s="173">
        <v>6381164</v>
      </c>
      <c r="D29" s="173">
        <v>4236767.0000000009</v>
      </c>
      <c r="E29" s="191">
        <f t="shared" si="3"/>
        <v>2144396.9999999991</v>
      </c>
      <c r="F29" s="173">
        <v>76806</v>
      </c>
      <c r="G29" s="191">
        <f t="shared" si="4"/>
        <v>2182799.9999999991</v>
      </c>
      <c r="H29" s="250">
        <v>60</v>
      </c>
      <c r="I29" s="252">
        <f t="shared" si="0"/>
        <v>1.6666666666666666E-2</v>
      </c>
      <c r="J29" s="191">
        <f t="shared" si="1"/>
        <v>36379.999999999985</v>
      </c>
      <c r="K29" s="173">
        <v>36380</v>
      </c>
      <c r="L29" s="191">
        <f t="shared" si="2"/>
        <v>-1.4551915228366852E-11</v>
      </c>
    </row>
    <row r="30" spans="1:12" x14ac:dyDescent="0.2">
      <c r="A30" s="1064">
        <v>1840</v>
      </c>
      <c r="B30" s="180" t="s">
        <v>209</v>
      </c>
      <c r="C30" s="173">
        <v>1375872</v>
      </c>
      <c r="D30" s="173">
        <v>159320.00000000017</v>
      </c>
      <c r="E30" s="191">
        <f t="shared" si="3"/>
        <v>1216551.9999999998</v>
      </c>
      <c r="F30" s="173">
        <v>425196</v>
      </c>
      <c r="G30" s="191">
        <f t="shared" si="4"/>
        <v>1429149.9999999998</v>
      </c>
      <c r="H30" s="250">
        <v>50</v>
      </c>
      <c r="I30" s="252">
        <f t="shared" si="0"/>
        <v>0.02</v>
      </c>
      <c r="J30" s="191">
        <f t="shared" si="1"/>
        <v>28582.999999999996</v>
      </c>
      <c r="K30" s="173">
        <v>28583</v>
      </c>
      <c r="L30" s="191">
        <f t="shared" si="2"/>
        <v>-3.637978807091713E-12</v>
      </c>
    </row>
    <row r="31" spans="1:12" x14ac:dyDescent="0.2">
      <c r="A31" s="1064">
        <v>1845</v>
      </c>
      <c r="B31" s="180" t="s">
        <v>210</v>
      </c>
      <c r="C31" s="173">
        <v>7476397</v>
      </c>
      <c r="D31" s="173">
        <v>4022978.9999999995</v>
      </c>
      <c r="E31" s="191">
        <f t="shared" si="3"/>
        <v>3453418.0000000005</v>
      </c>
      <c r="F31" s="173">
        <v>440764</v>
      </c>
      <c r="G31" s="191">
        <f t="shared" si="4"/>
        <v>3673800.0000000005</v>
      </c>
      <c r="H31" s="250">
        <v>40</v>
      </c>
      <c r="I31" s="252">
        <f t="shared" si="0"/>
        <v>2.5000000000000001E-2</v>
      </c>
      <c r="J31" s="191">
        <f t="shared" si="1"/>
        <v>91845.000000000015</v>
      </c>
      <c r="K31" s="173">
        <v>91845</v>
      </c>
      <c r="L31" s="191">
        <f t="shared" si="2"/>
        <v>1.4551915228366852E-11</v>
      </c>
    </row>
    <row r="32" spans="1:12" x14ac:dyDescent="0.2">
      <c r="A32" s="1064">
        <v>1850</v>
      </c>
      <c r="B32" s="180" t="s">
        <v>272</v>
      </c>
      <c r="C32" s="173">
        <v>5727767</v>
      </c>
      <c r="D32" s="173">
        <v>2962439</v>
      </c>
      <c r="E32" s="191">
        <f t="shared" si="3"/>
        <v>2765328</v>
      </c>
      <c r="F32" s="173">
        <v>237824</v>
      </c>
      <c r="G32" s="191">
        <f t="shared" si="4"/>
        <v>2884240</v>
      </c>
      <c r="H32" s="250">
        <v>40</v>
      </c>
      <c r="I32" s="252">
        <f t="shared" si="0"/>
        <v>2.5000000000000001E-2</v>
      </c>
      <c r="J32" s="191">
        <f t="shared" si="1"/>
        <v>72106</v>
      </c>
      <c r="K32" s="173">
        <v>72106</v>
      </c>
      <c r="L32" s="191">
        <f t="shared" si="2"/>
        <v>0</v>
      </c>
    </row>
    <row r="33" spans="1:12" x14ac:dyDescent="0.2">
      <c r="A33" s="1478">
        <v>1851</v>
      </c>
      <c r="B33" s="180" t="s">
        <v>1416</v>
      </c>
      <c r="C33" s="173"/>
      <c r="D33" s="173"/>
      <c r="E33" s="191">
        <f t="shared" si="3"/>
        <v>0</v>
      </c>
      <c r="F33" s="173"/>
      <c r="G33" s="191">
        <f t="shared" si="4"/>
        <v>0</v>
      </c>
      <c r="H33" s="250">
        <v>20</v>
      </c>
      <c r="I33" s="252">
        <f t="shared" si="0"/>
        <v>0.05</v>
      </c>
      <c r="J33" s="191">
        <f t="shared" si="1"/>
        <v>0</v>
      </c>
      <c r="K33" s="173"/>
      <c r="L33" s="191">
        <f t="shared" si="2"/>
        <v>0</v>
      </c>
    </row>
    <row r="34" spans="1:12" ht="25.5" x14ac:dyDescent="0.2">
      <c r="A34" s="1478">
        <v>1852</v>
      </c>
      <c r="B34" s="180" t="s">
        <v>1422</v>
      </c>
      <c r="C34" s="173">
        <v>0</v>
      </c>
      <c r="D34" s="173">
        <v>0</v>
      </c>
      <c r="E34" s="191">
        <f t="shared" si="3"/>
        <v>0</v>
      </c>
      <c r="F34" s="173">
        <v>22746</v>
      </c>
      <c r="G34" s="191">
        <f t="shared" si="4"/>
        <v>11373</v>
      </c>
      <c r="H34" s="250">
        <v>60</v>
      </c>
      <c r="I34" s="252">
        <f t="shared" si="0"/>
        <v>1.6666666666666666E-2</v>
      </c>
      <c r="J34" s="191">
        <f t="shared" si="1"/>
        <v>189.55</v>
      </c>
      <c r="K34" s="173">
        <v>190</v>
      </c>
      <c r="L34" s="191">
        <f t="shared" si="2"/>
        <v>-0.44999999999998863</v>
      </c>
    </row>
    <row r="35" spans="1:12" x14ac:dyDescent="0.2">
      <c r="A35" s="1064">
        <v>1855</v>
      </c>
      <c r="B35" s="180" t="s">
        <v>211</v>
      </c>
      <c r="C35" s="173">
        <v>772791</v>
      </c>
      <c r="D35" s="173">
        <v>-238.99999999987631</v>
      </c>
      <c r="E35" s="191">
        <f t="shared" si="3"/>
        <v>773029.99999999988</v>
      </c>
      <c r="F35" s="173">
        <v>99790</v>
      </c>
      <c r="G35" s="191">
        <f t="shared" si="4"/>
        <v>822924.99999999988</v>
      </c>
      <c r="H35" s="250">
        <v>25</v>
      </c>
      <c r="I35" s="252">
        <f t="shared" si="0"/>
        <v>0.04</v>
      </c>
      <c r="J35" s="191">
        <f t="shared" si="1"/>
        <v>32916.999999999993</v>
      </c>
      <c r="K35" s="173">
        <v>32917</v>
      </c>
      <c r="L35" s="191">
        <f t="shared" si="2"/>
        <v>-7.2759576141834259E-12</v>
      </c>
    </row>
    <row r="36" spans="1:12" x14ac:dyDescent="0.2">
      <c r="A36" s="1064">
        <v>1860</v>
      </c>
      <c r="B36" s="180" t="s">
        <v>273</v>
      </c>
      <c r="C36" s="173">
        <v>516664</v>
      </c>
      <c r="D36" s="173">
        <v>83233</v>
      </c>
      <c r="E36" s="191">
        <f t="shared" si="3"/>
        <v>433431</v>
      </c>
      <c r="F36" s="173">
        <v>-516664</v>
      </c>
      <c r="G36" s="191">
        <f t="shared" si="4"/>
        <v>175099</v>
      </c>
      <c r="H36" s="250"/>
      <c r="I36" s="252">
        <f t="shared" si="0"/>
        <v>0</v>
      </c>
      <c r="J36" s="191">
        <f t="shared" si="1"/>
        <v>0</v>
      </c>
      <c r="K36" s="173">
        <v>-83233</v>
      </c>
      <c r="L36" s="191">
        <f t="shared" si="2"/>
        <v>83233</v>
      </c>
    </row>
    <row r="37" spans="1:12" ht="25.5" x14ac:dyDescent="0.2">
      <c r="A37" s="1478">
        <v>1861</v>
      </c>
      <c r="B37" s="180" t="s">
        <v>1423</v>
      </c>
      <c r="C37" s="173">
        <v>912143</v>
      </c>
      <c r="D37" s="173">
        <v>-359009.49999999977</v>
      </c>
      <c r="E37" s="191">
        <f t="shared" si="3"/>
        <v>1271152.4999999998</v>
      </c>
      <c r="F37" s="173">
        <v>24695</v>
      </c>
      <c r="G37" s="191">
        <f t="shared" si="4"/>
        <v>1283499.9999999998</v>
      </c>
      <c r="H37" s="250">
        <v>10</v>
      </c>
      <c r="I37" s="252">
        <f t="shared" si="0"/>
        <v>0.1</v>
      </c>
      <c r="J37" s="191">
        <f t="shared" si="1"/>
        <v>128349.99999999997</v>
      </c>
      <c r="K37" s="173">
        <v>128350</v>
      </c>
      <c r="L37" s="191">
        <f t="shared" si="2"/>
        <v>-2.9103830456733704E-11</v>
      </c>
    </row>
    <row r="38" spans="1:12" x14ac:dyDescent="0.2">
      <c r="A38" s="1478">
        <v>1862</v>
      </c>
      <c r="B38" s="180" t="s">
        <v>1397</v>
      </c>
      <c r="C38" s="173">
        <v>316116</v>
      </c>
      <c r="D38" s="173">
        <v>-189494.50000000009</v>
      </c>
      <c r="E38" s="191">
        <f t="shared" si="3"/>
        <v>505610.50000000012</v>
      </c>
      <c r="F38" s="173">
        <v>7039</v>
      </c>
      <c r="G38" s="191">
        <f t="shared" si="4"/>
        <v>509130.00000000012</v>
      </c>
      <c r="H38" s="250">
        <v>15</v>
      </c>
      <c r="I38" s="252">
        <f t="shared" si="0"/>
        <v>6.6666666666666666E-2</v>
      </c>
      <c r="J38" s="191">
        <f t="shared" si="1"/>
        <v>33942.000000000007</v>
      </c>
      <c r="K38" s="173">
        <v>33942</v>
      </c>
      <c r="L38" s="191">
        <f t="shared" si="2"/>
        <v>7.2759576141834259E-12</v>
      </c>
    </row>
    <row r="39" spans="1:12" x14ac:dyDescent="0.2">
      <c r="A39" s="1478">
        <v>1863</v>
      </c>
      <c r="B39" s="180" t="s">
        <v>1398</v>
      </c>
      <c r="C39" s="173"/>
      <c r="D39" s="173">
        <v>0</v>
      </c>
      <c r="E39" s="191">
        <f t="shared" si="3"/>
        <v>0</v>
      </c>
      <c r="F39" s="173"/>
      <c r="G39" s="191">
        <f t="shared" si="4"/>
        <v>0</v>
      </c>
      <c r="H39" s="250">
        <v>15</v>
      </c>
      <c r="I39" s="252">
        <f t="shared" si="0"/>
        <v>6.6666666666666666E-2</v>
      </c>
      <c r="J39" s="191">
        <f t="shared" si="1"/>
        <v>0</v>
      </c>
      <c r="K39" s="173"/>
      <c r="L39" s="191">
        <f t="shared" si="2"/>
        <v>0</v>
      </c>
    </row>
    <row r="40" spans="1:12" x14ac:dyDescent="0.2">
      <c r="A40" s="1478">
        <v>1864</v>
      </c>
      <c r="B40" s="180" t="s">
        <v>1424</v>
      </c>
      <c r="C40" s="173">
        <v>108572</v>
      </c>
      <c r="D40" s="173">
        <v>-17237.000000000007</v>
      </c>
      <c r="E40" s="191">
        <f t="shared" si="3"/>
        <v>125809</v>
      </c>
      <c r="F40" s="173">
        <v>2462</v>
      </c>
      <c r="G40" s="191">
        <f t="shared" si="4"/>
        <v>127040</v>
      </c>
      <c r="H40" s="250">
        <v>40</v>
      </c>
      <c r="I40" s="252">
        <f t="shared" si="0"/>
        <v>2.5000000000000001E-2</v>
      </c>
      <c r="J40" s="191">
        <f t="shared" si="1"/>
        <v>3176</v>
      </c>
      <c r="K40" s="173">
        <v>3176</v>
      </c>
      <c r="L40" s="191">
        <f t="shared" si="2"/>
        <v>0</v>
      </c>
    </row>
    <row r="41" spans="1:12" x14ac:dyDescent="0.2">
      <c r="A41" s="253">
        <v>1860</v>
      </c>
      <c r="B41" s="179" t="s">
        <v>212</v>
      </c>
      <c r="C41" s="173"/>
      <c r="D41" s="173"/>
      <c r="E41" s="191">
        <f t="shared" si="3"/>
        <v>0</v>
      </c>
      <c r="F41" s="173"/>
      <c r="G41" s="191">
        <f t="shared" si="4"/>
        <v>0</v>
      </c>
      <c r="H41" s="250"/>
      <c r="I41" s="252">
        <f t="shared" si="0"/>
        <v>0</v>
      </c>
      <c r="J41" s="191">
        <f t="shared" si="1"/>
        <v>0</v>
      </c>
      <c r="K41" s="173"/>
      <c r="L41" s="191">
        <f t="shared" si="2"/>
        <v>0</v>
      </c>
    </row>
    <row r="42" spans="1:12" x14ac:dyDescent="0.2">
      <c r="A42" s="253">
        <v>1905</v>
      </c>
      <c r="B42" s="179" t="s">
        <v>267</v>
      </c>
      <c r="C42" s="173">
        <v>171765</v>
      </c>
      <c r="D42" s="173">
        <v>0</v>
      </c>
      <c r="E42" s="191">
        <f t="shared" si="3"/>
        <v>171765</v>
      </c>
      <c r="F42" s="173"/>
      <c r="G42" s="191">
        <f t="shared" si="4"/>
        <v>171765</v>
      </c>
      <c r="H42" s="250"/>
      <c r="I42" s="252">
        <f t="shared" si="0"/>
        <v>0</v>
      </c>
      <c r="J42" s="191">
        <f t="shared" si="1"/>
        <v>0</v>
      </c>
      <c r="K42" s="173"/>
      <c r="L42" s="191">
        <f t="shared" si="2"/>
        <v>0</v>
      </c>
    </row>
    <row r="43" spans="1:12" x14ac:dyDescent="0.2">
      <c r="A43" s="1064">
        <v>1908</v>
      </c>
      <c r="B43" s="180" t="s">
        <v>275</v>
      </c>
      <c r="C43" s="173">
        <v>664871</v>
      </c>
      <c r="D43" s="173">
        <v>-59629</v>
      </c>
      <c r="E43" s="191">
        <f t="shared" si="3"/>
        <v>724500</v>
      </c>
      <c r="F43" s="173"/>
      <c r="G43" s="191">
        <f t="shared" si="4"/>
        <v>724500</v>
      </c>
      <c r="H43" s="250">
        <v>50</v>
      </c>
      <c r="I43" s="252">
        <f t="shared" si="0"/>
        <v>0.02</v>
      </c>
      <c r="J43" s="191">
        <f t="shared" si="1"/>
        <v>14490</v>
      </c>
      <c r="K43" s="173">
        <v>14490</v>
      </c>
      <c r="L43" s="191">
        <f t="shared" si="2"/>
        <v>0</v>
      </c>
    </row>
    <row r="44" spans="1:12" x14ac:dyDescent="0.2">
      <c r="A44" s="1064">
        <v>1910</v>
      </c>
      <c r="B44" s="180" t="s">
        <v>299</v>
      </c>
      <c r="C44" s="173"/>
      <c r="D44" s="173"/>
      <c r="E44" s="191">
        <f t="shared" si="3"/>
        <v>0</v>
      </c>
      <c r="F44" s="173"/>
      <c r="G44" s="191">
        <f t="shared" si="4"/>
        <v>0</v>
      </c>
      <c r="H44" s="250"/>
      <c r="I44" s="252">
        <f t="shared" si="0"/>
        <v>0</v>
      </c>
      <c r="J44" s="191">
        <f t="shared" si="1"/>
        <v>0</v>
      </c>
      <c r="K44" s="173"/>
      <c r="L44" s="191">
        <f t="shared" si="2"/>
        <v>0</v>
      </c>
    </row>
    <row r="45" spans="1:12" x14ac:dyDescent="0.2">
      <c r="A45" s="1064">
        <v>1915</v>
      </c>
      <c r="B45" s="180" t="s">
        <v>213</v>
      </c>
      <c r="C45" s="173">
        <v>242954</v>
      </c>
      <c r="D45" s="173">
        <v>175335.5</v>
      </c>
      <c r="E45" s="191">
        <f t="shared" si="3"/>
        <v>67618.5</v>
      </c>
      <c r="F45" s="173">
        <v>2223</v>
      </c>
      <c r="G45" s="191">
        <f t="shared" si="4"/>
        <v>68730</v>
      </c>
      <c r="H45" s="250">
        <v>10</v>
      </c>
      <c r="I45" s="252">
        <f t="shared" si="0"/>
        <v>0.1</v>
      </c>
      <c r="J45" s="191">
        <f t="shared" si="1"/>
        <v>6873</v>
      </c>
      <c r="K45" s="173">
        <v>6873</v>
      </c>
      <c r="L45" s="191">
        <f t="shared" si="2"/>
        <v>0</v>
      </c>
    </row>
    <row r="46" spans="1:12" x14ac:dyDescent="0.2">
      <c r="A46" s="1064">
        <v>1915</v>
      </c>
      <c r="B46" s="180" t="s">
        <v>214</v>
      </c>
      <c r="C46" s="173"/>
      <c r="D46" s="173"/>
      <c r="E46" s="191">
        <f t="shared" si="3"/>
        <v>0</v>
      </c>
      <c r="F46" s="173"/>
      <c r="G46" s="191">
        <f t="shared" si="4"/>
        <v>0</v>
      </c>
      <c r="H46" s="250"/>
      <c r="I46" s="252">
        <f t="shared" si="0"/>
        <v>0</v>
      </c>
      <c r="J46" s="191">
        <f t="shared" si="1"/>
        <v>0</v>
      </c>
      <c r="K46" s="173"/>
      <c r="L46" s="191">
        <f t="shared" si="2"/>
        <v>0</v>
      </c>
    </row>
    <row r="47" spans="1:12" x14ac:dyDescent="0.2">
      <c r="A47" s="1064">
        <v>1920</v>
      </c>
      <c r="B47" s="180" t="s">
        <v>215</v>
      </c>
      <c r="C47" s="173">
        <v>365612</v>
      </c>
      <c r="D47" s="173">
        <v>337509.5</v>
      </c>
      <c r="E47" s="191">
        <f t="shared" si="3"/>
        <v>28102.5</v>
      </c>
      <c r="F47" s="173">
        <v>2165</v>
      </c>
      <c r="G47" s="191">
        <f t="shared" si="4"/>
        <v>29185</v>
      </c>
      <c r="H47" s="250">
        <v>5</v>
      </c>
      <c r="I47" s="252">
        <f t="shared" si="0"/>
        <v>0.2</v>
      </c>
      <c r="J47" s="191">
        <f t="shared" si="1"/>
        <v>5837</v>
      </c>
      <c r="K47" s="173">
        <v>5837</v>
      </c>
      <c r="L47" s="191">
        <f t="shared" si="2"/>
        <v>0</v>
      </c>
    </row>
    <row r="48" spans="1:12" x14ac:dyDescent="0.2">
      <c r="A48" s="254">
        <v>1920</v>
      </c>
      <c r="B48" s="172" t="s">
        <v>217</v>
      </c>
      <c r="C48" s="173"/>
      <c r="D48" s="173"/>
      <c r="E48" s="191">
        <f t="shared" si="3"/>
        <v>0</v>
      </c>
      <c r="F48" s="173"/>
      <c r="G48" s="191">
        <f t="shared" si="4"/>
        <v>0</v>
      </c>
      <c r="H48" s="250"/>
      <c r="I48" s="252">
        <f t="shared" si="0"/>
        <v>0</v>
      </c>
      <c r="J48" s="191">
        <f t="shared" si="1"/>
        <v>0</v>
      </c>
      <c r="K48" s="173"/>
      <c r="L48" s="191">
        <f t="shared" si="2"/>
        <v>0</v>
      </c>
    </row>
    <row r="49" spans="1:12" x14ac:dyDescent="0.2">
      <c r="A49" s="254">
        <v>1920</v>
      </c>
      <c r="B49" s="172" t="s">
        <v>216</v>
      </c>
      <c r="C49" s="173"/>
      <c r="D49" s="173"/>
      <c r="E49" s="191">
        <f t="shared" si="3"/>
        <v>0</v>
      </c>
      <c r="F49" s="173"/>
      <c r="G49" s="191">
        <f t="shared" si="4"/>
        <v>0</v>
      </c>
      <c r="H49" s="250"/>
      <c r="I49" s="252">
        <f t="shared" si="0"/>
        <v>0</v>
      </c>
      <c r="J49" s="191">
        <f t="shared" si="1"/>
        <v>0</v>
      </c>
      <c r="K49" s="173"/>
      <c r="L49" s="191">
        <f t="shared" si="2"/>
        <v>0</v>
      </c>
    </row>
    <row r="50" spans="1:12" x14ac:dyDescent="0.2">
      <c r="A50" s="1064">
        <v>1930</v>
      </c>
      <c r="B50" s="180" t="s">
        <v>286</v>
      </c>
      <c r="C50" s="173">
        <v>1886565</v>
      </c>
      <c r="D50" s="173">
        <v>14106330.5</v>
      </c>
      <c r="E50" s="191">
        <f t="shared" si="3"/>
        <v>-12219765.5</v>
      </c>
      <c r="F50" s="173">
        <v>-1886565</v>
      </c>
      <c r="G50" s="191">
        <f t="shared" si="4"/>
        <v>-13163048</v>
      </c>
      <c r="H50" s="250">
        <v>8</v>
      </c>
      <c r="I50" s="252">
        <f t="shared" si="0"/>
        <v>0.125</v>
      </c>
      <c r="J50" s="191">
        <f t="shared" si="1"/>
        <v>-1645381</v>
      </c>
      <c r="K50" s="173">
        <v>-1645381</v>
      </c>
      <c r="L50" s="191">
        <f t="shared" si="2"/>
        <v>0</v>
      </c>
    </row>
    <row r="51" spans="1:12" x14ac:dyDescent="0.2">
      <c r="A51" s="1478">
        <v>1931</v>
      </c>
      <c r="B51" s="180" t="s">
        <v>1425</v>
      </c>
      <c r="C51" s="173">
        <v>94305</v>
      </c>
      <c r="D51" s="173">
        <v>-62865</v>
      </c>
      <c r="E51" s="191">
        <f t="shared" si="3"/>
        <v>157170</v>
      </c>
      <c r="F51" s="173"/>
      <c r="G51" s="191">
        <f t="shared" si="4"/>
        <v>157170</v>
      </c>
      <c r="H51" s="250">
        <v>15</v>
      </c>
      <c r="I51" s="252">
        <f t="shared" si="0"/>
        <v>6.6666666666666666E-2</v>
      </c>
      <c r="J51" s="191">
        <f t="shared" si="1"/>
        <v>10478</v>
      </c>
      <c r="K51" s="173">
        <v>10478</v>
      </c>
      <c r="L51" s="191">
        <f t="shared" si="2"/>
        <v>0</v>
      </c>
    </row>
    <row r="52" spans="1:12" x14ac:dyDescent="0.2">
      <c r="A52" s="1478">
        <v>1932</v>
      </c>
      <c r="B52" s="180" t="s">
        <v>1426</v>
      </c>
      <c r="C52" s="173">
        <v>146879</v>
      </c>
      <c r="D52" s="173">
        <v>-291435</v>
      </c>
      <c r="E52" s="191">
        <f t="shared" si="3"/>
        <v>438314</v>
      </c>
      <c r="F52" s="173">
        <f>30000-4500</f>
        <v>25500</v>
      </c>
      <c r="G52" s="191">
        <f t="shared" si="4"/>
        <v>451064</v>
      </c>
      <c r="H52" s="250">
        <v>8</v>
      </c>
      <c r="I52" s="252">
        <f t="shared" si="0"/>
        <v>0.125</v>
      </c>
      <c r="J52" s="191">
        <f t="shared" si="1"/>
        <v>56383</v>
      </c>
      <c r="K52" s="173">
        <v>56383</v>
      </c>
      <c r="L52" s="191">
        <f t="shared" si="2"/>
        <v>0</v>
      </c>
    </row>
    <row r="53" spans="1:12" x14ac:dyDescent="0.2">
      <c r="A53" s="1478">
        <v>1933</v>
      </c>
      <c r="B53" s="180" t="s">
        <v>1403</v>
      </c>
      <c r="C53" s="173"/>
      <c r="D53" s="173"/>
      <c r="E53" s="191">
        <f t="shared" si="3"/>
        <v>0</v>
      </c>
      <c r="F53" s="173"/>
      <c r="G53" s="191">
        <f t="shared" si="4"/>
        <v>0</v>
      </c>
      <c r="H53" s="250">
        <v>10</v>
      </c>
      <c r="I53" s="252">
        <f t="shared" si="0"/>
        <v>0.1</v>
      </c>
      <c r="J53" s="191">
        <f t="shared" si="1"/>
        <v>0</v>
      </c>
      <c r="K53" s="173"/>
      <c r="L53" s="191">
        <f t="shared" si="2"/>
        <v>0</v>
      </c>
    </row>
    <row r="54" spans="1:12" x14ac:dyDescent="0.2">
      <c r="A54" s="1064">
        <v>1935</v>
      </c>
      <c r="B54" s="180" t="s">
        <v>287</v>
      </c>
      <c r="C54" s="173"/>
      <c r="D54" s="173"/>
      <c r="E54" s="191">
        <f t="shared" si="3"/>
        <v>0</v>
      </c>
      <c r="F54" s="173"/>
      <c r="G54" s="191">
        <f t="shared" si="4"/>
        <v>0</v>
      </c>
      <c r="H54" s="250"/>
      <c r="I54" s="252">
        <f t="shared" si="0"/>
        <v>0</v>
      </c>
      <c r="J54" s="191">
        <f t="shared" si="1"/>
        <v>0</v>
      </c>
      <c r="K54" s="173"/>
      <c r="L54" s="191">
        <f t="shared" si="2"/>
        <v>0</v>
      </c>
    </row>
    <row r="55" spans="1:12" x14ac:dyDescent="0.2">
      <c r="A55" s="1064">
        <v>1940</v>
      </c>
      <c r="B55" s="180" t="s">
        <v>288</v>
      </c>
      <c r="C55" s="173">
        <v>365513</v>
      </c>
      <c r="D55" s="173">
        <v>239603</v>
      </c>
      <c r="E55" s="191">
        <f t="shared" si="3"/>
        <v>125910</v>
      </c>
      <c r="F55" s="173">
        <v>15400</v>
      </c>
      <c r="G55" s="191">
        <f t="shared" si="4"/>
        <v>133610</v>
      </c>
      <c r="H55" s="250">
        <v>10</v>
      </c>
      <c r="I55" s="252">
        <f t="shared" si="0"/>
        <v>0.1</v>
      </c>
      <c r="J55" s="191">
        <f t="shared" si="1"/>
        <v>13361</v>
      </c>
      <c r="K55" s="173">
        <v>13361</v>
      </c>
      <c r="L55" s="191">
        <f t="shared" si="2"/>
        <v>0</v>
      </c>
    </row>
    <row r="56" spans="1:12" x14ac:dyDescent="0.2">
      <c r="A56" s="1064">
        <v>1945</v>
      </c>
      <c r="B56" s="180" t="s">
        <v>289</v>
      </c>
      <c r="C56" s="173"/>
      <c r="D56" s="173"/>
      <c r="E56" s="191">
        <f t="shared" si="3"/>
        <v>0</v>
      </c>
      <c r="F56" s="173"/>
      <c r="G56" s="191">
        <f t="shared" si="4"/>
        <v>0</v>
      </c>
      <c r="H56" s="250"/>
      <c r="I56" s="252">
        <f t="shared" si="0"/>
        <v>0</v>
      </c>
      <c r="J56" s="191">
        <f t="shared" si="1"/>
        <v>0</v>
      </c>
      <c r="K56" s="173"/>
      <c r="L56" s="191">
        <f t="shared" si="2"/>
        <v>0</v>
      </c>
    </row>
    <row r="57" spans="1:12" x14ac:dyDescent="0.2">
      <c r="A57" s="1064">
        <v>1950</v>
      </c>
      <c r="B57" s="180" t="s">
        <v>218</v>
      </c>
      <c r="C57" s="173"/>
      <c r="D57" s="173"/>
      <c r="E57" s="191">
        <f t="shared" si="3"/>
        <v>0</v>
      </c>
      <c r="F57" s="173"/>
      <c r="G57" s="191">
        <f t="shared" si="4"/>
        <v>0</v>
      </c>
      <c r="H57" s="250"/>
      <c r="I57" s="252">
        <f t="shared" si="0"/>
        <v>0</v>
      </c>
      <c r="J57" s="191">
        <f t="shared" si="1"/>
        <v>0</v>
      </c>
      <c r="K57" s="173"/>
      <c r="L57" s="191">
        <f t="shared" si="2"/>
        <v>0</v>
      </c>
    </row>
    <row r="58" spans="1:12" x14ac:dyDescent="0.2">
      <c r="A58" s="1064">
        <v>1955</v>
      </c>
      <c r="B58" s="180" t="s">
        <v>290</v>
      </c>
      <c r="C58" s="173">
        <v>35831</v>
      </c>
      <c r="D58" s="173">
        <v>21138.5</v>
      </c>
      <c r="E58" s="191">
        <f t="shared" si="3"/>
        <v>14692.5</v>
      </c>
      <c r="F58" s="173">
        <v>275</v>
      </c>
      <c r="G58" s="191">
        <f t="shared" si="4"/>
        <v>14830</v>
      </c>
      <c r="H58" s="250">
        <v>10</v>
      </c>
      <c r="I58" s="252">
        <f t="shared" si="0"/>
        <v>0.1</v>
      </c>
      <c r="J58" s="191">
        <f t="shared" si="1"/>
        <v>1483</v>
      </c>
      <c r="K58" s="173">
        <v>1483</v>
      </c>
      <c r="L58" s="191">
        <f t="shared" si="2"/>
        <v>0</v>
      </c>
    </row>
    <row r="59" spans="1:12" x14ac:dyDescent="0.2">
      <c r="A59" s="255">
        <v>1955</v>
      </c>
      <c r="B59" s="184" t="s">
        <v>219</v>
      </c>
      <c r="C59" s="173"/>
      <c r="D59" s="173"/>
      <c r="E59" s="191">
        <f t="shared" si="3"/>
        <v>0</v>
      </c>
      <c r="F59" s="173"/>
      <c r="G59" s="191">
        <f t="shared" si="4"/>
        <v>0</v>
      </c>
      <c r="H59" s="250"/>
      <c r="I59" s="252">
        <f t="shared" si="0"/>
        <v>0</v>
      </c>
      <c r="J59" s="191">
        <f t="shared" si="1"/>
        <v>0</v>
      </c>
      <c r="K59" s="173"/>
      <c r="L59" s="191">
        <f t="shared" si="2"/>
        <v>0</v>
      </c>
    </row>
    <row r="60" spans="1:12" x14ac:dyDescent="0.2">
      <c r="A60" s="254">
        <v>1960</v>
      </c>
      <c r="B60" s="172" t="s">
        <v>220</v>
      </c>
      <c r="C60" s="173"/>
      <c r="D60" s="173"/>
      <c r="E60" s="191">
        <f t="shared" si="3"/>
        <v>0</v>
      </c>
      <c r="F60" s="173"/>
      <c r="G60" s="191">
        <f t="shared" si="4"/>
        <v>0</v>
      </c>
      <c r="H60" s="250"/>
      <c r="I60" s="252">
        <f t="shared" si="0"/>
        <v>0</v>
      </c>
      <c r="J60" s="191">
        <f t="shared" si="1"/>
        <v>0</v>
      </c>
      <c r="K60" s="173"/>
      <c r="L60" s="191">
        <f t="shared" si="2"/>
        <v>0</v>
      </c>
    </row>
    <row r="61" spans="1:12" x14ac:dyDescent="0.2">
      <c r="A61" s="254">
        <v>1970</v>
      </c>
      <c r="B61" s="1059" t="s">
        <v>535</v>
      </c>
      <c r="C61" s="173"/>
      <c r="D61" s="173"/>
      <c r="E61" s="191">
        <f t="shared" si="3"/>
        <v>0</v>
      </c>
      <c r="F61" s="173"/>
      <c r="G61" s="191">
        <f t="shared" si="4"/>
        <v>0</v>
      </c>
      <c r="H61" s="250"/>
      <c r="I61" s="252">
        <f t="shared" si="0"/>
        <v>0</v>
      </c>
      <c r="J61" s="191">
        <f t="shared" si="1"/>
        <v>0</v>
      </c>
      <c r="K61" s="173"/>
      <c r="L61" s="191">
        <f t="shared" si="2"/>
        <v>0</v>
      </c>
    </row>
    <row r="62" spans="1:12" x14ac:dyDescent="0.2">
      <c r="A62" s="1064">
        <v>1975</v>
      </c>
      <c r="B62" s="180" t="s">
        <v>291</v>
      </c>
      <c r="C62" s="173"/>
      <c r="D62" s="173"/>
      <c r="E62" s="191">
        <f t="shared" si="3"/>
        <v>0</v>
      </c>
      <c r="F62" s="173"/>
      <c r="G62" s="191">
        <f t="shared" si="4"/>
        <v>0</v>
      </c>
      <c r="H62" s="250"/>
      <c r="I62" s="252">
        <f t="shared" si="0"/>
        <v>0</v>
      </c>
      <c r="J62" s="191">
        <f t="shared" si="1"/>
        <v>0</v>
      </c>
      <c r="K62" s="173"/>
      <c r="L62" s="191">
        <f t="shared" si="2"/>
        <v>0</v>
      </c>
    </row>
    <row r="63" spans="1:12" x14ac:dyDescent="0.2">
      <c r="A63" s="1064">
        <v>1980</v>
      </c>
      <c r="B63" s="180" t="s">
        <v>292</v>
      </c>
      <c r="C63" s="173"/>
      <c r="D63" s="173"/>
      <c r="E63" s="191">
        <f t="shared" si="3"/>
        <v>0</v>
      </c>
      <c r="F63" s="173"/>
      <c r="G63" s="191">
        <f t="shared" si="4"/>
        <v>0</v>
      </c>
      <c r="H63" s="250"/>
      <c r="I63" s="252">
        <f t="shared" si="0"/>
        <v>0</v>
      </c>
      <c r="J63" s="191">
        <f t="shared" si="1"/>
        <v>0</v>
      </c>
      <c r="K63" s="173"/>
      <c r="L63" s="191">
        <f t="shared" si="2"/>
        <v>0</v>
      </c>
    </row>
    <row r="64" spans="1:12" x14ac:dyDescent="0.2">
      <c r="A64" s="1064">
        <v>1985</v>
      </c>
      <c r="B64" s="180" t="s">
        <v>1428</v>
      </c>
      <c r="C64" s="173">
        <v>15</v>
      </c>
      <c r="D64" s="173">
        <v>15</v>
      </c>
      <c r="E64" s="191">
        <f t="shared" si="3"/>
        <v>0</v>
      </c>
      <c r="F64" s="173"/>
      <c r="G64" s="191">
        <f t="shared" si="4"/>
        <v>0</v>
      </c>
      <c r="H64" s="250">
        <v>10</v>
      </c>
      <c r="I64" s="252">
        <f t="shared" si="0"/>
        <v>0.1</v>
      </c>
      <c r="J64" s="191">
        <f t="shared" si="1"/>
        <v>0</v>
      </c>
      <c r="K64" s="173"/>
      <c r="L64" s="191">
        <f t="shared" si="2"/>
        <v>0</v>
      </c>
    </row>
    <row r="65" spans="1:12" x14ac:dyDescent="0.2">
      <c r="A65" s="1064">
        <v>1990</v>
      </c>
      <c r="B65" s="1061" t="s">
        <v>502</v>
      </c>
      <c r="C65" s="173"/>
      <c r="D65" s="173"/>
      <c r="E65" s="191">
        <f t="shared" si="3"/>
        <v>0</v>
      </c>
      <c r="F65" s="173"/>
      <c r="G65" s="191">
        <f t="shared" si="4"/>
        <v>0</v>
      </c>
      <c r="H65" s="250"/>
      <c r="I65" s="252">
        <f t="shared" si="0"/>
        <v>0</v>
      </c>
      <c r="J65" s="191">
        <f t="shared" si="1"/>
        <v>0</v>
      </c>
      <c r="K65" s="173"/>
      <c r="L65" s="191">
        <f t="shared" si="2"/>
        <v>0</v>
      </c>
    </row>
    <row r="66" spans="1:12" ht="13.5" thickBot="1" x14ac:dyDescent="0.25">
      <c r="A66" s="1064">
        <v>1995</v>
      </c>
      <c r="B66" s="180" t="s">
        <v>294</v>
      </c>
      <c r="C66" s="257">
        <v>-4316948</v>
      </c>
      <c r="D66" s="257">
        <v>38805.500000000931</v>
      </c>
      <c r="E66" s="285">
        <f t="shared" si="3"/>
        <v>-4355753.5000000009</v>
      </c>
      <c r="F66" s="257">
        <v>-1175443</v>
      </c>
      <c r="G66" s="285">
        <f t="shared" si="4"/>
        <v>-4943475.0000000009</v>
      </c>
      <c r="H66" s="259">
        <v>25</v>
      </c>
      <c r="I66" s="260">
        <f t="shared" si="0"/>
        <v>0.04</v>
      </c>
      <c r="J66" s="285">
        <f t="shared" si="1"/>
        <v>-197739.00000000003</v>
      </c>
      <c r="K66" s="257">
        <v>-197739</v>
      </c>
      <c r="L66" s="285">
        <f t="shared" si="2"/>
        <v>-2.9103830456733704E-11</v>
      </c>
    </row>
    <row r="67" spans="1:12" ht="14.25" thickTop="1" thickBot="1" x14ac:dyDescent="0.25">
      <c r="A67" s="261"/>
      <c r="B67" s="262" t="s">
        <v>295</v>
      </c>
      <c r="C67" s="263">
        <f>SUM(C20:C66)</f>
        <v>24545611</v>
      </c>
      <c r="D67" s="263">
        <f>SUM(D20:D66)</f>
        <v>25809063</v>
      </c>
      <c r="E67" s="263">
        <f>SUM(E20:E66)</f>
        <v>-1263452.0000000009</v>
      </c>
      <c r="F67" s="263">
        <f>SUM(F20:F66)</f>
        <v>-2104286</v>
      </c>
      <c r="G67" s="263">
        <f>SUM(G20:G66)</f>
        <v>-2315595.0000000009</v>
      </c>
      <c r="H67" s="330"/>
      <c r="I67" s="266"/>
      <c r="J67" s="263">
        <f>SUM(J20:J66)</f>
        <v>-1268631.4500000002</v>
      </c>
      <c r="K67" s="263">
        <f>SUM(K20:K66)</f>
        <v>-1351864</v>
      </c>
      <c r="L67" s="263">
        <f>SUM(L20:L66)</f>
        <v>83232.54999999993</v>
      </c>
    </row>
    <row r="68" spans="1:12" ht="12.75" customHeight="1" x14ac:dyDescent="0.2">
      <c r="A68" s="289"/>
      <c r="B68" s="1707" t="s">
        <v>1078</v>
      </c>
      <c r="C68" s="1707"/>
      <c r="D68" s="1707"/>
      <c r="E68" s="1707"/>
      <c r="F68" s="1707"/>
      <c r="G68" s="1707"/>
      <c r="H68" s="1707"/>
      <c r="I68" s="1708"/>
      <c r="J68" s="173"/>
      <c r="K68" s="291"/>
      <c r="L68" s="291"/>
    </row>
    <row r="69" spans="1:12" x14ac:dyDescent="0.2">
      <c r="A69" s="289"/>
      <c r="B69" s="290" t="s">
        <v>937</v>
      </c>
      <c r="C69" s="312"/>
      <c r="D69" s="312"/>
      <c r="E69" s="312"/>
      <c r="F69" s="291"/>
      <c r="G69" s="291"/>
      <c r="H69" s="293"/>
      <c r="I69" s="312"/>
      <c r="J69" s="191">
        <f>SUM(J67:J68)</f>
        <v>-1268631.4500000002</v>
      </c>
      <c r="K69" s="291"/>
      <c r="L69" s="291"/>
    </row>
    <row r="70" spans="1:12" x14ac:dyDescent="0.2">
      <c r="A70" s="289"/>
      <c r="B70" s="290"/>
      <c r="C70" s="312"/>
      <c r="D70" s="312"/>
      <c r="E70" s="312"/>
      <c r="F70" s="291"/>
      <c r="G70" s="291"/>
      <c r="H70" s="293"/>
      <c r="I70" s="312"/>
      <c r="J70" s="291"/>
      <c r="K70" s="291"/>
      <c r="L70" s="291"/>
    </row>
    <row r="71" spans="1:12" x14ac:dyDescent="0.2">
      <c r="A71" s="289"/>
      <c r="B71" s="290"/>
      <c r="C71" s="312"/>
      <c r="D71" s="312"/>
      <c r="E71" s="312"/>
      <c r="F71" s="291"/>
      <c r="G71" s="291"/>
      <c r="H71" s="293"/>
      <c r="I71" s="312"/>
      <c r="J71" s="291"/>
      <c r="K71" s="291"/>
      <c r="L71" s="291"/>
    </row>
    <row r="72" spans="1:12" x14ac:dyDescent="0.2">
      <c r="B72" s="1113"/>
      <c r="C72" s="1136"/>
      <c r="D72" s="1136" t="s">
        <v>882</v>
      </c>
      <c r="E72" s="48" t="s">
        <v>105</v>
      </c>
      <c r="F72" s="1113"/>
      <c r="G72" s="1138"/>
      <c r="H72" s="1113"/>
      <c r="I72" s="1113"/>
      <c r="J72" s="1113"/>
      <c r="K72" s="1113"/>
      <c r="L72" s="295"/>
    </row>
    <row r="73" spans="1:12" ht="18" x14ac:dyDescent="0.25">
      <c r="A73" s="1481"/>
      <c r="B73" s="1481"/>
      <c r="C73" s="1136"/>
      <c r="D73" s="1136" t="s">
        <v>102</v>
      </c>
      <c r="E73" s="1137">
        <v>2014</v>
      </c>
      <c r="H73" s="1481"/>
      <c r="I73" s="1481"/>
      <c r="J73" s="1481"/>
    </row>
    <row r="74" spans="1:12" ht="13.5" thickBot="1" x14ac:dyDescent="0.25"/>
    <row r="75" spans="1:12" ht="51" x14ac:dyDescent="0.2">
      <c r="A75" s="1685" t="s">
        <v>3</v>
      </c>
      <c r="B75" s="1687" t="s">
        <v>235</v>
      </c>
      <c r="C75" s="245" t="s">
        <v>1043</v>
      </c>
      <c r="D75" s="245" t="s">
        <v>476</v>
      </c>
      <c r="E75" s="245" t="s">
        <v>477</v>
      </c>
      <c r="F75" s="245" t="s">
        <v>237</v>
      </c>
      <c r="G75" s="245" t="s">
        <v>1073</v>
      </c>
      <c r="H75" s="245" t="s">
        <v>6</v>
      </c>
      <c r="I75" s="245" t="s">
        <v>298</v>
      </c>
      <c r="J75" s="277" t="s">
        <v>1082</v>
      </c>
      <c r="K75" s="1697" t="s">
        <v>1062</v>
      </c>
      <c r="L75" s="277" t="s">
        <v>1074</v>
      </c>
    </row>
    <row r="76" spans="1:12" x14ac:dyDescent="0.2">
      <c r="A76" s="1686"/>
      <c r="B76" s="1688"/>
      <c r="C76" s="249" t="s">
        <v>4</v>
      </c>
      <c r="D76" s="249" t="s">
        <v>478</v>
      </c>
      <c r="E76" s="249" t="s">
        <v>479</v>
      </c>
      <c r="F76" s="249" t="s">
        <v>5</v>
      </c>
      <c r="G76" s="328" t="s">
        <v>997</v>
      </c>
      <c r="H76" s="249" t="s">
        <v>7</v>
      </c>
      <c r="I76" s="249" t="s">
        <v>8</v>
      </c>
      <c r="J76" s="329" t="s">
        <v>9</v>
      </c>
      <c r="K76" s="1711"/>
      <c r="L76" s="329" t="s">
        <v>382</v>
      </c>
    </row>
    <row r="77" spans="1:12" ht="25.5" x14ac:dyDescent="0.2">
      <c r="A77" s="1484">
        <v>1611</v>
      </c>
      <c r="B77" s="172" t="s">
        <v>381</v>
      </c>
      <c r="C77" s="173">
        <v>243737</v>
      </c>
      <c r="D77" s="173">
        <v>236138.5</v>
      </c>
      <c r="E77" s="191">
        <f>C77-D77</f>
        <v>7598.5</v>
      </c>
      <c r="F77" s="173">
        <v>13313</v>
      </c>
      <c r="G77" s="191">
        <f>E77+0.5*F77</f>
        <v>14255</v>
      </c>
      <c r="H77" s="250">
        <v>5</v>
      </c>
      <c r="I77" s="251">
        <f t="shared" ref="I77:I123" si="5">IF(H77=0,0,1/H77)</f>
        <v>0.2</v>
      </c>
      <c r="J77" s="191">
        <f t="shared" ref="J77:J123" si="6">IF(H77=0,0,G77/H77)</f>
        <v>2851</v>
      </c>
      <c r="K77" s="173">
        <v>2851</v>
      </c>
      <c r="L77" s="191">
        <f t="shared" ref="L77:L123" si="7">IF(ISERROR(+J77-K77), 0, +J77-K77)</f>
        <v>0</v>
      </c>
    </row>
    <row r="78" spans="1:12" x14ac:dyDescent="0.2">
      <c r="A78" s="1484">
        <v>1612</v>
      </c>
      <c r="B78" s="172" t="s">
        <v>442</v>
      </c>
      <c r="C78" s="173">
        <v>2945</v>
      </c>
      <c r="D78" s="173">
        <v>2945</v>
      </c>
      <c r="E78" s="191">
        <f t="shared" ref="E78:E123" si="8">C78-D78</f>
        <v>0</v>
      </c>
      <c r="F78" s="173"/>
      <c r="G78" s="191">
        <f t="shared" ref="G78:G123" si="9">E78+0.5*F78</f>
        <v>0</v>
      </c>
      <c r="H78" s="250">
        <v>5</v>
      </c>
      <c r="I78" s="252">
        <f t="shared" si="5"/>
        <v>0.2</v>
      </c>
      <c r="J78" s="191">
        <f t="shared" si="6"/>
        <v>0</v>
      </c>
      <c r="K78" s="173"/>
      <c r="L78" s="191">
        <f t="shared" si="7"/>
        <v>0</v>
      </c>
    </row>
    <row r="79" spans="1:12" x14ac:dyDescent="0.2">
      <c r="A79" s="253">
        <v>1805</v>
      </c>
      <c r="B79" s="179" t="s">
        <v>267</v>
      </c>
      <c r="C79" s="173">
        <v>2112</v>
      </c>
      <c r="D79" s="173"/>
      <c r="E79" s="191">
        <f t="shared" si="8"/>
        <v>2112</v>
      </c>
      <c r="F79" s="173"/>
      <c r="G79" s="191">
        <f t="shared" si="9"/>
        <v>2112</v>
      </c>
      <c r="H79" s="250"/>
      <c r="I79" s="252">
        <f t="shared" si="5"/>
        <v>0</v>
      </c>
      <c r="J79" s="191">
        <f t="shared" si="6"/>
        <v>0</v>
      </c>
      <c r="K79" s="173"/>
      <c r="L79" s="191">
        <f t="shared" si="7"/>
        <v>0</v>
      </c>
    </row>
    <row r="80" spans="1:12" x14ac:dyDescent="0.2">
      <c r="A80" s="1484">
        <v>1808</v>
      </c>
      <c r="B80" s="180" t="s">
        <v>268</v>
      </c>
      <c r="C80" s="173"/>
      <c r="D80" s="173"/>
      <c r="E80" s="191">
        <f t="shared" si="8"/>
        <v>0</v>
      </c>
      <c r="F80" s="173"/>
      <c r="G80" s="191">
        <f t="shared" si="9"/>
        <v>0</v>
      </c>
      <c r="H80" s="250"/>
      <c r="I80" s="252">
        <f t="shared" si="5"/>
        <v>0</v>
      </c>
      <c r="J80" s="191">
        <f t="shared" si="6"/>
        <v>0</v>
      </c>
      <c r="K80" s="173"/>
      <c r="L80" s="191">
        <f t="shared" si="7"/>
        <v>0</v>
      </c>
    </row>
    <row r="81" spans="1:12" x14ac:dyDescent="0.2">
      <c r="A81" s="1484">
        <v>1810</v>
      </c>
      <c r="B81" s="180" t="s">
        <v>299</v>
      </c>
      <c r="C81" s="173"/>
      <c r="D81" s="173"/>
      <c r="E81" s="191">
        <f t="shared" si="8"/>
        <v>0</v>
      </c>
      <c r="F81" s="173"/>
      <c r="G81" s="191">
        <f t="shared" si="9"/>
        <v>0</v>
      </c>
      <c r="H81" s="250"/>
      <c r="I81" s="252">
        <f t="shared" si="5"/>
        <v>0</v>
      </c>
      <c r="J81" s="191">
        <f t="shared" si="6"/>
        <v>0</v>
      </c>
      <c r="K81" s="173"/>
      <c r="L81" s="191">
        <f t="shared" si="7"/>
        <v>0</v>
      </c>
    </row>
    <row r="82" spans="1:12" x14ac:dyDescent="0.2">
      <c r="A82" s="1484">
        <v>1815</v>
      </c>
      <c r="B82" s="180" t="s">
        <v>269</v>
      </c>
      <c r="C82" s="173"/>
      <c r="D82" s="173"/>
      <c r="E82" s="191">
        <f t="shared" si="8"/>
        <v>0</v>
      </c>
      <c r="F82" s="173"/>
      <c r="G82" s="191">
        <f t="shared" si="9"/>
        <v>0</v>
      </c>
      <c r="H82" s="250"/>
      <c r="I82" s="252">
        <f t="shared" si="5"/>
        <v>0</v>
      </c>
      <c r="J82" s="191">
        <f t="shared" si="6"/>
        <v>0</v>
      </c>
      <c r="K82" s="173"/>
      <c r="L82" s="191">
        <f t="shared" si="7"/>
        <v>0</v>
      </c>
    </row>
    <row r="83" spans="1:12" x14ac:dyDescent="0.2">
      <c r="A83" s="1484">
        <v>1820</v>
      </c>
      <c r="B83" s="172" t="s">
        <v>207</v>
      </c>
      <c r="C83" s="173">
        <v>142098</v>
      </c>
      <c r="D83" s="173">
        <v>140238</v>
      </c>
      <c r="E83" s="191">
        <f t="shared" si="8"/>
        <v>1860</v>
      </c>
      <c r="F83" s="173"/>
      <c r="G83" s="191">
        <f t="shared" si="9"/>
        <v>1860</v>
      </c>
      <c r="H83" s="250">
        <v>30</v>
      </c>
      <c r="I83" s="252">
        <f t="shared" si="5"/>
        <v>3.3333333333333333E-2</v>
      </c>
      <c r="J83" s="191">
        <f t="shared" si="6"/>
        <v>62</v>
      </c>
      <c r="K83" s="173">
        <v>62</v>
      </c>
      <c r="L83" s="191">
        <f t="shared" si="7"/>
        <v>0</v>
      </c>
    </row>
    <row r="84" spans="1:12" x14ac:dyDescent="0.2">
      <c r="A84" s="1484">
        <v>1825</v>
      </c>
      <c r="B84" s="180" t="s">
        <v>270</v>
      </c>
      <c r="C84" s="173"/>
      <c r="D84" s="173"/>
      <c r="E84" s="191">
        <f t="shared" si="8"/>
        <v>0</v>
      </c>
      <c r="F84" s="173"/>
      <c r="G84" s="191">
        <f t="shared" si="9"/>
        <v>0</v>
      </c>
      <c r="H84" s="250"/>
      <c r="I84" s="252">
        <f t="shared" si="5"/>
        <v>0</v>
      </c>
      <c r="J84" s="191">
        <f t="shared" si="6"/>
        <v>0</v>
      </c>
      <c r="K84" s="173"/>
      <c r="L84" s="191">
        <f t="shared" si="7"/>
        <v>0</v>
      </c>
    </row>
    <row r="85" spans="1:12" x14ac:dyDescent="0.2">
      <c r="A85" s="1484">
        <v>1830</v>
      </c>
      <c r="B85" s="180" t="s">
        <v>271</v>
      </c>
      <c r="C85" s="173">
        <v>1001372</v>
      </c>
      <c r="D85" s="173">
        <v>116761.49999999971</v>
      </c>
      <c r="E85" s="191">
        <f t="shared" si="8"/>
        <v>884610.50000000023</v>
      </c>
      <c r="F85" s="173">
        <v>35549</v>
      </c>
      <c r="G85" s="191">
        <f t="shared" si="9"/>
        <v>902385.00000000023</v>
      </c>
      <c r="H85" s="250">
        <v>45</v>
      </c>
      <c r="I85" s="252">
        <f t="shared" si="5"/>
        <v>2.2222222222222223E-2</v>
      </c>
      <c r="J85" s="191">
        <f t="shared" si="6"/>
        <v>20053.000000000004</v>
      </c>
      <c r="K85" s="173">
        <v>20053</v>
      </c>
      <c r="L85" s="191">
        <f t="shared" si="7"/>
        <v>3.637978807091713E-12</v>
      </c>
    </row>
    <row r="86" spans="1:12" x14ac:dyDescent="0.2">
      <c r="A86" s="1484">
        <v>1835</v>
      </c>
      <c r="B86" s="180" t="s">
        <v>208</v>
      </c>
      <c r="C86" s="173">
        <v>6457970</v>
      </c>
      <c r="D86" s="173">
        <v>4283304.5</v>
      </c>
      <c r="E86" s="191">
        <f t="shared" si="8"/>
        <v>2174665.5</v>
      </c>
      <c r="F86" s="173">
        <v>16269</v>
      </c>
      <c r="G86" s="191">
        <f t="shared" si="9"/>
        <v>2182800</v>
      </c>
      <c r="H86" s="250">
        <v>60</v>
      </c>
      <c r="I86" s="252">
        <f t="shared" si="5"/>
        <v>1.6666666666666666E-2</v>
      </c>
      <c r="J86" s="191">
        <f t="shared" si="6"/>
        <v>36380</v>
      </c>
      <c r="K86" s="173">
        <v>36380</v>
      </c>
      <c r="L86" s="191">
        <f t="shared" si="7"/>
        <v>0</v>
      </c>
    </row>
    <row r="87" spans="1:12" x14ac:dyDescent="0.2">
      <c r="A87" s="1484">
        <v>1840</v>
      </c>
      <c r="B87" s="180" t="s">
        <v>209</v>
      </c>
      <c r="C87" s="173">
        <v>1801068</v>
      </c>
      <c r="D87" s="173">
        <v>159337.99999999965</v>
      </c>
      <c r="E87" s="191">
        <f t="shared" si="8"/>
        <v>1641730.0000000005</v>
      </c>
      <c r="F87" s="173">
        <v>179440</v>
      </c>
      <c r="G87" s="191">
        <f t="shared" si="9"/>
        <v>1731450.0000000005</v>
      </c>
      <c r="H87" s="250">
        <v>50</v>
      </c>
      <c r="I87" s="252">
        <f t="shared" si="5"/>
        <v>0.02</v>
      </c>
      <c r="J87" s="191">
        <f t="shared" si="6"/>
        <v>34629.000000000007</v>
      </c>
      <c r="K87" s="173">
        <v>34629</v>
      </c>
      <c r="L87" s="191">
        <f t="shared" si="7"/>
        <v>7.2759576141834259E-12</v>
      </c>
    </row>
    <row r="88" spans="1:12" x14ac:dyDescent="0.2">
      <c r="A88" s="1484">
        <v>1845</v>
      </c>
      <c r="B88" s="180" t="s">
        <v>210</v>
      </c>
      <c r="C88" s="173">
        <v>7917161</v>
      </c>
      <c r="D88" s="173">
        <v>4023007</v>
      </c>
      <c r="E88" s="191">
        <f t="shared" si="8"/>
        <v>3894154</v>
      </c>
      <c r="F88" s="173">
        <v>324572</v>
      </c>
      <c r="G88" s="191">
        <f t="shared" si="9"/>
        <v>4056440</v>
      </c>
      <c r="H88" s="250">
        <v>40</v>
      </c>
      <c r="I88" s="252">
        <f t="shared" si="5"/>
        <v>2.5000000000000001E-2</v>
      </c>
      <c r="J88" s="191">
        <f t="shared" si="6"/>
        <v>101411</v>
      </c>
      <c r="K88" s="173">
        <v>101411</v>
      </c>
      <c r="L88" s="191">
        <f t="shared" si="7"/>
        <v>0</v>
      </c>
    </row>
    <row r="89" spans="1:12" x14ac:dyDescent="0.2">
      <c r="A89" s="1484">
        <v>1850</v>
      </c>
      <c r="B89" s="180" t="s">
        <v>272</v>
      </c>
      <c r="C89" s="173">
        <v>5965591</v>
      </c>
      <c r="D89" s="173">
        <v>2962426.5000000005</v>
      </c>
      <c r="E89" s="191">
        <f t="shared" si="8"/>
        <v>3003164.4999999995</v>
      </c>
      <c r="F89" s="173">
        <v>155111</v>
      </c>
      <c r="G89" s="191">
        <f t="shared" si="9"/>
        <v>3080719.9999999995</v>
      </c>
      <c r="H89" s="250">
        <v>40</v>
      </c>
      <c r="I89" s="252">
        <f t="shared" si="5"/>
        <v>2.5000000000000001E-2</v>
      </c>
      <c r="J89" s="191">
        <f t="shared" si="6"/>
        <v>77017.999999999985</v>
      </c>
      <c r="K89" s="173">
        <v>77018</v>
      </c>
      <c r="L89" s="191">
        <f t="shared" si="7"/>
        <v>-1.4551915228366852E-11</v>
      </c>
    </row>
    <row r="90" spans="1:12" x14ac:dyDescent="0.2">
      <c r="A90" s="1484">
        <v>1851</v>
      </c>
      <c r="B90" s="180" t="s">
        <v>1416</v>
      </c>
      <c r="C90" s="173">
        <v>0</v>
      </c>
      <c r="D90" s="173"/>
      <c r="E90" s="191">
        <f t="shared" si="8"/>
        <v>0</v>
      </c>
      <c r="F90" s="173">
        <v>4448</v>
      </c>
      <c r="G90" s="191">
        <f t="shared" si="9"/>
        <v>2224</v>
      </c>
      <c r="H90" s="250">
        <v>20</v>
      </c>
      <c r="I90" s="252">
        <f t="shared" si="5"/>
        <v>0.05</v>
      </c>
      <c r="J90" s="191">
        <f t="shared" si="6"/>
        <v>111.2</v>
      </c>
      <c r="K90" s="173">
        <v>111</v>
      </c>
      <c r="L90" s="191">
        <f t="shared" si="7"/>
        <v>0.20000000000000284</v>
      </c>
    </row>
    <row r="91" spans="1:12" ht="25.5" x14ac:dyDescent="0.2">
      <c r="A91" s="1484">
        <v>1852</v>
      </c>
      <c r="B91" s="180" t="s">
        <v>1422</v>
      </c>
      <c r="C91" s="173">
        <v>22746</v>
      </c>
      <c r="D91" s="173">
        <v>-1.999999999991374</v>
      </c>
      <c r="E91" s="191">
        <f t="shared" si="8"/>
        <v>22747.999999999993</v>
      </c>
      <c r="F91" s="173">
        <v>25184</v>
      </c>
      <c r="G91" s="191">
        <f t="shared" si="9"/>
        <v>35339.999999999993</v>
      </c>
      <c r="H91" s="250">
        <v>60</v>
      </c>
      <c r="I91" s="252">
        <f t="shared" si="5"/>
        <v>1.6666666666666666E-2</v>
      </c>
      <c r="J91" s="191">
        <f t="shared" si="6"/>
        <v>588.99999999999989</v>
      </c>
      <c r="K91" s="173">
        <v>589</v>
      </c>
      <c r="L91" s="191">
        <f t="shared" si="7"/>
        <v>-1.1368683772161603E-13</v>
      </c>
    </row>
    <row r="92" spans="1:12" x14ac:dyDescent="0.2">
      <c r="A92" s="1484">
        <v>1855</v>
      </c>
      <c r="B92" s="180" t="s">
        <v>211</v>
      </c>
      <c r="C92" s="173">
        <v>872581</v>
      </c>
      <c r="D92" s="173">
        <v>-234.99999999990541</v>
      </c>
      <c r="E92" s="191">
        <f t="shared" si="8"/>
        <v>872815.99999999988</v>
      </c>
      <c r="F92" s="173">
        <v>96768</v>
      </c>
      <c r="G92" s="191">
        <f t="shared" si="9"/>
        <v>921199.99999999988</v>
      </c>
      <c r="H92" s="250">
        <v>25</v>
      </c>
      <c r="I92" s="252">
        <f t="shared" si="5"/>
        <v>0.04</v>
      </c>
      <c r="J92" s="191">
        <f t="shared" si="6"/>
        <v>36847.999999999993</v>
      </c>
      <c r="K92" s="173">
        <v>36848</v>
      </c>
      <c r="L92" s="191">
        <f t="shared" si="7"/>
        <v>-7.2759576141834259E-12</v>
      </c>
    </row>
    <row r="93" spans="1:12" x14ac:dyDescent="0.2">
      <c r="A93" s="1484">
        <v>1860</v>
      </c>
      <c r="B93" s="180" t="s">
        <v>273</v>
      </c>
      <c r="C93" s="173"/>
      <c r="D93" s="173"/>
      <c r="E93" s="191">
        <f t="shared" si="8"/>
        <v>0</v>
      </c>
      <c r="F93" s="173"/>
      <c r="G93" s="191">
        <f t="shared" si="9"/>
        <v>0</v>
      </c>
      <c r="H93" s="250"/>
      <c r="I93" s="252">
        <f t="shared" si="5"/>
        <v>0</v>
      </c>
      <c r="J93" s="191">
        <f t="shared" si="6"/>
        <v>0</v>
      </c>
      <c r="K93" s="173"/>
      <c r="L93" s="191">
        <f t="shared" si="7"/>
        <v>0</v>
      </c>
    </row>
    <row r="94" spans="1:12" ht="25.5" x14ac:dyDescent="0.2">
      <c r="A94" s="1484">
        <v>1861</v>
      </c>
      <c r="B94" s="180" t="s">
        <v>1423</v>
      </c>
      <c r="C94" s="173">
        <v>936838</v>
      </c>
      <c r="D94" s="173">
        <v>-359008.5</v>
      </c>
      <c r="E94" s="191">
        <f t="shared" si="8"/>
        <v>1295846.5</v>
      </c>
      <c r="F94" s="173">
        <v>21147</v>
      </c>
      <c r="G94" s="191">
        <f t="shared" si="9"/>
        <v>1306420</v>
      </c>
      <c r="H94" s="250">
        <v>10</v>
      </c>
      <c r="I94" s="252">
        <f t="shared" si="5"/>
        <v>0.1</v>
      </c>
      <c r="J94" s="191">
        <f t="shared" si="6"/>
        <v>130642</v>
      </c>
      <c r="K94" s="173">
        <v>130642</v>
      </c>
      <c r="L94" s="191">
        <f t="shared" si="7"/>
        <v>0</v>
      </c>
    </row>
    <row r="95" spans="1:12" x14ac:dyDescent="0.2">
      <c r="A95" s="1484">
        <v>1862</v>
      </c>
      <c r="B95" s="180" t="s">
        <v>1397</v>
      </c>
      <c r="C95" s="173">
        <v>323155</v>
      </c>
      <c r="D95" s="173">
        <v>-189499.50000000006</v>
      </c>
      <c r="E95" s="191">
        <f t="shared" si="8"/>
        <v>512654.50000000006</v>
      </c>
      <c r="F95" s="173">
        <v>6631</v>
      </c>
      <c r="G95" s="191">
        <f t="shared" si="9"/>
        <v>515970.00000000006</v>
      </c>
      <c r="H95" s="250">
        <v>15</v>
      </c>
      <c r="I95" s="252">
        <f t="shared" si="5"/>
        <v>6.6666666666666666E-2</v>
      </c>
      <c r="J95" s="191">
        <f t="shared" si="6"/>
        <v>34398.000000000007</v>
      </c>
      <c r="K95" s="173">
        <v>34398</v>
      </c>
      <c r="L95" s="191">
        <f t="shared" si="7"/>
        <v>7.2759576141834259E-12</v>
      </c>
    </row>
    <row r="96" spans="1:12" x14ac:dyDescent="0.2">
      <c r="A96" s="1484">
        <v>1863</v>
      </c>
      <c r="B96" s="180" t="s">
        <v>1398</v>
      </c>
      <c r="C96" s="173">
        <v>0</v>
      </c>
      <c r="D96" s="173"/>
      <c r="E96" s="191">
        <f t="shared" si="8"/>
        <v>0</v>
      </c>
      <c r="F96" s="173"/>
      <c r="G96" s="191">
        <f t="shared" si="9"/>
        <v>0</v>
      </c>
      <c r="H96" s="250">
        <v>15</v>
      </c>
      <c r="I96" s="252">
        <f t="shared" si="5"/>
        <v>6.6666666666666666E-2</v>
      </c>
      <c r="J96" s="191">
        <f t="shared" si="6"/>
        <v>0</v>
      </c>
      <c r="K96" s="173"/>
      <c r="L96" s="191">
        <f t="shared" si="7"/>
        <v>0</v>
      </c>
    </row>
    <row r="97" spans="1:12" x14ac:dyDescent="0.2">
      <c r="A97" s="1484">
        <v>1864</v>
      </c>
      <c r="B97" s="180" t="s">
        <v>1424</v>
      </c>
      <c r="C97" s="173">
        <v>111034</v>
      </c>
      <c r="D97" s="173">
        <v>-17242.5</v>
      </c>
      <c r="E97" s="191">
        <f t="shared" si="8"/>
        <v>128276.5</v>
      </c>
      <c r="F97" s="173">
        <v>2567</v>
      </c>
      <c r="G97" s="191">
        <f t="shared" si="9"/>
        <v>129560</v>
      </c>
      <c r="H97" s="250">
        <v>40</v>
      </c>
      <c r="I97" s="252">
        <f t="shared" si="5"/>
        <v>2.5000000000000001E-2</v>
      </c>
      <c r="J97" s="191">
        <f t="shared" si="6"/>
        <v>3239</v>
      </c>
      <c r="K97" s="173">
        <v>3239</v>
      </c>
      <c r="L97" s="191">
        <f t="shared" si="7"/>
        <v>0</v>
      </c>
    </row>
    <row r="98" spans="1:12" x14ac:dyDescent="0.2">
      <c r="A98" s="253">
        <v>1860</v>
      </c>
      <c r="B98" s="179" t="s">
        <v>212</v>
      </c>
      <c r="C98" s="173"/>
      <c r="D98" s="173"/>
      <c r="E98" s="191">
        <f t="shared" si="8"/>
        <v>0</v>
      </c>
      <c r="F98" s="173"/>
      <c r="G98" s="191">
        <f t="shared" si="9"/>
        <v>0</v>
      </c>
      <c r="H98" s="250"/>
      <c r="I98" s="252">
        <f t="shared" si="5"/>
        <v>0</v>
      </c>
      <c r="J98" s="191">
        <f t="shared" si="6"/>
        <v>0</v>
      </c>
      <c r="K98" s="173"/>
      <c r="L98" s="191">
        <f t="shared" si="7"/>
        <v>0</v>
      </c>
    </row>
    <row r="99" spans="1:12" x14ac:dyDescent="0.2">
      <c r="A99" s="253">
        <v>1905</v>
      </c>
      <c r="B99" s="179" t="s">
        <v>267</v>
      </c>
      <c r="C99" s="173">
        <v>171765</v>
      </c>
      <c r="D99" s="173"/>
      <c r="E99" s="191">
        <f t="shared" si="8"/>
        <v>171765</v>
      </c>
      <c r="F99" s="173"/>
      <c r="G99" s="191">
        <f t="shared" si="9"/>
        <v>171765</v>
      </c>
      <c r="H99" s="250"/>
      <c r="I99" s="252">
        <f t="shared" si="5"/>
        <v>0</v>
      </c>
      <c r="J99" s="191">
        <f t="shared" si="6"/>
        <v>0</v>
      </c>
      <c r="K99" s="173"/>
      <c r="L99" s="191">
        <f t="shared" si="7"/>
        <v>0</v>
      </c>
    </row>
    <row r="100" spans="1:12" x14ac:dyDescent="0.2">
      <c r="A100" s="1484">
        <v>1908</v>
      </c>
      <c r="B100" s="180" t="s">
        <v>275</v>
      </c>
      <c r="C100" s="173">
        <v>664871</v>
      </c>
      <c r="D100" s="173">
        <v>-59611.000000000087</v>
      </c>
      <c r="E100" s="191">
        <f t="shared" si="8"/>
        <v>724482.00000000012</v>
      </c>
      <c r="F100" s="173">
        <v>336</v>
      </c>
      <c r="G100" s="191">
        <f t="shared" si="9"/>
        <v>724650.00000000012</v>
      </c>
      <c r="H100" s="250">
        <v>50</v>
      </c>
      <c r="I100" s="252">
        <f t="shared" si="5"/>
        <v>0.02</v>
      </c>
      <c r="J100" s="191">
        <f t="shared" si="6"/>
        <v>14493.000000000002</v>
      </c>
      <c r="K100" s="173">
        <v>14493</v>
      </c>
      <c r="L100" s="191">
        <f t="shared" si="7"/>
        <v>1.8189894035458565E-12</v>
      </c>
    </row>
    <row r="101" spans="1:12" x14ac:dyDescent="0.2">
      <c r="A101" s="1484">
        <v>1910</v>
      </c>
      <c r="B101" s="180" t="s">
        <v>299</v>
      </c>
      <c r="C101" s="173"/>
      <c r="D101" s="173"/>
      <c r="E101" s="191">
        <f t="shared" si="8"/>
        <v>0</v>
      </c>
      <c r="F101" s="173"/>
      <c r="G101" s="191">
        <f t="shared" si="9"/>
        <v>0</v>
      </c>
      <c r="H101" s="250"/>
      <c r="I101" s="252">
        <f t="shared" si="5"/>
        <v>0</v>
      </c>
      <c r="J101" s="191">
        <f t="shared" si="6"/>
        <v>0</v>
      </c>
      <c r="K101" s="173"/>
      <c r="L101" s="191">
        <f t="shared" si="7"/>
        <v>0</v>
      </c>
    </row>
    <row r="102" spans="1:12" x14ac:dyDescent="0.2">
      <c r="A102" s="1484">
        <v>1915</v>
      </c>
      <c r="B102" s="180" t="s">
        <v>213</v>
      </c>
      <c r="C102" s="173">
        <v>245177</v>
      </c>
      <c r="D102" s="173">
        <v>178737</v>
      </c>
      <c r="E102" s="191">
        <f t="shared" si="8"/>
        <v>66440</v>
      </c>
      <c r="F102" s="173">
        <v>140</v>
      </c>
      <c r="G102" s="191">
        <f t="shared" si="9"/>
        <v>66510</v>
      </c>
      <c r="H102" s="250">
        <v>10</v>
      </c>
      <c r="I102" s="252">
        <f t="shared" si="5"/>
        <v>0.1</v>
      </c>
      <c r="J102" s="191">
        <f t="shared" si="6"/>
        <v>6651</v>
      </c>
      <c r="K102" s="173">
        <v>6651</v>
      </c>
      <c r="L102" s="191">
        <f t="shared" si="7"/>
        <v>0</v>
      </c>
    </row>
    <row r="103" spans="1:12" x14ac:dyDescent="0.2">
      <c r="A103" s="1484">
        <v>1915</v>
      </c>
      <c r="B103" s="180" t="s">
        <v>214</v>
      </c>
      <c r="C103" s="173"/>
      <c r="D103" s="173"/>
      <c r="E103" s="191">
        <f t="shared" si="8"/>
        <v>0</v>
      </c>
      <c r="F103" s="173"/>
      <c r="G103" s="191">
        <f t="shared" si="9"/>
        <v>0</v>
      </c>
      <c r="H103" s="250"/>
      <c r="I103" s="252">
        <f t="shared" si="5"/>
        <v>0</v>
      </c>
      <c r="J103" s="191">
        <f t="shared" si="6"/>
        <v>0</v>
      </c>
      <c r="K103" s="173"/>
      <c r="L103" s="191">
        <f t="shared" si="7"/>
        <v>0</v>
      </c>
    </row>
    <row r="104" spans="1:12" x14ac:dyDescent="0.2">
      <c r="A104" s="1484">
        <v>1920</v>
      </c>
      <c r="B104" s="180" t="s">
        <v>215</v>
      </c>
      <c r="C104" s="173">
        <v>367777</v>
      </c>
      <c r="D104" s="173">
        <v>350531.5</v>
      </c>
      <c r="E104" s="191">
        <f t="shared" si="8"/>
        <v>17245.5</v>
      </c>
      <c r="F104" s="173">
        <v>11279</v>
      </c>
      <c r="G104" s="191">
        <f t="shared" si="9"/>
        <v>22885</v>
      </c>
      <c r="H104" s="250">
        <v>5</v>
      </c>
      <c r="I104" s="252">
        <f t="shared" si="5"/>
        <v>0.2</v>
      </c>
      <c r="J104" s="191">
        <f t="shared" si="6"/>
        <v>4577</v>
      </c>
      <c r="K104" s="173">
        <v>4577</v>
      </c>
      <c r="L104" s="191">
        <f t="shared" si="7"/>
        <v>0</v>
      </c>
    </row>
    <row r="105" spans="1:12" x14ac:dyDescent="0.2">
      <c r="A105" s="254">
        <v>1920</v>
      </c>
      <c r="B105" s="172" t="s">
        <v>217</v>
      </c>
      <c r="C105" s="173"/>
      <c r="D105" s="173"/>
      <c r="E105" s="191">
        <f t="shared" si="8"/>
        <v>0</v>
      </c>
      <c r="F105" s="173"/>
      <c r="G105" s="191">
        <f t="shared" si="9"/>
        <v>0</v>
      </c>
      <c r="H105" s="250"/>
      <c r="I105" s="252">
        <f t="shared" si="5"/>
        <v>0</v>
      </c>
      <c r="J105" s="191">
        <f t="shared" si="6"/>
        <v>0</v>
      </c>
      <c r="K105" s="173"/>
      <c r="L105" s="191">
        <f t="shared" si="7"/>
        <v>0</v>
      </c>
    </row>
    <row r="106" spans="1:12" x14ac:dyDescent="0.2">
      <c r="A106" s="254">
        <v>1920</v>
      </c>
      <c r="B106" s="172" t="s">
        <v>216</v>
      </c>
      <c r="C106" s="173"/>
      <c r="D106" s="173"/>
      <c r="E106" s="191">
        <f t="shared" si="8"/>
        <v>0</v>
      </c>
      <c r="F106" s="173"/>
      <c r="G106" s="191">
        <f t="shared" si="9"/>
        <v>0</v>
      </c>
      <c r="H106" s="250"/>
      <c r="I106" s="252">
        <f t="shared" si="5"/>
        <v>0</v>
      </c>
      <c r="J106" s="191">
        <f t="shared" si="6"/>
        <v>0</v>
      </c>
      <c r="K106" s="173"/>
      <c r="L106" s="191">
        <f t="shared" si="7"/>
        <v>0</v>
      </c>
    </row>
    <row r="107" spans="1:12" x14ac:dyDescent="0.2">
      <c r="A107" s="1484">
        <v>1930</v>
      </c>
      <c r="B107" s="180" t="s">
        <v>286</v>
      </c>
      <c r="C107" s="173"/>
      <c r="D107" s="173"/>
      <c r="E107" s="191">
        <f t="shared" si="8"/>
        <v>0</v>
      </c>
      <c r="F107" s="173"/>
      <c r="G107" s="191">
        <f t="shared" si="9"/>
        <v>0</v>
      </c>
      <c r="H107" s="250">
        <v>8</v>
      </c>
      <c r="I107" s="252">
        <f t="shared" si="5"/>
        <v>0.125</v>
      </c>
      <c r="J107" s="191">
        <f t="shared" si="6"/>
        <v>0</v>
      </c>
      <c r="K107" s="173"/>
      <c r="L107" s="191">
        <f t="shared" si="7"/>
        <v>0</v>
      </c>
    </row>
    <row r="108" spans="1:12" x14ac:dyDescent="0.2">
      <c r="A108" s="1484">
        <v>1931</v>
      </c>
      <c r="B108" s="180" t="s">
        <v>1425</v>
      </c>
      <c r="C108" s="173">
        <v>94305</v>
      </c>
      <c r="D108" s="173">
        <v>-62876.999999999985</v>
      </c>
      <c r="E108" s="191">
        <f t="shared" si="8"/>
        <v>157182</v>
      </c>
      <c r="F108" s="173">
        <v>21756</v>
      </c>
      <c r="G108" s="191">
        <f t="shared" si="9"/>
        <v>168060</v>
      </c>
      <c r="H108" s="250">
        <v>15</v>
      </c>
      <c r="I108" s="252">
        <f t="shared" si="5"/>
        <v>6.6666666666666666E-2</v>
      </c>
      <c r="J108" s="191">
        <f t="shared" si="6"/>
        <v>11204</v>
      </c>
      <c r="K108" s="173">
        <v>11204</v>
      </c>
      <c r="L108" s="191">
        <f t="shared" si="7"/>
        <v>0</v>
      </c>
    </row>
    <row r="109" spans="1:12" x14ac:dyDescent="0.2">
      <c r="A109" s="1484">
        <v>1932</v>
      </c>
      <c r="B109" s="180" t="s">
        <v>1426</v>
      </c>
      <c r="C109" s="173">
        <v>172379</v>
      </c>
      <c r="D109" s="173">
        <v>-259957.00000000003</v>
      </c>
      <c r="E109" s="191">
        <f t="shared" si="8"/>
        <v>432336</v>
      </c>
      <c r="F109" s="173">
        <v>-1200</v>
      </c>
      <c r="G109" s="191">
        <f t="shared" si="9"/>
        <v>431736</v>
      </c>
      <c r="H109" s="250">
        <v>8</v>
      </c>
      <c r="I109" s="252">
        <f t="shared" si="5"/>
        <v>0.125</v>
      </c>
      <c r="J109" s="191">
        <f t="shared" si="6"/>
        <v>53967</v>
      </c>
      <c r="K109" s="173">
        <v>53967</v>
      </c>
      <c r="L109" s="191">
        <f t="shared" si="7"/>
        <v>0</v>
      </c>
    </row>
    <row r="110" spans="1:12" x14ac:dyDescent="0.2">
      <c r="A110" s="1484">
        <v>1933</v>
      </c>
      <c r="B110" s="180" t="s">
        <v>1403</v>
      </c>
      <c r="C110" s="173"/>
      <c r="D110" s="173"/>
      <c r="E110" s="191">
        <f t="shared" si="8"/>
        <v>0</v>
      </c>
      <c r="F110" s="173">
        <v>70712</v>
      </c>
      <c r="G110" s="191">
        <f t="shared" si="9"/>
        <v>35356</v>
      </c>
      <c r="H110" s="250">
        <v>10</v>
      </c>
      <c r="I110" s="252">
        <f t="shared" si="5"/>
        <v>0.1</v>
      </c>
      <c r="J110" s="191">
        <f t="shared" si="6"/>
        <v>3535.6</v>
      </c>
      <c r="K110" s="173">
        <v>3536</v>
      </c>
      <c r="L110" s="191">
        <f t="shared" si="7"/>
        <v>-0.40000000000009095</v>
      </c>
    </row>
    <row r="111" spans="1:12" x14ac:dyDescent="0.2">
      <c r="A111" s="1484">
        <v>1935</v>
      </c>
      <c r="B111" s="180" t="s">
        <v>287</v>
      </c>
      <c r="C111" s="173"/>
      <c r="D111" s="173"/>
      <c r="E111" s="191">
        <f t="shared" si="8"/>
        <v>0</v>
      </c>
      <c r="F111" s="173"/>
      <c r="G111" s="191">
        <f t="shared" si="9"/>
        <v>0</v>
      </c>
      <c r="H111" s="250"/>
      <c r="I111" s="252">
        <f t="shared" si="5"/>
        <v>0</v>
      </c>
      <c r="J111" s="191">
        <f t="shared" si="6"/>
        <v>0</v>
      </c>
      <c r="K111" s="173"/>
      <c r="L111" s="191">
        <f t="shared" si="7"/>
        <v>0</v>
      </c>
    </row>
    <row r="112" spans="1:12" x14ac:dyDescent="0.2">
      <c r="A112" s="1484">
        <v>1940</v>
      </c>
      <c r="B112" s="180" t="s">
        <v>288</v>
      </c>
      <c r="C112" s="173">
        <v>380913</v>
      </c>
      <c r="D112" s="173">
        <v>262251</v>
      </c>
      <c r="E112" s="191">
        <f t="shared" si="8"/>
        <v>118662</v>
      </c>
      <c r="F112" s="173">
        <v>916</v>
      </c>
      <c r="G112" s="191">
        <f t="shared" si="9"/>
        <v>119120</v>
      </c>
      <c r="H112" s="250">
        <v>10</v>
      </c>
      <c r="I112" s="252">
        <f t="shared" si="5"/>
        <v>0.1</v>
      </c>
      <c r="J112" s="191">
        <f t="shared" si="6"/>
        <v>11912</v>
      </c>
      <c r="K112" s="173">
        <v>11912</v>
      </c>
      <c r="L112" s="191">
        <f t="shared" si="7"/>
        <v>0</v>
      </c>
    </row>
    <row r="113" spans="1:12" x14ac:dyDescent="0.2">
      <c r="A113" s="1484">
        <v>1945</v>
      </c>
      <c r="B113" s="180" t="s">
        <v>289</v>
      </c>
      <c r="C113" s="173"/>
      <c r="D113" s="173"/>
      <c r="E113" s="191">
        <f t="shared" si="8"/>
        <v>0</v>
      </c>
      <c r="F113" s="173"/>
      <c r="G113" s="191">
        <f t="shared" si="9"/>
        <v>0</v>
      </c>
      <c r="H113" s="250"/>
      <c r="I113" s="252">
        <f t="shared" si="5"/>
        <v>0</v>
      </c>
      <c r="J113" s="191">
        <f t="shared" si="6"/>
        <v>0</v>
      </c>
      <c r="K113" s="173"/>
      <c r="L113" s="191">
        <f t="shared" si="7"/>
        <v>0</v>
      </c>
    </row>
    <row r="114" spans="1:12" x14ac:dyDescent="0.2">
      <c r="A114" s="1484">
        <v>1950</v>
      </c>
      <c r="B114" s="180" t="s">
        <v>218</v>
      </c>
      <c r="C114" s="173"/>
      <c r="D114" s="173"/>
      <c r="E114" s="191">
        <f t="shared" si="8"/>
        <v>0</v>
      </c>
      <c r="F114" s="173"/>
      <c r="G114" s="191">
        <f t="shared" si="9"/>
        <v>0</v>
      </c>
      <c r="H114" s="250"/>
      <c r="I114" s="252">
        <f t="shared" si="5"/>
        <v>0</v>
      </c>
      <c r="J114" s="191">
        <f t="shared" si="6"/>
        <v>0</v>
      </c>
      <c r="K114" s="173"/>
      <c r="L114" s="191">
        <f t="shared" si="7"/>
        <v>0</v>
      </c>
    </row>
    <row r="115" spans="1:12" x14ac:dyDescent="0.2">
      <c r="A115" s="1484">
        <v>1955</v>
      </c>
      <c r="B115" s="180" t="s">
        <v>290</v>
      </c>
      <c r="C115" s="173">
        <v>36106</v>
      </c>
      <c r="D115" s="173">
        <v>21776</v>
      </c>
      <c r="E115" s="191">
        <f t="shared" si="8"/>
        <v>14330</v>
      </c>
      <c r="F115" s="173">
        <v>40</v>
      </c>
      <c r="G115" s="191">
        <f t="shared" si="9"/>
        <v>14350</v>
      </c>
      <c r="H115" s="250">
        <v>10</v>
      </c>
      <c r="I115" s="252">
        <f t="shared" si="5"/>
        <v>0.1</v>
      </c>
      <c r="J115" s="191">
        <f t="shared" si="6"/>
        <v>1435</v>
      </c>
      <c r="K115" s="173">
        <v>1435</v>
      </c>
      <c r="L115" s="191">
        <f t="shared" si="7"/>
        <v>0</v>
      </c>
    </row>
    <row r="116" spans="1:12" x14ac:dyDescent="0.2">
      <c r="A116" s="255">
        <v>1955</v>
      </c>
      <c r="B116" s="184" t="s">
        <v>219</v>
      </c>
      <c r="C116" s="173"/>
      <c r="D116" s="173"/>
      <c r="E116" s="191">
        <f t="shared" si="8"/>
        <v>0</v>
      </c>
      <c r="F116" s="173"/>
      <c r="G116" s="191">
        <f t="shared" si="9"/>
        <v>0</v>
      </c>
      <c r="H116" s="250"/>
      <c r="I116" s="252">
        <f t="shared" si="5"/>
        <v>0</v>
      </c>
      <c r="J116" s="191">
        <f t="shared" si="6"/>
        <v>0</v>
      </c>
      <c r="K116" s="173"/>
      <c r="L116" s="191">
        <f t="shared" si="7"/>
        <v>0</v>
      </c>
    </row>
    <row r="117" spans="1:12" x14ac:dyDescent="0.2">
      <c r="A117" s="254">
        <v>1960</v>
      </c>
      <c r="B117" s="172" t="s">
        <v>220</v>
      </c>
      <c r="C117" s="173"/>
      <c r="D117" s="173"/>
      <c r="E117" s="191">
        <f t="shared" si="8"/>
        <v>0</v>
      </c>
      <c r="F117" s="173"/>
      <c r="G117" s="191">
        <f t="shared" si="9"/>
        <v>0</v>
      </c>
      <c r="H117" s="250"/>
      <c r="I117" s="252">
        <f t="shared" si="5"/>
        <v>0</v>
      </c>
      <c r="J117" s="191">
        <f t="shared" si="6"/>
        <v>0</v>
      </c>
      <c r="K117" s="173"/>
      <c r="L117" s="191">
        <f t="shared" si="7"/>
        <v>0</v>
      </c>
    </row>
    <row r="118" spans="1:12" x14ac:dyDescent="0.2">
      <c r="A118" s="254">
        <v>1970</v>
      </c>
      <c r="B118" s="1482" t="s">
        <v>535</v>
      </c>
      <c r="C118" s="173"/>
      <c r="D118" s="173"/>
      <c r="E118" s="191">
        <f t="shared" si="8"/>
        <v>0</v>
      </c>
      <c r="F118" s="173"/>
      <c r="G118" s="191">
        <f t="shared" si="9"/>
        <v>0</v>
      </c>
      <c r="H118" s="250"/>
      <c r="I118" s="252">
        <f t="shared" si="5"/>
        <v>0</v>
      </c>
      <c r="J118" s="191">
        <f t="shared" si="6"/>
        <v>0</v>
      </c>
      <c r="K118" s="173"/>
      <c r="L118" s="191">
        <f t="shared" si="7"/>
        <v>0</v>
      </c>
    </row>
    <row r="119" spans="1:12" x14ac:dyDescent="0.2">
      <c r="A119" s="1484">
        <v>1975</v>
      </c>
      <c r="B119" s="180" t="s">
        <v>291</v>
      </c>
      <c r="C119" s="173"/>
      <c r="D119" s="173"/>
      <c r="E119" s="191">
        <f t="shared" si="8"/>
        <v>0</v>
      </c>
      <c r="F119" s="173"/>
      <c r="G119" s="191">
        <f t="shared" si="9"/>
        <v>0</v>
      </c>
      <c r="H119" s="250"/>
      <c r="I119" s="252">
        <f t="shared" si="5"/>
        <v>0</v>
      </c>
      <c r="J119" s="191">
        <f t="shared" si="6"/>
        <v>0</v>
      </c>
      <c r="K119" s="173"/>
      <c r="L119" s="191">
        <f t="shared" si="7"/>
        <v>0</v>
      </c>
    </row>
    <row r="120" spans="1:12" x14ac:dyDescent="0.2">
      <c r="A120" s="1484">
        <v>1980</v>
      </c>
      <c r="B120" s="180" t="s">
        <v>292</v>
      </c>
      <c r="C120" s="173"/>
      <c r="D120" s="173"/>
      <c r="E120" s="191">
        <f t="shared" si="8"/>
        <v>0</v>
      </c>
      <c r="F120" s="173"/>
      <c r="G120" s="191">
        <f t="shared" si="9"/>
        <v>0</v>
      </c>
      <c r="H120" s="250"/>
      <c r="I120" s="252">
        <f t="shared" si="5"/>
        <v>0</v>
      </c>
      <c r="J120" s="191">
        <f t="shared" si="6"/>
        <v>0</v>
      </c>
      <c r="K120" s="173"/>
      <c r="L120" s="191">
        <f t="shared" si="7"/>
        <v>0</v>
      </c>
    </row>
    <row r="121" spans="1:12" x14ac:dyDescent="0.2">
      <c r="A121" s="1484">
        <v>1985</v>
      </c>
      <c r="B121" s="180" t="s">
        <v>1428</v>
      </c>
      <c r="C121" s="173">
        <v>15</v>
      </c>
      <c r="D121" s="173">
        <v>15</v>
      </c>
      <c r="E121" s="191">
        <f t="shared" si="8"/>
        <v>0</v>
      </c>
      <c r="F121" s="173"/>
      <c r="G121" s="191">
        <f t="shared" si="9"/>
        <v>0</v>
      </c>
      <c r="H121" s="250">
        <v>10</v>
      </c>
      <c r="I121" s="252">
        <f t="shared" si="5"/>
        <v>0.1</v>
      </c>
      <c r="J121" s="191">
        <f t="shared" si="6"/>
        <v>0</v>
      </c>
      <c r="K121" s="173"/>
      <c r="L121" s="191">
        <f t="shared" si="7"/>
        <v>0</v>
      </c>
    </row>
    <row r="122" spans="1:12" x14ac:dyDescent="0.2">
      <c r="A122" s="1484">
        <v>1990</v>
      </c>
      <c r="B122" s="1483" t="s">
        <v>502</v>
      </c>
      <c r="C122" s="173"/>
      <c r="D122" s="173"/>
      <c r="E122" s="191">
        <f t="shared" si="8"/>
        <v>0</v>
      </c>
      <c r="F122" s="173"/>
      <c r="G122" s="191">
        <f t="shared" si="9"/>
        <v>0</v>
      </c>
      <c r="H122" s="250"/>
      <c r="I122" s="252">
        <f t="shared" si="5"/>
        <v>0</v>
      </c>
      <c r="J122" s="191">
        <f t="shared" si="6"/>
        <v>0</v>
      </c>
      <c r="K122" s="173"/>
      <c r="L122" s="191">
        <f t="shared" si="7"/>
        <v>0</v>
      </c>
    </row>
    <row r="123" spans="1:12" ht="13.5" thickBot="1" x14ac:dyDescent="0.25">
      <c r="A123" s="1484">
        <v>1995</v>
      </c>
      <c r="B123" s="180" t="s">
        <v>294</v>
      </c>
      <c r="C123" s="257">
        <v>-5492391</v>
      </c>
      <c r="D123" s="257">
        <v>38797.999999999476</v>
      </c>
      <c r="E123" s="285">
        <f t="shared" si="8"/>
        <v>-5531188.9999999991</v>
      </c>
      <c r="F123" s="257">
        <v>-603122</v>
      </c>
      <c r="G123" s="285">
        <f t="shared" si="9"/>
        <v>-5832749.9999999991</v>
      </c>
      <c r="H123" s="259">
        <v>25</v>
      </c>
      <c r="I123" s="260">
        <f t="shared" si="5"/>
        <v>0.04</v>
      </c>
      <c r="J123" s="285">
        <f t="shared" si="6"/>
        <v>-233309.99999999997</v>
      </c>
      <c r="K123" s="257">
        <v>-233310</v>
      </c>
      <c r="L123" s="285">
        <f t="shared" si="7"/>
        <v>2.9103830456733704E-11</v>
      </c>
    </row>
    <row r="124" spans="1:12" ht="14.25" thickTop="1" thickBot="1" x14ac:dyDescent="0.25">
      <c r="A124" s="261"/>
      <c r="B124" s="262" t="s">
        <v>295</v>
      </c>
      <c r="C124" s="263">
        <f>SUM(C77:C123)</f>
        <v>22441325</v>
      </c>
      <c r="D124" s="263">
        <f>SUM(D77:D123)</f>
        <v>11827835</v>
      </c>
      <c r="E124" s="263">
        <f>SUM(E77:E123)</f>
        <v>10613490</v>
      </c>
      <c r="F124" s="263">
        <f>SUM(F77:F123)</f>
        <v>381856</v>
      </c>
      <c r="G124" s="263">
        <f>SUM(G77:G123)</f>
        <v>10804418</v>
      </c>
      <c r="H124" s="330"/>
      <c r="I124" s="266"/>
      <c r="J124" s="263">
        <f>SUM(J77:J123)</f>
        <v>352695.79999999993</v>
      </c>
      <c r="K124" s="263">
        <f>SUM(K77:K123)</f>
        <v>352696</v>
      </c>
      <c r="L124" s="263">
        <f>SUM(L77:L123)</f>
        <v>-0.19999999997291695</v>
      </c>
    </row>
    <row r="125" spans="1:12" x14ac:dyDescent="0.2">
      <c r="A125" s="289"/>
      <c r="B125" s="1707" t="s">
        <v>1078</v>
      </c>
      <c r="C125" s="1707"/>
      <c r="D125" s="1707"/>
      <c r="E125" s="1707"/>
      <c r="F125" s="1707"/>
      <c r="G125" s="1707"/>
      <c r="H125" s="1707"/>
      <c r="I125" s="1708"/>
      <c r="J125" s="173"/>
      <c r="K125" s="291"/>
      <c r="L125" s="291"/>
    </row>
    <row r="126" spans="1:12" x14ac:dyDescent="0.2">
      <c r="A126" s="289"/>
      <c r="B126" s="290" t="s">
        <v>937</v>
      </c>
      <c r="C126" s="312"/>
      <c r="D126" s="312"/>
      <c r="E126" s="312"/>
      <c r="F126" s="291"/>
      <c r="G126" s="291"/>
      <c r="H126" s="293"/>
      <c r="I126" s="312"/>
      <c r="J126" s="191">
        <f>SUM(J124:J125)</f>
        <v>352695.79999999993</v>
      </c>
      <c r="K126" s="291"/>
      <c r="L126" s="291"/>
    </row>
    <row r="127" spans="1:12" x14ac:dyDescent="0.2">
      <c r="A127" s="289"/>
      <c r="B127" s="290"/>
      <c r="C127" s="312"/>
      <c r="D127" s="312"/>
      <c r="E127" s="312"/>
      <c r="F127" s="291"/>
      <c r="G127" s="291"/>
      <c r="H127" s="293"/>
      <c r="I127" s="312"/>
      <c r="J127" s="291"/>
      <c r="K127" s="291"/>
      <c r="L127" s="291"/>
    </row>
    <row r="128" spans="1:12" x14ac:dyDescent="0.2">
      <c r="A128" s="289"/>
      <c r="B128" s="290"/>
      <c r="C128" s="312"/>
      <c r="D128" s="312"/>
      <c r="E128" s="312"/>
      <c r="F128" s="291"/>
      <c r="G128" s="291"/>
      <c r="H128" s="293"/>
      <c r="I128" s="312"/>
      <c r="J128" s="291"/>
      <c r="K128" s="291"/>
      <c r="L128" s="291"/>
    </row>
    <row r="129" spans="1:12" x14ac:dyDescent="0.2">
      <c r="B129" s="1113"/>
      <c r="C129" s="1136"/>
      <c r="D129" s="1136" t="s">
        <v>882</v>
      </c>
      <c r="E129" s="48" t="s">
        <v>105</v>
      </c>
      <c r="F129" s="1113"/>
      <c r="G129" s="1138"/>
      <c r="H129" s="1113"/>
      <c r="I129" s="1113"/>
      <c r="J129" s="1113"/>
      <c r="K129" s="1113"/>
      <c r="L129" s="295"/>
    </row>
    <row r="130" spans="1:12" ht="18" x14ac:dyDescent="0.25">
      <c r="A130" s="1481"/>
      <c r="B130" s="1481"/>
      <c r="C130" s="1136"/>
      <c r="D130" s="1136" t="s">
        <v>102</v>
      </c>
      <c r="E130" s="1137">
        <v>2015</v>
      </c>
      <c r="H130" s="1481"/>
      <c r="I130" s="1481"/>
      <c r="J130" s="1481"/>
    </row>
    <row r="131" spans="1:12" ht="13.5" thickBot="1" x14ac:dyDescent="0.25"/>
    <row r="132" spans="1:12" ht="51" x14ac:dyDescent="0.2">
      <c r="A132" s="1685" t="s">
        <v>3</v>
      </c>
      <c r="B132" s="1687" t="s">
        <v>235</v>
      </c>
      <c r="C132" s="245" t="s">
        <v>1043</v>
      </c>
      <c r="D132" s="245" t="s">
        <v>476</v>
      </c>
      <c r="E132" s="245" t="s">
        <v>477</v>
      </c>
      <c r="F132" s="245" t="s">
        <v>237</v>
      </c>
      <c r="G132" s="245" t="s">
        <v>1073</v>
      </c>
      <c r="H132" s="245" t="s">
        <v>6</v>
      </c>
      <c r="I132" s="245" t="s">
        <v>298</v>
      </c>
      <c r="J132" s="277" t="s">
        <v>1082</v>
      </c>
      <c r="K132" s="1697" t="s">
        <v>1062</v>
      </c>
      <c r="L132" s="277" t="s">
        <v>1074</v>
      </c>
    </row>
    <row r="133" spans="1:12" x14ac:dyDescent="0.2">
      <c r="A133" s="1686"/>
      <c r="B133" s="1688"/>
      <c r="C133" s="249" t="s">
        <v>4</v>
      </c>
      <c r="D133" s="249" t="s">
        <v>478</v>
      </c>
      <c r="E133" s="249" t="s">
        <v>479</v>
      </c>
      <c r="F133" s="249" t="s">
        <v>5</v>
      </c>
      <c r="G133" s="328" t="s">
        <v>997</v>
      </c>
      <c r="H133" s="249" t="s">
        <v>7</v>
      </c>
      <c r="I133" s="249" t="s">
        <v>8</v>
      </c>
      <c r="J133" s="329" t="s">
        <v>9</v>
      </c>
      <c r="K133" s="1711"/>
      <c r="L133" s="329" t="s">
        <v>382</v>
      </c>
    </row>
    <row r="134" spans="1:12" ht="25.5" x14ac:dyDescent="0.2">
      <c r="A134" s="1484">
        <v>1611</v>
      </c>
      <c r="B134" s="172" t="s">
        <v>381</v>
      </c>
      <c r="C134" s="173">
        <v>257050</v>
      </c>
      <c r="D134" s="173">
        <v>239280.5</v>
      </c>
      <c r="E134" s="191">
        <f>C134-D134</f>
        <v>17769.5</v>
      </c>
      <c r="F134" s="173">
        <v>2201</v>
      </c>
      <c r="G134" s="191">
        <f>E134+0.5*F134</f>
        <v>18870</v>
      </c>
      <c r="H134" s="250">
        <v>5</v>
      </c>
      <c r="I134" s="251">
        <f t="shared" ref="I134:I180" si="10">IF(H134=0,0,1/H134)</f>
        <v>0.2</v>
      </c>
      <c r="J134" s="191">
        <f t="shared" ref="J134:J180" si="11">IF(H134=0,0,G134/H134)</f>
        <v>3774</v>
      </c>
      <c r="K134" s="173">
        <v>3774</v>
      </c>
      <c r="L134" s="191">
        <f t="shared" ref="L134:L180" si="12">IF(ISERROR(+J134-K134), 0, +J134-K134)</f>
        <v>0</v>
      </c>
    </row>
    <row r="135" spans="1:12" x14ac:dyDescent="0.2">
      <c r="A135" s="1484">
        <v>1612</v>
      </c>
      <c r="B135" s="172" t="s">
        <v>442</v>
      </c>
      <c r="C135" s="173">
        <v>2945</v>
      </c>
      <c r="D135" s="173">
        <v>2945</v>
      </c>
      <c r="E135" s="191">
        <f t="shared" ref="E135:E180" si="13">C135-D135</f>
        <v>0</v>
      </c>
      <c r="F135" s="173"/>
      <c r="G135" s="191">
        <f t="shared" ref="G135:G180" si="14">E135+0.5*F135</f>
        <v>0</v>
      </c>
      <c r="H135" s="250">
        <v>5</v>
      </c>
      <c r="I135" s="252">
        <f t="shared" si="10"/>
        <v>0.2</v>
      </c>
      <c r="J135" s="191">
        <f t="shared" si="11"/>
        <v>0</v>
      </c>
      <c r="K135" s="173"/>
      <c r="L135" s="191">
        <f t="shared" si="12"/>
        <v>0</v>
      </c>
    </row>
    <row r="136" spans="1:12" x14ac:dyDescent="0.2">
      <c r="A136" s="253">
        <v>1805</v>
      </c>
      <c r="B136" s="179" t="s">
        <v>267</v>
      </c>
      <c r="C136" s="173">
        <v>2112</v>
      </c>
      <c r="D136" s="173">
        <v>0</v>
      </c>
      <c r="E136" s="191">
        <f t="shared" si="13"/>
        <v>2112</v>
      </c>
      <c r="F136" s="173"/>
      <c r="G136" s="191">
        <f t="shared" si="14"/>
        <v>2112</v>
      </c>
      <c r="H136" s="250"/>
      <c r="I136" s="252">
        <f t="shared" si="10"/>
        <v>0</v>
      </c>
      <c r="J136" s="191">
        <f t="shared" si="11"/>
        <v>0</v>
      </c>
      <c r="K136" s="173"/>
      <c r="L136" s="191">
        <f t="shared" si="12"/>
        <v>0</v>
      </c>
    </row>
    <row r="137" spans="1:12" x14ac:dyDescent="0.2">
      <c r="A137" s="1484">
        <v>1808</v>
      </c>
      <c r="B137" s="180" t="s">
        <v>268</v>
      </c>
      <c r="C137" s="173"/>
      <c r="D137" s="173"/>
      <c r="E137" s="191">
        <f t="shared" si="13"/>
        <v>0</v>
      </c>
      <c r="F137" s="173"/>
      <c r="G137" s="191">
        <f t="shared" si="14"/>
        <v>0</v>
      </c>
      <c r="H137" s="250"/>
      <c r="I137" s="252">
        <f t="shared" si="10"/>
        <v>0</v>
      </c>
      <c r="J137" s="191">
        <f t="shared" si="11"/>
        <v>0</v>
      </c>
      <c r="K137" s="173"/>
      <c r="L137" s="191">
        <f t="shared" si="12"/>
        <v>0</v>
      </c>
    </row>
    <row r="138" spans="1:12" x14ac:dyDescent="0.2">
      <c r="A138" s="1484">
        <v>1810</v>
      </c>
      <c r="B138" s="180" t="s">
        <v>299</v>
      </c>
      <c r="C138" s="173"/>
      <c r="D138" s="173"/>
      <c r="E138" s="191">
        <f t="shared" si="13"/>
        <v>0</v>
      </c>
      <c r="F138" s="173"/>
      <c r="G138" s="191">
        <f t="shared" si="14"/>
        <v>0</v>
      </c>
      <c r="H138" s="250"/>
      <c r="I138" s="252">
        <f t="shared" si="10"/>
        <v>0</v>
      </c>
      <c r="J138" s="191">
        <f t="shared" si="11"/>
        <v>0</v>
      </c>
      <c r="K138" s="173"/>
      <c r="L138" s="191">
        <f t="shared" si="12"/>
        <v>0</v>
      </c>
    </row>
    <row r="139" spans="1:12" x14ac:dyDescent="0.2">
      <c r="A139" s="1484">
        <v>1815</v>
      </c>
      <c r="B139" s="180" t="s">
        <v>269</v>
      </c>
      <c r="C139" s="173"/>
      <c r="D139" s="173"/>
      <c r="E139" s="191">
        <f t="shared" si="13"/>
        <v>0</v>
      </c>
      <c r="F139" s="173"/>
      <c r="G139" s="191">
        <f t="shared" si="14"/>
        <v>0</v>
      </c>
      <c r="H139" s="250"/>
      <c r="I139" s="252">
        <f t="shared" si="10"/>
        <v>0</v>
      </c>
      <c r="J139" s="191">
        <f t="shared" si="11"/>
        <v>0</v>
      </c>
      <c r="K139" s="173"/>
      <c r="L139" s="191">
        <f t="shared" si="12"/>
        <v>0</v>
      </c>
    </row>
    <row r="140" spans="1:12" x14ac:dyDescent="0.2">
      <c r="A140" s="1484">
        <v>1820</v>
      </c>
      <c r="B140" s="172" t="s">
        <v>207</v>
      </c>
      <c r="C140" s="173">
        <v>142098</v>
      </c>
      <c r="D140" s="173">
        <v>140238</v>
      </c>
      <c r="E140" s="191">
        <f t="shared" si="13"/>
        <v>1860</v>
      </c>
      <c r="F140" s="173"/>
      <c r="G140" s="191">
        <f t="shared" si="14"/>
        <v>1860</v>
      </c>
      <c r="H140" s="250">
        <v>30</v>
      </c>
      <c r="I140" s="252">
        <f t="shared" si="10"/>
        <v>3.3333333333333333E-2</v>
      </c>
      <c r="J140" s="191">
        <f t="shared" si="11"/>
        <v>62</v>
      </c>
      <c r="K140" s="173">
        <v>62</v>
      </c>
      <c r="L140" s="191">
        <f t="shared" si="12"/>
        <v>0</v>
      </c>
    </row>
    <row r="141" spans="1:12" x14ac:dyDescent="0.2">
      <c r="A141" s="1484">
        <v>1825</v>
      </c>
      <c r="B141" s="180" t="s">
        <v>270</v>
      </c>
      <c r="C141" s="173"/>
      <c r="D141" s="173"/>
      <c r="E141" s="191">
        <f t="shared" si="13"/>
        <v>0</v>
      </c>
      <c r="F141" s="173"/>
      <c r="G141" s="191">
        <f t="shared" si="14"/>
        <v>0</v>
      </c>
      <c r="H141" s="250"/>
      <c r="I141" s="252">
        <f t="shared" si="10"/>
        <v>0</v>
      </c>
      <c r="J141" s="191">
        <f t="shared" si="11"/>
        <v>0</v>
      </c>
      <c r="K141" s="173"/>
      <c r="L141" s="191">
        <f t="shared" si="12"/>
        <v>0</v>
      </c>
    </row>
    <row r="142" spans="1:12" x14ac:dyDescent="0.2">
      <c r="A142" s="1484">
        <v>1830</v>
      </c>
      <c r="B142" s="180" t="s">
        <v>271</v>
      </c>
      <c r="C142" s="173">
        <v>1034672</v>
      </c>
      <c r="D142" s="173">
        <v>114522.99999999983</v>
      </c>
      <c r="E142" s="191">
        <f t="shared" si="13"/>
        <v>920149.00000000023</v>
      </c>
      <c r="F142" s="173">
        <v>52492</v>
      </c>
      <c r="G142" s="191">
        <f t="shared" si="14"/>
        <v>946395.00000000023</v>
      </c>
      <c r="H142" s="250">
        <v>45</v>
      </c>
      <c r="I142" s="252">
        <f t="shared" si="10"/>
        <v>2.2222222222222223E-2</v>
      </c>
      <c r="J142" s="191">
        <f t="shared" si="11"/>
        <v>21031.000000000004</v>
      </c>
      <c r="K142" s="173">
        <v>21031</v>
      </c>
      <c r="L142" s="191">
        <f t="shared" si="12"/>
        <v>3.637978807091713E-12</v>
      </c>
    </row>
    <row r="143" spans="1:12" x14ac:dyDescent="0.2">
      <c r="A143" s="1484">
        <v>1835</v>
      </c>
      <c r="B143" s="180" t="s">
        <v>208</v>
      </c>
      <c r="C143" s="173">
        <v>6474239</v>
      </c>
      <c r="D143" s="173">
        <v>4236734.4999999981</v>
      </c>
      <c r="E143" s="191">
        <f t="shared" si="13"/>
        <v>2237504.5000000019</v>
      </c>
      <c r="F143" s="173">
        <v>27991</v>
      </c>
      <c r="G143" s="191">
        <f t="shared" si="14"/>
        <v>2251500.0000000019</v>
      </c>
      <c r="H143" s="250">
        <v>60</v>
      </c>
      <c r="I143" s="252">
        <f t="shared" si="10"/>
        <v>1.6666666666666666E-2</v>
      </c>
      <c r="J143" s="191">
        <f t="shared" si="11"/>
        <v>37525.000000000029</v>
      </c>
      <c r="K143" s="173">
        <v>37525</v>
      </c>
      <c r="L143" s="191">
        <f t="shared" si="12"/>
        <v>2.9103830456733704E-11</v>
      </c>
    </row>
    <row r="144" spans="1:12" x14ac:dyDescent="0.2">
      <c r="A144" s="1484">
        <v>1840</v>
      </c>
      <c r="B144" s="180" t="s">
        <v>209</v>
      </c>
      <c r="C144" s="173">
        <v>1953364</v>
      </c>
      <c r="D144" s="173">
        <v>132195.99999999994</v>
      </c>
      <c r="E144" s="191">
        <f t="shared" si="13"/>
        <v>1821168</v>
      </c>
      <c r="F144" s="173">
        <v>263064</v>
      </c>
      <c r="G144" s="191">
        <f t="shared" si="14"/>
        <v>1952700</v>
      </c>
      <c r="H144" s="250">
        <v>50</v>
      </c>
      <c r="I144" s="252">
        <f t="shared" si="10"/>
        <v>0.02</v>
      </c>
      <c r="J144" s="191">
        <f t="shared" si="11"/>
        <v>39054</v>
      </c>
      <c r="K144" s="173">
        <v>39054</v>
      </c>
      <c r="L144" s="191">
        <f t="shared" si="12"/>
        <v>0</v>
      </c>
    </row>
    <row r="145" spans="1:12" x14ac:dyDescent="0.2">
      <c r="A145" s="1484">
        <v>1845</v>
      </c>
      <c r="B145" s="180" t="s">
        <v>210</v>
      </c>
      <c r="C145" s="173">
        <v>8197561</v>
      </c>
      <c r="D145" s="173">
        <v>3978838</v>
      </c>
      <c r="E145" s="191">
        <f t="shared" si="13"/>
        <v>4218723</v>
      </c>
      <c r="F145" s="173">
        <v>126314</v>
      </c>
      <c r="G145" s="191">
        <f t="shared" si="14"/>
        <v>4281880</v>
      </c>
      <c r="H145" s="250">
        <v>40</v>
      </c>
      <c r="I145" s="252">
        <f t="shared" si="10"/>
        <v>2.5000000000000001E-2</v>
      </c>
      <c r="J145" s="191">
        <f t="shared" si="11"/>
        <v>107047</v>
      </c>
      <c r="K145" s="173">
        <v>107047</v>
      </c>
      <c r="L145" s="191">
        <f t="shared" si="12"/>
        <v>0</v>
      </c>
    </row>
    <row r="146" spans="1:12" x14ac:dyDescent="0.2">
      <c r="A146" s="1484">
        <v>1850</v>
      </c>
      <c r="B146" s="180" t="s">
        <v>272</v>
      </c>
      <c r="C146" s="173">
        <v>6083306</v>
      </c>
      <c r="D146" s="173">
        <v>2925047</v>
      </c>
      <c r="E146" s="191">
        <f t="shared" si="13"/>
        <v>3158259</v>
      </c>
      <c r="F146" s="173">
        <v>305722</v>
      </c>
      <c r="G146" s="191">
        <f t="shared" si="14"/>
        <v>3311120</v>
      </c>
      <c r="H146" s="250">
        <v>40</v>
      </c>
      <c r="I146" s="252">
        <f t="shared" si="10"/>
        <v>2.5000000000000001E-2</v>
      </c>
      <c r="J146" s="191">
        <f t="shared" si="11"/>
        <v>82778</v>
      </c>
      <c r="K146" s="173">
        <v>82778</v>
      </c>
      <c r="L146" s="191">
        <f t="shared" si="12"/>
        <v>0</v>
      </c>
    </row>
    <row r="147" spans="1:12" x14ac:dyDescent="0.2">
      <c r="A147" s="1484">
        <v>1851</v>
      </c>
      <c r="B147" s="180" t="s">
        <v>1416</v>
      </c>
      <c r="C147" s="173">
        <v>4448</v>
      </c>
      <c r="D147" s="173">
        <v>1.5000000000007461</v>
      </c>
      <c r="E147" s="191">
        <f t="shared" si="13"/>
        <v>4446.4999999999991</v>
      </c>
      <c r="F147" s="173">
        <v>4067</v>
      </c>
      <c r="G147" s="191">
        <f t="shared" si="14"/>
        <v>6479.9999999999991</v>
      </c>
      <c r="H147" s="250">
        <v>20</v>
      </c>
      <c r="I147" s="252">
        <f t="shared" si="10"/>
        <v>0.05</v>
      </c>
      <c r="J147" s="191">
        <f t="shared" si="11"/>
        <v>323.99999999999994</v>
      </c>
      <c r="K147" s="173">
        <v>324</v>
      </c>
      <c r="L147" s="191">
        <f t="shared" si="12"/>
        <v>-5.6843418860808015E-14</v>
      </c>
    </row>
    <row r="148" spans="1:12" ht="25.5" x14ac:dyDescent="0.2">
      <c r="A148" s="1484">
        <v>1852</v>
      </c>
      <c r="B148" s="180" t="s">
        <v>1422</v>
      </c>
      <c r="C148" s="173">
        <v>37877</v>
      </c>
      <c r="D148" s="173">
        <v>-10029.000000000002</v>
      </c>
      <c r="E148" s="191">
        <f t="shared" si="13"/>
        <v>47906</v>
      </c>
      <c r="F148" s="173">
        <v>36068</v>
      </c>
      <c r="G148" s="191">
        <f t="shared" si="14"/>
        <v>65940</v>
      </c>
      <c r="H148" s="250">
        <v>60</v>
      </c>
      <c r="I148" s="252">
        <f t="shared" si="10"/>
        <v>1.6666666666666666E-2</v>
      </c>
      <c r="J148" s="191">
        <f t="shared" si="11"/>
        <v>1099</v>
      </c>
      <c r="K148" s="173">
        <v>1099</v>
      </c>
      <c r="L148" s="191">
        <f t="shared" si="12"/>
        <v>0</v>
      </c>
    </row>
    <row r="149" spans="1:12" x14ac:dyDescent="0.2">
      <c r="A149" s="1484">
        <v>1855</v>
      </c>
      <c r="B149" s="180" t="s">
        <v>211</v>
      </c>
      <c r="C149" s="173">
        <v>932126</v>
      </c>
      <c r="D149" s="173">
        <v>-37455.999999999913</v>
      </c>
      <c r="E149" s="191">
        <f t="shared" si="13"/>
        <v>969581.99999999988</v>
      </c>
      <c r="F149" s="173">
        <v>98936</v>
      </c>
      <c r="G149" s="191">
        <f t="shared" si="14"/>
        <v>1019049.9999999999</v>
      </c>
      <c r="H149" s="250">
        <v>25</v>
      </c>
      <c r="I149" s="252">
        <f t="shared" si="10"/>
        <v>0.04</v>
      </c>
      <c r="J149" s="191">
        <f t="shared" si="11"/>
        <v>40761.999999999993</v>
      </c>
      <c r="K149" s="173">
        <v>40762</v>
      </c>
      <c r="L149" s="191">
        <f t="shared" si="12"/>
        <v>-7.2759576141834259E-12</v>
      </c>
    </row>
    <row r="150" spans="1:12" x14ac:dyDescent="0.2">
      <c r="A150" s="1484">
        <v>1860</v>
      </c>
      <c r="B150" s="180" t="s">
        <v>273</v>
      </c>
      <c r="C150" s="173"/>
      <c r="D150" s="173"/>
      <c r="E150" s="191">
        <f t="shared" si="13"/>
        <v>0</v>
      </c>
      <c r="F150" s="173"/>
      <c r="G150" s="191">
        <f t="shared" si="14"/>
        <v>0</v>
      </c>
      <c r="H150" s="250"/>
      <c r="I150" s="252">
        <f t="shared" si="10"/>
        <v>0</v>
      </c>
      <c r="J150" s="191">
        <f t="shared" si="11"/>
        <v>0</v>
      </c>
      <c r="K150" s="173"/>
      <c r="L150" s="191">
        <f t="shared" si="12"/>
        <v>0</v>
      </c>
    </row>
    <row r="151" spans="1:12" ht="25.5" x14ac:dyDescent="0.2">
      <c r="A151" s="1484">
        <v>1861</v>
      </c>
      <c r="B151" s="180" t="s">
        <v>1423</v>
      </c>
      <c r="C151" s="173">
        <v>957985</v>
      </c>
      <c r="D151" s="173">
        <v>-181444.50000000015</v>
      </c>
      <c r="E151" s="191">
        <f t="shared" si="13"/>
        <v>1139429.5000000002</v>
      </c>
      <c r="F151" s="173">
        <v>366021</v>
      </c>
      <c r="G151" s="191">
        <f t="shared" si="14"/>
        <v>1322440.0000000002</v>
      </c>
      <c r="H151" s="250">
        <v>10</v>
      </c>
      <c r="I151" s="252">
        <f t="shared" si="10"/>
        <v>0.1</v>
      </c>
      <c r="J151" s="191">
        <f t="shared" si="11"/>
        <v>132244.00000000003</v>
      </c>
      <c r="K151" s="173">
        <v>132244</v>
      </c>
      <c r="L151" s="191">
        <f t="shared" si="12"/>
        <v>2.9103830456733704E-11</v>
      </c>
    </row>
    <row r="152" spans="1:12" x14ac:dyDescent="0.2">
      <c r="A152" s="1484">
        <v>1862</v>
      </c>
      <c r="B152" s="180" t="s">
        <v>1397</v>
      </c>
      <c r="C152" s="173">
        <v>316808</v>
      </c>
      <c r="D152" s="173">
        <v>-198827.99999999997</v>
      </c>
      <c r="E152" s="191">
        <f t="shared" si="13"/>
        <v>515636</v>
      </c>
      <c r="F152" s="173">
        <v>5768</v>
      </c>
      <c r="G152" s="191">
        <f t="shared" si="14"/>
        <v>518520</v>
      </c>
      <c r="H152" s="250">
        <v>15</v>
      </c>
      <c r="I152" s="252">
        <f t="shared" si="10"/>
        <v>6.6666666666666666E-2</v>
      </c>
      <c r="J152" s="191">
        <f t="shared" si="11"/>
        <v>34568</v>
      </c>
      <c r="K152" s="173">
        <v>34568</v>
      </c>
      <c r="L152" s="191">
        <f t="shared" si="12"/>
        <v>0</v>
      </c>
    </row>
    <row r="153" spans="1:12" x14ac:dyDescent="0.2">
      <c r="A153" s="1484">
        <v>1863</v>
      </c>
      <c r="B153" s="180" t="s">
        <v>1398</v>
      </c>
      <c r="C153" s="173"/>
      <c r="D153" s="173"/>
      <c r="E153" s="191">
        <f t="shared" si="13"/>
        <v>0</v>
      </c>
      <c r="F153" s="173">
        <v>1013</v>
      </c>
      <c r="G153" s="191">
        <f t="shared" si="14"/>
        <v>506.5</v>
      </c>
      <c r="H153" s="250">
        <v>15</v>
      </c>
      <c r="I153" s="252">
        <f t="shared" si="10"/>
        <v>6.6666666666666666E-2</v>
      </c>
      <c r="J153" s="191">
        <f t="shared" si="11"/>
        <v>33.766666666666666</v>
      </c>
      <c r="K153" s="173">
        <v>34</v>
      </c>
      <c r="L153" s="191">
        <f t="shared" si="12"/>
        <v>-0.23333333333333428</v>
      </c>
    </row>
    <row r="154" spans="1:12" x14ac:dyDescent="0.2">
      <c r="A154" s="1484">
        <v>1864</v>
      </c>
      <c r="B154" s="180" t="s">
        <v>1424</v>
      </c>
      <c r="C154" s="173">
        <v>108323</v>
      </c>
      <c r="D154" s="173">
        <v>-22502.500000000015</v>
      </c>
      <c r="E154" s="191">
        <f t="shared" si="13"/>
        <v>130825.50000000001</v>
      </c>
      <c r="F154" s="173">
        <v>909</v>
      </c>
      <c r="G154" s="191">
        <f t="shared" si="14"/>
        <v>131280</v>
      </c>
      <c r="H154" s="250">
        <v>40</v>
      </c>
      <c r="I154" s="252">
        <f t="shared" si="10"/>
        <v>2.5000000000000001E-2</v>
      </c>
      <c r="J154" s="191">
        <f t="shared" si="11"/>
        <v>3282</v>
      </c>
      <c r="K154" s="173">
        <v>3282</v>
      </c>
      <c r="L154" s="191">
        <f t="shared" si="12"/>
        <v>0</v>
      </c>
    </row>
    <row r="155" spans="1:12" x14ac:dyDescent="0.2">
      <c r="A155" s="253">
        <v>1860</v>
      </c>
      <c r="B155" s="179" t="s">
        <v>212</v>
      </c>
      <c r="C155" s="173"/>
      <c r="D155" s="173"/>
      <c r="E155" s="191">
        <f t="shared" si="13"/>
        <v>0</v>
      </c>
      <c r="F155" s="173"/>
      <c r="G155" s="191">
        <f t="shared" si="14"/>
        <v>0</v>
      </c>
      <c r="H155" s="250"/>
      <c r="I155" s="252">
        <f t="shared" si="10"/>
        <v>0</v>
      </c>
      <c r="J155" s="191">
        <f t="shared" si="11"/>
        <v>0</v>
      </c>
      <c r="K155" s="173"/>
      <c r="L155" s="191">
        <f t="shared" si="12"/>
        <v>0</v>
      </c>
    </row>
    <row r="156" spans="1:12" x14ac:dyDescent="0.2">
      <c r="A156" s="253">
        <v>1905</v>
      </c>
      <c r="B156" s="179" t="s">
        <v>267</v>
      </c>
      <c r="C156" s="173">
        <v>171765</v>
      </c>
      <c r="D156" s="173">
        <v>0</v>
      </c>
      <c r="E156" s="191">
        <f t="shared" si="13"/>
        <v>171765</v>
      </c>
      <c r="F156" s="173"/>
      <c r="G156" s="191">
        <f t="shared" si="14"/>
        <v>171765</v>
      </c>
      <c r="H156" s="250"/>
      <c r="I156" s="252">
        <f t="shared" si="10"/>
        <v>0</v>
      </c>
      <c r="J156" s="191">
        <f t="shared" si="11"/>
        <v>0</v>
      </c>
      <c r="K156" s="173"/>
      <c r="L156" s="191">
        <f t="shared" si="12"/>
        <v>0</v>
      </c>
    </row>
    <row r="157" spans="1:12" x14ac:dyDescent="0.2">
      <c r="A157" s="1484">
        <v>1908</v>
      </c>
      <c r="B157" s="180" t="s">
        <v>275</v>
      </c>
      <c r="C157" s="173">
        <v>665207</v>
      </c>
      <c r="D157" s="173">
        <v>-59624.999999999913</v>
      </c>
      <c r="E157" s="191">
        <f t="shared" si="13"/>
        <v>724831.99999999988</v>
      </c>
      <c r="F157" s="173">
        <v>236</v>
      </c>
      <c r="G157" s="191">
        <f t="shared" si="14"/>
        <v>724949.99999999988</v>
      </c>
      <c r="H157" s="250">
        <v>50</v>
      </c>
      <c r="I157" s="252">
        <f t="shared" si="10"/>
        <v>0.02</v>
      </c>
      <c r="J157" s="191">
        <f t="shared" si="11"/>
        <v>14498.999999999998</v>
      </c>
      <c r="K157" s="173">
        <v>14499</v>
      </c>
      <c r="L157" s="191">
        <f t="shared" si="12"/>
        <v>-1.8189894035458565E-12</v>
      </c>
    </row>
    <row r="158" spans="1:12" x14ac:dyDescent="0.2">
      <c r="A158" s="1484">
        <v>1910</v>
      </c>
      <c r="B158" s="180" t="s">
        <v>299</v>
      </c>
      <c r="C158" s="173"/>
      <c r="D158" s="173"/>
      <c r="E158" s="191">
        <f t="shared" si="13"/>
        <v>0</v>
      </c>
      <c r="F158" s="173"/>
      <c r="G158" s="191">
        <f t="shared" si="14"/>
        <v>0</v>
      </c>
      <c r="H158" s="250"/>
      <c r="I158" s="252">
        <f t="shared" si="10"/>
        <v>0</v>
      </c>
      <c r="J158" s="191">
        <f t="shared" si="11"/>
        <v>0</v>
      </c>
      <c r="K158" s="173"/>
      <c r="L158" s="191">
        <f t="shared" si="12"/>
        <v>0</v>
      </c>
    </row>
    <row r="159" spans="1:12" x14ac:dyDescent="0.2">
      <c r="A159" s="1484">
        <v>1915</v>
      </c>
      <c r="B159" s="180" t="s">
        <v>213</v>
      </c>
      <c r="C159" s="173">
        <v>245317</v>
      </c>
      <c r="D159" s="173">
        <v>190694.5</v>
      </c>
      <c r="E159" s="191">
        <f t="shared" si="13"/>
        <v>54622.5</v>
      </c>
      <c r="F159" s="173">
        <v>7675</v>
      </c>
      <c r="G159" s="191">
        <f t="shared" si="14"/>
        <v>58460</v>
      </c>
      <c r="H159" s="250">
        <v>10</v>
      </c>
      <c r="I159" s="252">
        <f t="shared" si="10"/>
        <v>0.1</v>
      </c>
      <c r="J159" s="191">
        <f t="shared" si="11"/>
        <v>5846</v>
      </c>
      <c r="K159" s="173">
        <v>5846</v>
      </c>
      <c r="L159" s="191">
        <f t="shared" si="12"/>
        <v>0</v>
      </c>
    </row>
    <row r="160" spans="1:12" x14ac:dyDescent="0.2">
      <c r="A160" s="1484">
        <v>1915</v>
      </c>
      <c r="B160" s="180" t="s">
        <v>214</v>
      </c>
      <c r="C160" s="173"/>
      <c r="D160" s="173"/>
      <c r="E160" s="191">
        <f t="shared" si="13"/>
        <v>0</v>
      </c>
      <c r="F160" s="173"/>
      <c r="G160" s="191">
        <f t="shared" si="14"/>
        <v>0</v>
      </c>
      <c r="H160" s="250"/>
      <c r="I160" s="252">
        <f t="shared" si="10"/>
        <v>0</v>
      </c>
      <c r="J160" s="191">
        <f t="shared" si="11"/>
        <v>0</v>
      </c>
      <c r="K160" s="173"/>
      <c r="L160" s="191">
        <f t="shared" si="12"/>
        <v>0</v>
      </c>
    </row>
    <row r="161" spans="1:12" x14ac:dyDescent="0.2">
      <c r="A161" s="1484">
        <v>1920</v>
      </c>
      <c r="B161" s="180" t="s">
        <v>215</v>
      </c>
      <c r="C161" s="173">
        <v>379056</v>
      </c>
      <c r="D161" s="173">
        <v>356310.5</v>
      </c>
      <c r="E161" s="191">
        <f t="shared" si="13"/>
        <v>22745.5</v>
      </c>
      <c r="F161" s="173">
        <v>24709</v>
      </c>
      <c r="G161" s="191">
        <f t="shared" si="14"/>
        <v>35100</v>
      </c>
      <c r="H161" s="250">
        <v>5</v>
      </c>
      <c r="I161" s="252">
        <f t="shared" si="10"/>
        <v>0.2</v>
      </c>
      <c r="J161" s="191">
        <f t="shared" si="11"/>
        <v>7020</v>
      </c>
      <c r="K161" s="173">
        <v>7020</v>
      </c>
      <c r="L161" s="191">
        <f t="shared" si="12"/>
        <v>0</v>
      </c>
    </row>
    <row r="162" spans="1:12" x14ac:dyDescent="0.2">
      <c r="A162" s="254">
        <v>1920</v>
      </c>
      <c r="B162" s="172" t="s">
        <v>217</v>
      </c>
      <c r="C162" s="173"/>
      <c r="D162" s="173"/>
      <c r="E162" s="191">
        <f t="shared" si="13"/>
        <v>0</v>
      </c>
      <c r="F162" s="173"/>
      <c r="G162" s="191">
        <f t="shared" si="14"/>
        <v>0</v>
      </c>
      <c r="H162" s="250"/>
      <c r="I162" s="252">
        <f t="shared" si="10"/>
        <v>0</v>
      </c>
      <c r="J162" s="191">
        <f t="shared" si="11"/>
        <v>0</v>
      </c>
      <c r="K162" s="173"/>
      <c r="L162" s="191">
        <f t="shared" si="12"/>
        <v>0</v>
      </c>
    </row>
    <row r="163" spans="1:12" x14ac:dyDescent="0.2">
      <c r="A163" s="254">
        <v>1920</v>
      </c>
      <c r="B163" s="172" t="s">
        <v>216</v>
      </c>
      <c r="C163" s="173"/>
      <c r="D163" s="173"/>
      <c r="E163" s="191">
        <f t="shared" si="13"/>
        <v>0</v>
      </c>
      <c r="F163" s="173"/>
      <c r="G163" s="191">
        <f t="shared" si="14"/>
        <v>0</v>
      </c>
      <c r="H163" s="250"/>
      <c r="I163" s="252">
        <f t="shared" si="10"/>
        <v>0</v>
      </c>
      <c r="J163" s="191">
        <f t="shared" si="11"/>
        <v>0</v>
      </c>
      <c r="K163" s="173"/>
      <c r="L163" s="191">
        <f t="shared" si="12"/>
        <v>0</v>
      </c>
    </row>
    <row r="164" spans="1:12" x14ac:dyDescent="0.2">
      <c r="A164" s="1484">
        <v>1930</v>
      </c>
      <c r="B164" s="180" t="s">
        <v>286</v>
      </c>
      <c r="C164" s="173"/>
      <c r="D164" s="173"/>
      <c r="E164" s="191">
        <f t="shared" si="13"/>
        <v>0</v>
      </c>
      <c r="F164" s="173"/>
      <c r="G164" s="191">
        <f t="shared" si="14"/>
        <v>0</v>
      </c>
      <c r="H164" s="250">
        <v>8</v>
      </c>
      <c r="I164" s="252">
        <f t="shared" si="10"/>
        <v>0.125</v>
      </c>
      <c r="J164" s="191">
        <f t="shared" si="11"/>
        <v>0</v>
      </c>
      <c r="K164" s="173"/>
      <c r="L164" s="191">
        <f t="shared" si="12"/>
        <v>0</v>
      </c>
    </row>
    <row r="165" spans="1:12" x14ac:dyDescent="0.2">
      <c r="A165" s="1484">
        <v>1931</v>
      </c>
      <c r="B165" s="180" t="s">
        <v>1425</v>
      </c>
      <c r="C165" s="173">
        <v>116061</v>
      </c>
      <c r="D165" s="173">
        <v>-62874.000000000015</v>
      </c>
      <c r="E165" s="191">
        <f t="shared" si="13"/>
        <v>178935</v>
      </c>
      <c r="F165" s="173"/>
      <c r="G165" s="191">
        <f t="shared" si="14"/>
        <v>178935</v>
      </c>
      <c r="H165" s="250">
        <v>15</v>
      </c>
      <c r="I165" s="252">
        <f t="shared" si="10"/>
        <v>6.6666666666666666E-2</v>
      </c>
      <c r="J165" s="191">
        <f t="shared" si="11"/>
        <v>11929</v>
      </c>
      <c r="K165" s="173">
        <v>11929</v>
      </c>
      <c r="L165" s="191">
        <f t="shared" si="12"/>
        <v>0</v>
      </c>
    </row>
    <row r="166" spans="1:12" x14ac:dyDescent="0.2">
      <c r="A166" s="1484">
        <v>1932</v>
      </c>
      <c r="B166" s="180" t="s">
        <v>1426</v>
      </c>
      <c r="C166" s="173">
        <v>171179</v>
      </c>
      <c r="D166" s="173">
        <v>-32341</v>
      </c>
      <c r="E166" s="191">
        <f t="shared" si="13"/>
        <v>203520</v>
      </c>
      <c r="F166" s="173"/>
      <c r="G166" s="191">
        <f t="shared" si="14"/>
        <v>203520</v>
      </c>
      <c r="H166" s="250">
        <v>8</v>
      </c>
      <c r="I166" s="252">
        <f t="shared" si="10"/>
        <v>0.125</v>
      </c>
      <c r="J166" s="191">
        <f t="shared" si="11"/>
        <v>25440</v>
      </c>
      <c r="K166" s="173">
        <v>25440</v>
      </c>
      <c r="L166" s="191">
        <f t="shared" si="12"/>
        <v>0</v>
      </c>
    </row>
    <row r="167" spans="1:12" x14ac:dyDescent="0.2">
      <c r="A167" s="1484">
        <v>1933</v>
      </c>
      <c r="B167" s="180" t="s">
        <v>1403</v>
      </c>
      <c r="C167" s="173">
        <v>70712</v>
      </c>
      <c r="D167" s="173">
        <v>1.9999999999965894</v>
      </c>
      <c r="E167" s="191">
        <f t="shared" si="13"/>
        <v>70710</v>
      </c>
      <c r="F167" s="173"/>
      <c r="G167" s="191">
        <f t="shared" si="14"/>
        <v>70710</v>
      </c>
      <c r="H167" s="250">
        <v>10</v>
      </c>
      <c r="I167" s="252">
        <f t="shared" si="10"/>
        <v>0.1</v>
      </c>
      <c r="J167" s="191">
        <f t="shared" si="11"/>
        <v>7071</v>
      </c>
      <c r="K167" s="173">
        <v>7071</v>
      </c>
      <c r="L167" s="191">
        <f t="shared" si="12"/>
        <v>0</v>
      </c>
    </row>
    <row r="168" spans="1:12" x14ac:dyDescent="0.2">
      <c r="A168" s="1484">
        <v>1935</v>
      </c>
      <c r="B168" s="180" t="s">
        <v>287</v>
      </c>
      <c r="C168" s="173"/>
      <c r="D168" s="173"/>
      <c r="E168" s="191">
        <f t="shared" si="13"/>
        <v>0</v>
      </c>
      <c r="F168" s="173"/>
      <c r="G168" s="191">
        <f t="shared" si="14"/>
        <v>0</v>
      </c>
      <c r="H168" s="250"/>
      <c r="I168" s="252">
        <f t="shared" si="10"/>
        <v>0</v>
      </c>
      <c r="J168" s="191">
        <f t="shared" si="11"/>
        <v>0</v>
      </c>
      <c r="K168" s="173"/>
      <c r="L168" s="191">
        <f t="shared" si="12"/>
        <v>0</v>
      </c>
    </row>
    <row r="169" spans="1:12" x14ac:dyDescent="0.2">
      <c r="A169" s="1484">
        <v>1940</v>
      </c>
      <c r="B169" s="180" t="s">
        <v>288</v>
      </c>
      <c r="C169" s="173">
        <v>381829</v>
      </c>
      <c r="D169" s="173">
        <v>290192.5</v>
      </c>
      <c r="E169" s="191">
        <f t="shared" si="13"/>
        <v>91636.5</v>
      </c>
      <c r="F169" s="173">
        <v>4107</v>
      </c>
      <c r="G169" s="191">
        <f t="shared" si="14"/>
        <v>93690</v>
      </c>
      <c r="H169" s="250">
        <v>10</v>
      </c>
      <c r="I169" s="252">
        <f t="shared" si="10"/>
        <v>0.1</v>
      </c>
      <c r="J169" s="191">
        <f t="shared" si="11"/>
        <v>9369</v>
      </c>
      <c r="K169" s="173">
        <v>9369</v>
      </c>
      <c r="L169" s="191">
        <f t="shared" si="12"/>
        <v>0</v>
      </c>
    </row>
    <row r="170" spans="1:12" x14ac:dyDescent="0.2">
      <c r="A170" s="1484">
        <v>1945</v>
      </c>
      <c r="B170" s="180" t="s">
        <v>289</v>
      </c>
      <c r="C170" s="173"/>
      <c r="D170" s="173"/>
      <c r="E170" s="191">
        <f t="shared" si="13"/>
        <v>0</v>
      </c>
      <c r="F170" s="173"/>
      <c r="G170" s="191">
        <f t="shared" si="14"/>
        <v>0</v>
      </c>
      <c r="H170" s="250"/>
      <c r="I170" s="252">
        <f t="shared" si="10"/>
        <v>0</v>
      </c>
      <c r="J170" s="191">
        <f t="shared" si="11"/>
        <v>0</v>
      </c>
      <c r="K170" s="173"/>
      <c r="L170" s="191">
        <f t="shared" si="12"/>
        <v>0</v>
      </c>
    </row>
    <row r="171" spans="1:12" x14ac:dyDescent="0.2">
      <c r="A171" s="1484">
        <v>1950</v>
      </c>
      <c r="B171" s="180" t="s">
        <v>218</v>
      </c>
      <c r="C171" s="173"/>
      <c r="D171" s="173"/>
      <c r="E171" s="191">
        <f t="shared" si="13"/>
        <v>0</v>
      </c>
      <c r="F171" s="173"/>
      <c r="G171" s="191">
        <f t="shared" si="14"/>
        <v>0</v>
      </c>
      <c r="H171" s="250"/>
      <c r="I171" s="252">
        <f t="shared" si="10"/>
        <v>0</v>
      </c>
      <c r="J171" s="191">
        <f t="shared" si="11"/>
        <v>0</v>
      </c>
      <c r="K171" s="173"/>
      <c r="L171" s="191">
        <f t="shared" si="12"/>
        <v>0</v>
      </c>
    </row>
    <row r="172" spans="1:12" x14ac:dyDescent="0.2">
      <c r="A172" s="1484">
        <v>1955</v>
      </c>
      <c r="B172" s="180" t="s">
        <v>290</v>
      </c>
      <c r="C172" s="173">
        <v>36146</v>
      </c>
      <c r="D172" s="173">
        <v>22009.5</v>
      </c>
      <c r="E172" s="191">
        <f t="shared" si="13"/>
        <v>14136.5</v>
      </c>
      <c r="F172" s="173">
        <v>727</v>
      </c>
      <c r="G172" s="191">
        <f t="shared" si="14"/>
        <v>14500</v>
      </c>
      <c r="H172" s="250">
        <v>10</v>
      </c>
      <c r="I172" s="252">
        <f t="shared" si="10"/>
        <v>0.1</v>
      </c>
      <c r="J172" s="191">
        <f t="shared" si="11"/>
        <v>1450</v>
      </c>
      <c r="K172" s="173">
        <v>1450</v>
      </c>
      <c r="L172" s="191">
        <f t="shared" si="12"/>
        <v>0</v>
      </c>
    </row>
    <row r="173" spans="1:12" x14ac:dyDescent="0.2">
      <c r="A173" s="255">
        <v>1955</v>
      </c>
      <c r="B173" s="184" t="s">
        <v>219</v>
      </c>
      <c r="C173" s="173"/>
      <c r="D173" s="173"/>
      <c r="E173" s="191">
        <f t="shared" si="13"/>
        <v>0</v>
      </c>
      <c r="F173" s="173"/>
      <c r="G173" s="191">
        <f t="shared" si="14"/>
        <v>0</v>
      </c>
      <c r="H173" s="250"/>
      <c r="I173" s="252">
        <f t="shared" si="10"/>
        <v>0</v>
      </c>
      <c r="J173" s="191">
        <f t="shared" si="11"/>
        <v>0</v>
      </c>
      <c r="K173" s="173"/>
      <c r="L173" s="191">
        <f t="shared" si="12"/>
        <v>0</v>
      </c>
    </row>
    <row r="174" spans="1:12" x14ac:dyDescent="0.2">
      <c r="A174" s="254">
        <v>1960</v>
      </c>
      <c r="B174" s="172" t="s">
        <v>220</v>
      </c>
      <c r="C174" s="173"/>
      <c r="D174" s="173"/>
      <c r="E174" s="191">
        <f t="shared" si="13"/>
        <v>0</v>
      </c>
      <c r="F174" s="173"/>
      <c r="G174" s="191">
        <f t="shared" si="14"/>
        <v>0</v>
      </c>
      <c r="H174" s="250"/>
      <c r="I174" s="252">
        <f t="shared" si="10"/>
        <v>0</v>
      </c>
      <c r="J174" s="191">
        <f t="shared" si="11"/>
        <v>0</v>
      </c>
      <c r="K174" s="173"/>
      <c r="L174" s="191">
        <f t="shared" si="12"/>
        <v>0</v>
      </c>
    </row>
    <row r="175" spans="1:12" x14ac:dyDescent="0.2">
      <c r="A175" s="254">
        <v>1970</v>
      </c>
      <c r="B175" s="1482" t="s">
        <v>535</v>
      </c>
      <c r="C175" s="173"/>
      <c r="D175" s="173"/>
      <c r="E175" s="191">
        <f t="shared" si="13"/>
        <v>0</v>
      </c>
      <c r="F175" s="173"/>
      <c r="G175" s="191">
        <f t="shared" si="14"/>
        <v>0</v>
      </c>
      <c r="H175" s="250"/>
      <c r="I175" s="252">
        <f t="shared" si="10"/>
        <v>0</v>
      </c>
      <c r="J175" s="191">
        <f t="shared" si="11"/>
        <v>0</v>
      </c>
      <c r="K175" s="173"/>
      <c r="L175" s="191">
        <f t="shared" si="12"/>
        <v>0</v>
      </c>
    </row>
    <row r="176" spans="1:12" x14ac:dyDescent="0.2">
      <c r="A176" s="1484">
        <v>1975</v>
      </c>
      <c r="B176" s="180" t="s">
        <v>291</v>
      </c>
      <c r="C176" s="173"/>
      <c r="D176" s="173"/>
      <c r="E176" s="191">
        <f t="shared" si="13"/>
        <v>0</v>
      </c>
      <c r="F176" s="173"/>
      <c r="G176" s="191">
        <f t="shared" si="14"/>
        <v>0</v>
      </c>
      <c r="H176" s="250"/>
      <c r="I176" s="252">
        <f t="shared" si="10"/>
        <v>0</v>
      </c>
      <c r="J176" s="191">
        <f t="shared" si="11"/>
        <v>0</v>
      </c>
      <c r="K176" s="173"/>
      <c r="L176" s="191">
        <f t="shared" si="12"/>
        <v>0</v>
      </c>
    </row>
    <row r="177" spans="1:12" x14ac:dyDescent="0.2">
      <c r="A177" s="1484">
        <v>1980</v>
      </c>
      <c r="B177" s="180" t="s">
        <v>292</v>
      </c>
      <c r="C177" s="173"/>
      <c r="D177" s="173"/>
      <c r="E177" s="191">
        <f t="shared" si="13"/>
        <v>0</v>
      </c>
      <c r="F177" s="173"/>
      <c r="G177" s="191">
        <f t="shared" si="14"/>
        <v>0</v>
      </c>
      <c r="H177" s="250"/>
      <c r="I177" s="252">
        <f t="shared" si="10"/>
        <v>0</v>
      </c>
      <c r="J177" s="191">
        <f t="shared" si="11"/>
        <v>0</v>
      </c>
      <c r="K177" s="173"/>
      <c r="L177" s="191">
        <f t="shared" si="12"/>
        <v>0</v>
      </c>
    </row>
    <row r="178" spans="1:12" x14ac:dyDescent="0.2">
      <c r="A178" s="1484">
        <v>1985</v>
      </c>
      <c r="B178" s="180" t="s">
        <v>1428</v>
      </c>
      <c r="C178" s="173">
        <v>15</v>
      </c>
      <c r="D178" s="173">
        <v>-123501.5</v>
      </c>
      <c r="E178" s="191">
        <f t="shared" si="13"/>
        <v>123516.5</v>
      </c>
      <c r="F178" s="173">
        <v>-247033</v>
      </c>
      <c r="G178" s="191">
        <f t="shared" si="14"/>
        <v>0</v>
      </c>
      <c r="H178" s="250">
        <v>10</v>
      </c>
      <c r="I178" s="252">
        <f t="shared" si="10"/>
        <v>0.1</v>
      </c>
      <c r="J178" s="191">
        <f t="shared" si="11"/>
        <v>0</v>
      </c>
      <c r="K178" s="173"/>
      <c r="L178" s="191">
        <f t="shared" si="12"/>
        <v>0</v>
      </c>
    </row>
    <row r="179" spans="1:12" x14ac:dyDescent="0.2">
      <c r="A179" s="1484">
        <v>1990</v>
      </c>
      <c r="B179" s="1483" t="s">
        <v>502</v>
      </c>
      <c r="C179" s="173"/>
      <c r="D179" s="173"/>
      <c r="E179" s="191">
        <f t="shared" si="13"/>
        <v>0</v>
      </c>
      <c r="F179" s="173"/>
      <c r="G179" s="191">
        <f t="shared" si="14"/>
        <v>0</v>
      </c>
      <c r="H179" s="250"/>
      <c r="I179" s="252">
        <f t="shared" si="10"/>
        <v>0</v>
      </c>
      <c r="J179" s="191">
        <f t="shared" si="11"/>
        <v>0</v>
      </c>
      <c r="K179" s="173"/>
      <c r="L179" s="191">
        <f t="shared" si="12"/>
        <v>0</v>
      </c>
    </row>
    <row r="180" spans="1:12" ht="13.5" thickBot="1" x14ac:dyDescent="0.25">
      <c r="A180" s="1484">
        <v>1995</v>
      </c>
      <c r="B180" s="180" t="s">
        <v>294</v>
      </c>
      <c r="C180" s="257">
        <v>-6095513</v>
      </c>
      <c r="D180" s="257">
        <v>162312.0000000007</v>
      </c>
      <c r="E180" s="285">
        <f t="shared" si="13"/>
        <v>-6257825.0000000009</v>
      </c>
      <c r="F180" s="257"/>
      <c r="G180" s="285">
        <f t="shared" si="14"/>
        <v>-6257825.0000000009</v>
      </c>
      <c r="H180" s="259">
        <v>25</v>
      </c>
      <c r="I180" s="260">
        <f t="shared" si="10"/>
        <v>0.04</v>
      </c>
      <c r="J180" s="285">
        <f t="shared" si="11"/>
        <v>-250313.00000000003</v>
      </c>
      <c r="K180" s="257">
        <v>-250313</v>
      </c>
      <c r="L180" s="285">
        <f t="shared" si="12"/>
        <v>-2.9103830456733704E-11</v>
      </c>
    </row>
    <row r="181" spans="1:12" ht="14.25" thickTop="1" thickBot="1" x14ac:dyDescent="0.25">
      <c r="A181" s="261"/>
      <c r="B181" s="262" t="s">
        <v>295</v>
      </c>
      <c r="C181" s="263">
        <f>SUM(C134:C180)</f>
        <v>22646688</v>
      </c>
      <c r="D181" s="263">
        <f>SUM(D134:D180)</f>
        <v>12062722.999999998</v>
      </c>
      <c r="E181" s="263">
        <f>SUM(E134:E180)</f>
        <v>10583965</v>
      </c>
      <c r="F181" s="263">
        <f>SUM(F134:F180)</f>
        <v>1080987</v>
      </c>
      <c r="G181" s="263">
        <f>SUM(G134:G180)</f>
        <v>11124458.5</v>
      </c>
      <c r="H181" s="330"/>
      <c r="I181" s="266"/>
      <c r="J181" s="263">
        <f>SUM(J134:J180)</f>
        <v>335894.7666666666</v>
      </c>
      <c r="K181" s="263">
        <f>SUM(K134:K180)</f>
        <v>335895</v>
      </c>
      <c r="L181" s="263">
        <f>SUM(L134:L180)</f>
        <v>-0.23333333330974426</v>
      </c>
    </row>
    <row r="182" spans="1:12" x14ac:dyDescent="0.2">
      <c r="A182" s="289"/>
      <c r="B182" s="1707" t="s">
        <v>1078</v>
      </c>
      <c r="C182" s="1707"/>
      <c r="D182" s="1707"/>
      <c r="E182" s="1707"/>
      <c r="F182" s="1707"/>
      <c r="G182" s="1707"/>
      <c r="H182" s="1707"/>
      <c r="I182" s="1708"/>
      <c r="J182" s="173"/>
      <c r="K182" s="291"/>
      <c r="L182" s="291"/>
    </row>
    <row r="183" spans="1:12" x14ac:dyDescent="0.2">
      <c r="A183" s="289"/>
      <c r="B183" s="290" t="s">
        <v>937</v>
      </c>
      <c r="C183" s="312"/>
      <c r="D183" s="312"/>
      <c r="E183" s="312"/>
      <c r="F183" s="291"/>
      <c r="G183" s="291"/>
      <c r="H183" s="293"/>
      <c r="I183" s="312"/>
      <c r="J183" s="191">
        <f>SUM(J181:J182)</f>
        <v>335894.7666666666</v>
      </c>
      <c r="K183" s="291"/>
      <c r="L183" s="291"/>
    </row>
    <row r="184" spans="1:12" x14ac:dyDescent="0.2">
      <c r="A184" s="289"/>
      <c r="B184" s="290"/>
      <c r="C184" s="312"/>
      <c r="D184" s="312"/>
      <c r="E184" s="312"/>
      <c r="F184" s="291"/>
      <c r="G184" s="291"/>
      <c r="H184" s="293"/>
      <c r="I184" s="312"/>
      <c r="J184" s="291"/>
      <c r="K184" s="291"/>
      <c r="L184" s="291"/>
    </row>
    <row r="185" spans="1:12" x14ac:dyDescent="0.2">
      <c r="A185" s="289"/>
      <c r="B185" s="290"/>
      <c r="C185" s="312"/>
      <c r="D185" s="312"/>
      <c r="E185" s="312"/>
      <c r="F185" s="291"/>
      <c r="G185" s="291"/>
      <c r="H185" s="293"/>
      <c r="I185" s="312"/>
      <c r="J185" s="291"/>
      <c r="K185" s="291"/>
      <c r="L185" s="291"/>
    </row>
    <row r="186" spans="1:12" x14ac:dyDescent="0.2">
      <c r="B186" s="1113"/>
      <c r="C186" s="1136"/>
      <c r="D186" s="1136" t="s">
        <v>882</v>
      </c>
      <c r="E186" s="48" t="s">
        <v>105</v>
      </c>
      <c r="F186" s="1113"/>
      <c r="G186" s="1138"/>
      <c r="H186" s="1113"/>
      <c r="I186" s="1113"/>
      <c r="J186" s="1113"/>
      <c r="K186" s="1113"/>
      <c r="L186" s="295"/>
    </row>
    <row r="187" spans="1:12" ht="18" x14ac:dyDescent="0.25">
      <c r="A187" s="1481"/>
      <c r="B187" s="1481"/>
      <c r="C187" s="1136"/>
      <c r="D187" s="1136" t="s">
        <v>102</v>
      </c>
      <c r="E187" s="1137">
        <v>2016</v>
      </c>
      <c r="H187" s="1481"/>
      <c r="I187" s="1481"/>
      <c r="J187" s="1481"/>
    </row>
    <row r="188" spans="1:12" ht="13.5" thickBot="1" x14ac:dyDescent="0.25"/>
    <row r="189" spans="1:12" ht="51" x14ac:dyDescent="0.2">
      <c r="A189" s="1685" t="s">
        <v>3</v>
      </c>
      <c r="B189" s="1687" t="s">
        <v>235</v>
      </c>
      <c r="C189" s="245" t="s">
        <v>1043</v>
      </c>
      <c r="D189" s="245" t="s">
        <v>476</v>
      </c>
      <c r="E189" s="245" t="s">
        <v>477</v>
      </c>
      <c r="F189" s="245" t="s">
        <v>237</v>
      </c>
      <c r="G189" s="245" t="s">
        <v>1073</v>
      </c>
      <c r="H189" s="245" t="s">
        <v>6</v>
      </c>
      <c r="I189" s="245" t="s">
        <v>298</v>
      </c>
      <c r="J189" s="277" t="s">
        <v>1082</v>
      </c>
      <c r="K189" s="1697" t="s">
        <v>1062</v>
      </c>
      <c r="L189" s="277" t="s">
        <v>1074</v>
      </c>
    </row>
    <row r="190" spans="1:12" x14ac:dyDescent="0.2">
      <c r="A190" s="1686"/>
      <c r="B190" s="1688"/>
      <c r="C190" s="249" t="s">
        <v>4</v>
      </c>
      <c r="D190" s="249" t="s">
        <v>478</v>
      </c>
      <c r="E190" s="249" t="s">
        <v>479</v>
      </c>
      <c r="F190" s="249" t="s">
        <v>5</v>
      </c>
      <c r="G190" s="328" t="s">
        <v>997</v>
      </c>
      <c r="H190" s="249" t="s">
        <v>7</v>
      </c>
      <c r="I190" s="249" t="s">
        <v>8</v>
      </c>
      <c r="J190" s="329" t="s">
        <v>9</v>
      </c>
      <c r="K190" s="1711"/>
      <c r="L190" s="329" t="s">
        <v>382</v>
      </c>
    </row>
    <row r="191" spans="1:12" ht="25.5" x14ac:dyDescent="0.2">
      <c r="A191" s="1484">
        <v>1611</v>
      </c>
      <c r="B191" s="172" t="s">
        <v>381</v>
      </c>
      <c r="C191" s="173">
        <v>259251</v>
      </c>
      <c r="D191" s="173">
        <v>239726</v>
      </c>
      <c r="E191" s="191">
        <f>C191-D191</f>
        <v>19525</v>
      </c>
      <c r="F191" s="173">
        <v>1500</v>
      </c>
      <c r="G191" s="191">
        <f>E191+0.5*F191</f>
        <v>20275</v>
      </c>
      <c r="H191" s="250">
        <v>5</v>
      </c>
      <c r="I191" s="251">
        <f t="shared" ref="I191:I237" si="15">IF(H191=0,0,1/H191)</f>
        <v>0.2</v>
      </c>
      <c r="J191" s="191">
        <f t="shared" ref="J191:J237" si="16">IF(H191=0,0,G191/H191)</f>
        <v>4055</v>
      </c>
      <c r="K191" s="173">
        <v>4055</v>
      </c>
      <c r="L191" s="191">
        <f t="shared" ref="L191:L237" si="17">IF(ISERROR(+J191-K191), 0, +J191-K191)</f>
        <v>0</v>
      </c>
    </row>
    <row r="192" spans="1:12" x14ac:dyDescent="0.2">
      <c r="A192" s="1484">
        <v>1612</v>
      </c>
      <c r="B192" s="172" t="s">
        <v>442</v>
      </c>
      <c r="C192" s="173">
        <v>2945</v>
      </c>
      <c r="D192" s="173">
        <v>2945</v>
      </c>
      <c r="E192" s="191">
        <f t="shared" ref="E192:E237" si="18">C192-D192</f>
        <v>0</v>
      </c>
      <c r="F192" s="173"/>
      <c r="G192" s="191">
        <f t="shared" ref="G192:G237" si="19">E192+0.5*F192</f>
        <v>0</v>
      </c>
      <c r="H192" s="250">
        <v>5</v>
      </c>
      <c r="I192" s="252">
        <f t="shared" si="15"/>
        <v>0.2</v>
      </c>
      <c r="J192" s="191">
        <f t="shared" si="16"/>
        <v>0</v>
      </c>
      <c r="K192" s="173"/>
      <c r="L192" s="191">
        <f t="shared" si="17"/>
        <v>0</v>
      </c>
    </row>
    <row r="193" spans="1:12" x14ac:dyDescent="0.2">
      <c r="A193" s="253">
        <v>1805</v>
      </c>
      <c r="B193" s="179" t="s">
        <v>267</v>
      </c>
      <c r="C193" s="173">
        <v>2112</v>
      </c>
      <c r="D193" s="173">
        <v>0</v>
      </c>
      <c r="E193" s="191">
        <f t="shared" si="18"/>
        <v>2112</v>
      </c>
      <c r="F193" s="173"/>
      <c r="G193" s="191">
        <f t="shared" si="19"/>
        <v>2112</v>
      </c>
      <c r="H193" s="250"/>
      <c r="I193" s="252">
        <f t="shared" si="15"/>
        <v>0</v>
      </c>
      <c r="J193" s="191">
        <f t="shared" si="16"/>
        <v>0</v>
      </c>
      <c r="K193" s="173"/>
      <c r="L193" s="191">
        <f t="shared" si="17"/>
        <v>0</v>
      </c>
    </row>
    <row r="194" spans="1:12" x14ac:dyDescent="0.2">
      <c r="A194" s="1484">
        <v>1808</v>
      </c>
      <c r="B194" s="180" t="s">
        <v>268</v>
      </c>
      <c r="C194" s="173"/>
      <c r="D194" s="173"/>
      <c r="E194" s="191">
        <f t="shared" si="18"/>
        <v>0</v>
      </c>
      <c r="F194" s="173"/>
      <c r="G194" s="191">
        <f t="shared" si="19"/>
        <v>0</v>
      </c>
      <c r="H194" s="250"/>
      <c r="I194" s="252">
        <f t="shared" si="15"/>
        <v>0</v>
      </c>
      <c r="J194" s="191">
        <f t="shared" si="16"/>
        <v>0</v>
      </c>
      <c r="K194" s="173"/>
      <c r="L194" s="191">
        <f t="shared" si="17"/>
        <v>0</v>
      </c>
    </row>
    <row r="195" spans="1:12" x14ac:dyDescent="0.2">
      <c r="A195" s="1484">
        <v>1810</v>
      </c>
      <c r="B195" s="180" t="s">
        <v>299</v>
      </c>
      <c r="C195" s="173"/>
      <c r="D195" s="173"/>
      <c r="E195" s="191">
        <f t="shared" si="18"/>
        <v>0</v>
      </c>
      <c r="F195" s="173"/>
      <c r="G195" s="191">
        <f t="shared" si="19"/>
        <v>0</v>
      </c>
      <c r="H195" s="250"/>
      <c r="I195" s="252">
        <f t="shared" si="15"/>
        <v>0</v>
      </c>
      <c r="J195" s="191">
        <f t="shared" si="16"/>
        <v>0</v>
      </c>
      <c r="K195" s="173"/>
      <c r="L195" s="191">
        <f t="shared" si="17"/>
        <v>0</v>
      </c>
    </row>
    <row r="196" spans="1:12" x14ac:dyDescent="0.2">
      <c r="A196" s="1484">
        <v>1815</v>
      </c>
      <c r="B196" s="180" t="s">
        <v>269</v>
      </c>
      <c r="C196" s="173"/>
      <c r="D196" s="173"/>
      <c r="E196" s="191">
        <f t="shared" si="18"/>
        <v>0</v>
      </c>
      <c r="F196" s="173"/>
      <c r="G196" s="191">
        <f t="shared" si="19"/>
        <v>0</v>
      </c>
      <c r="H196" s="250"/>
      <c r="I196" s="252">
        <f t="shared" si="15"/>
        <v>0</v>
      </c>
      <c r="J196" s="191">
        <f t="shared" si="16"/>
        <v>0</v>
      </c>
      <c r="K196" s="173"/>
      <c r="L196" s="191">
        <f t="shared" si="17"/>
        <v>0</v>
      </c>
    </row>
    <row r="197" spans="1:12" x14ac:dyDescent="0.2">
      <c r="A197" s="1484">
        <v>1820</v>
      </c>
      <c r="B197" s="172" t="s">
        <v>207</v>
      </c>
      <c r="C197" s="173">
        <v>142098</v>
      </c>
      <c r="D197" s="173">
        <v>140238</v>
      </c>
      <c r="E197" s="191">
        <f t="shared" si="18"/>
        <v>1860</v>
      </c>
      <c r="F197" s="173"/>
      <c r="G197" s="191">
        <f t="shared" si="19"/>
        <v>1860</v>
      </c>
      <c r="H197" s="250">
        <v>30</v>
      </c>
      <c r="I197" s="252">
        <f t="shared" si="15"/>
        <v>3.3333333333333333E-2</v>
      </c>
      <c r="J197" s="191">
        <f t="shared" si="16"/>
        <v>62</v>
      </c>
      <c r="K197" s="173">
        <v>62</v>
      </c>
      <c r="L197" s="191">
        <f t="shared" si="17"/>
        <v>0</v>
      </c>
    </row>
    <row r="198" spans="1:12" x14ac:dyDescent="0.2">
      <c r="A198" s="1484">
        <v>1825</v>
      </c>
      <c r="B198" s="180" t="s">
        <v>270</v>
      </c>
      <c r="C198" s="173"/>
      <c r="D198" s="173"/>
      <c r="E198" s="191">
        <f t="shared" si="18"/>
        <v>0</v>
      </c>
      <c r="F198" s="173"/>
      <c r="G198" s="191">
        <f t="shared" si="19"/>
        <v>0</v>
      </c>
      <c r="H198" s="250"/>
      <c r="I198" s="252">
        <f t="shared" si="15"/>
        <v>0</v>
      </c>
      <c r="J198" s="191">
        <f t="shared" si="16"/>
        <v>0</v>
      </c>
      <c r="K198" s="173"/>
      <c r="L198" s="191">
        <f t="shared" si="17"/>
        <v>0</v>
      </c>
    </row>
    <row r="199" spans="1:12" x14ac:dyDescent="0.2">
      <c r="A199" s="1484">
        <v>1830</v>
      </c>
      <c r="B199" s="180" t="s">
        <v>271</v>
      </c>
      <c r="C199" s="173">
        <v>1087164</v>
      </c>
      <c r="D199" s="173">
        <v>114499.00000000003</v>
      </c>
      <c r="E199" s="191">
        <f t="shared" si="18"/>
        <v>972665</v>
      </c>
      <c r="F199" s="173">
        <v>83000</v>
      </c>
      <c r="G199" s="191">
        <f t="shared" si="19"/>
        <v>1014165</v>
      </c>
      <c r="H199" s="250">
        <v>45</v>
      </c>
      <c r="I199" s="252">
        <f t="shared" si="15"/>
        <v>2.2222222222222223E-2</v>
      </c>
      <c r="J199" s="191">
        <f t="shared" si="16"/>
        <v>22537</v>
      </c>
      <c r="K199" s="173">
        <v>22537</v>
      </c>
      <c r="L199" s="191">
        <f t="shared" si="17"/>
        <v>0</v>
      </c>
    </row>
    <row r="200" spans="1:12" x14ac:dyDescent="0.2">
      <c r="A200" s="1484">
        <v>1835</v>
      </c>
      <c r="B200" s="180" t="s">
        <v>208</v>
      </c>
      <c r="C200" s="173">
        <v>6502230</v>
      </c>
      <c r="D200" s="173">
        <v>4236790</v>
      </c>
      <c r="E200" s="191">
        <f t="shared" si="18"/>
        <v>2265440</v>
      </c>
      <c r="F200" s="173">
        <v>44000</v>
      </c>
      <c r="G200" s="191">
        <f t="shared" si="19"/>
        <v>2287440</v>
      </c>
      <c r="H200" s="250">
        <v>60</v>
      </c>
      <c r="I200" s="252">
        <f t="shared" si="15"/>
        <v>1.6666666666666666E-2</v>
      </c>
      <c r="J200" s="191">
        <f t="shared" si="16"/>
        <v>38124</v>
      </c>
      <c r="K200" s="173">
        <v>38124</v>
      </c>
      <c r="L200" s="191">
        <f t="shared" si="17"/>
        <v>0</v>
      </c>
    </row>
    <row r="201" spans="1:12" x14ac:dyDescent="0.2">
      <c r="A201" s="1484">
        <v>1840</v>
      </c>
      <c r="B201" s="180" t="s">
        <v>209</v>
      </c>
      <c r="C201" s="173">
        <v>2216428</v>
      </c>
      <c r="D201" s="173">
        <v>132227.99999999985</v>
      </c>
      <c r="E201" s="191">
        <f t="shared" si="18"/>
        <v>2084200.0000000002</v>
      </c>
      <c r="F201" s="173">
        <v>180000</v>
      </c>
      <c r="G201" s="191">
        <f t="shared" si="19"/>
        <v>2174200</v>
      </c>
      <c r="H201" s="250">
        <v>50</v>
      </c>
      <c r="I201" s="252">
        <f t="shared" si="15"/>
        <v>0.02</v>
      </c>
      <c r="J201" s="191">
        <f t="shared" si="16"/>
        <v>43484</v>
      </c>
      <c r="K201" s="173">
        <v>43484</v>
      </c>
      <c r="L201" s="191">
        <f t="shared" si="17"/>
        <v>0</v>
      </c>
    </row>
    <row r="202" spans="1:12" x14ac:dyDescent="0.2">
      <c r="A202" s="1484">
        <v>1845</v>
      </c>
      <c r="B202" s="180" t="s">
        <v>210</v>
      </c>
      <c r="C202" s="173">
        <v>8323875</v>
      </c>
      <c r="D202" s="173">
        <v>3978814.9999999995</v>
      </c>
      <c r="E202" s="191">
        <f t="shared" si="18"/>
        <v>4345060</v>
      </c>
      <c r="F202" s="173">
        <v>425000</v>
      </c>
      <c r="G202" s="191">
        <f t="shared" si="19"/>
        <v>4557560</v>
      </c>
      <c r="H202" s="250">
        <v>40</v>
      </c>
      <c r="I202" s="252">
        <f t="shared" si="15"/>
        <v>2.5000000000000001E-2</v>
      </c>
      <c r="J202" s="191">
        <f t="shared" si="16"/>
        <v>113939</v>
      </c>
      <c r="K202" s="173">
        <v>113939</v>
      </c>
      <c r="L202" s="191">
        <f t="shared" si="17"/>
        <v>0</v>
      </c>
    </row>
    <row r="203" spans="1:12" x14ac:dyDescent="0.2">
      <c r="A203" s="1484">
        <v>1850</v>
      </c>
      <c r="B203" s="180" t="s">
        <v>272</v>
      </c>
      <c r="C203" s="173">
        <v>6389028</v>
      </c>
      <c r="D203" s="173">
        <v>2925048</v>
      </c>
      <c r="E203" s="191">
        <f t="shared" si="18"/>
        <v>3463980</v>
      </c>
      <c r="F203" s="173">
        <v>417000</v>
      </c>
      <c r="G203" s="191">
        <f t="shared" si="19"/>
        <v>3672480</v>
      </c>
      <c r="H203" s="250">
        <v>40</v>
      </c>
      <c r="I203" s="252">
        <f t="shared" si="15"/>
        <v>2.5000000000000001E-2</v>
      </c>
      <c r="J203" s="191">
        <f t="shared" si="16"/>
        <v>91812</v>
      </c>
      <c r="K203" s="173">
        <v>91812</v>
      </c>
      <c r="L203" s="191">
        <f t="shared" si="17"/>
        <v>0</v>
      </c>
    </row>
    <row r="204" spans="1:12" x14ac:dyDescent="0.2">
      <c r="A204" s="1484">
        <v>1851</v>
      </c>
      <c r="B204" s="180" t="s">
        <v>1416</v>
      </c>
      <c r="C204" s="173">
        <v>8515</v>
      </c>
      <c r="D204" s="173">
        <v>-5.0000000000002842</v>
      </c>
      <c r="E204" s="191">
        <f t="shared" si="18"/>
        <v>8520</v>
      </c>
      <c r="F204" s="173">
        <v>2000</v>
      </c>
      <c r="G204" s="191">
        <f t="shared" si="19"/>
        <v>9520</v>
      </c>
      <c r="H204" s="250">
        <v>20</v>
      </c>
      <c r="I204" s="252">
        <f t="shared" si="15"/>
        <v>0.05</v>
      </c>
      <c r="J204" s="191">
        <f t="shared" si="16"/>
        <v>476</v>
      </c>
      <c r="K204" s="173">
        <v>476</v>
      </c>
      <c r="L204" s="191">
        <f t="shared" si="17"/>
        <v>0</v>
      </c>
    </row>
    <row r="205" spans="1:12" ht="25.5" x14ac:dyDescent="0.2">
      <c r="A205" s="1484">
        <v>1852</v>
      </c>
      <c r="B205" s="180" t="s">
        <v>1422</v>
      </c>
      <c r="C205" s="173">
        <v>73945</v>
      </c>
      <c r="D205" s="173">
        <v>-10055.000000000011</v>
      </c>
      <c r="E205" s="191">
        <f t="shared" si="18"/>
        <v>84000.000000000015</v>
      </c>
      <c r="F205" s="173">
        <v>6000</v>
      </c>
      <c r="G205" s="191">
        <f t="shared" si="19"/>
        <v>87000.000000000015</v>
      </c>
      <c r="H205" s="250">
        <v>60</v>
      </c>
      <c r="I205" s="252">
        <f t="shared" si="15"/>
        <v>1.6666666666666666E-2</v>
      </c>
      <c r="J205" s="191">
        <f t="shared" si="16"/>
        <v>1450.0000000000002</v>
      </c>
      <c r="K205" s="173">
        <v>1450</v>
      </c>
      <c r="L205" s="191">
        <f t="shared" si="17"/>
        <v>2.2737367544323206E-13</v>
      </c>
    </row>
    <row r="206" spans="1:12" x14ac:dyDescent="0.2">
      <c r="A206" s="1484">
        <v>1855</v>
      </c>
      <c r="B206" s="180" t="s">
        <v>211</v>
      </c>
      <c r="C206" s="173">
        <v>1031062</v>
      </c>
      <c r="D206" s="173">
        <v>-37462.999999999913</v>
      </c>
      <c r="E206" s="191">
        <f t="shared" si="18"/>
        <v>1068525</v>
      </c>
      <c r="F206" s="173">
        <v>128000</v>
      </c>
      <c r="G206" s="191">
        <f t="shared" si="19"/>
        <v>1132525</v>
      </c>
      <c r="H206" s="250">
        <v>25</v>
      </c>
      <c r="I206" s="252">
        <f t="shared" si="15"/>
        <v>0.04</v>
      </c>
      <c r="J206" s="191">
        <f t="shared" si="16"/>
        <v>45301</v>
      </c>
      <c r="K206" s="173">
        <v>45301</v>
      </c>
      <c r="L206" s="191">
        <f t="shared" si="17"/>
        <v>0</v>
      </c>
    </row>
    <row r="207" spans="1:12" x14ac:dyDescent="0.2">
      <c r="A207" s="1484">
        <v>1860</v>
      </c>
      <c r="B207" s="180" t="s">
        <v>273</v>
      </c>
      <c r="C207" s="173"/>
      <c r="D207" s="173"/>
      <c r="E207" s="191">
        <f t="shared" si="18"/>
        <v>0</v>
      </c>
      <c r="F207" s="173"/>
      <c r="G207" s="191">
        <f t="shared" si="19"/>
        <v>0</v>
      </c>
      <c r="H207" s="250"/>
      <c r="I207" s="252">
        <f t="shared" si="15"/>
        <v>0</v>
      </c>
      <c r="J207" s="191">
        <f t="shared" si="16"/>
        <v>0</v>
      </c>
      <c r="K207" s="173"/>
      <c r="L207" s="191">
        <f t="shared" si="17"/>
        <v>0</v>
      </c>
    </row>
    <row r="208" spans="1:12" ht="25.5" x14ac:dyDescent="0.2">
      <c r="A208" s="1484">
        <v>1861</v>
      </c>
      <c r="B208" s="180" t="s">
        <v>1423</v>
      </c>
      <c r="C208" s="173">
        <v>1324006</v>
      </c>
      <c r="D208" s="173">
        <v>-3873.9999999997526</v>
      </c>
      <c r="E208" s="191">
        <f t="shared" si="18"/>
        <v>1327879.9999999998</v>
      </c>
      <c r="F208" s="173">
        <v>9000</v>
      </c>
      <c r="G208" s="191">
        <f t="shared" si="19"/>
        <v>1332379.9999999998</v>
      </c>
      <c r="H208" s="250">
        <v>10</v>
      </c>
      <c r="I208" s="252">
        <f t="shared" si="15"/>
        <v>0.1</v>
      </c>
      <c r="J208" s="191">
        <f t="shared" si="16"/>
        <v>133237.99999999997</v>
      </c>
      <c r="K208" s="173">
        <v>133238</v>
      </c>
      <c r="L208" s="191">
        <f t="shared" si="17"/>
        <v>-2.9103830456733704E-11</v>
      </c>
    </row>
    <row r="209" spans="1:12" x14ac:dyDescent="0.2">
      <c r="A209" s="1484">
        <v>1862</v>
      </c>
      <c r="B209" s="180" t="s">
        <v>1397</v>
      </c>
      <c r="C209" s="173">
        <v>322576</v>
      </c>
      <c r="D209" s="173">
        <v>-198583.99999999988</v>
      </c>
      <c r="E209" s="191">
        <f t="shared" si="18"/>
        <v>521159.99999999988</v>
      </c>
      <c r="F209" s="173">
        <v>30000</v>
      </c>
      <c r="G209" s="191">
        <f t="shared" si="19"/>
        <v>536159.99999999988</v>
      </c>
      <c r="H209" s="250">
        <v>15</v>
      </c>
      <c r="I209" s="252">
        <f t="shared" si="15"/>
        <v>6.6666666666666666E-2</v>
      </c>
      <c r="J209" s="191">
        <f t="shared" si="16"/>
        <v>35743.999999999993</v>
      </c>
      <c r="K209" s="173">
        <v>35744</v>
      </c>
      <c r="L209" s="191">
        <f t="shared" si="17"/>
        <v>-7.2759576141834259E-12</v>
      </c>
    </row>
    <row r="210" spans="1:12" x14ac:dyDescent="0.2">
      <c r="A210" s="1484">
        <v>1863</v>
      </c>
      <c r="B210" s="180" t="s">
        <v>1398</v>
      </c>
      <c r="C210" s="173">
        <v>1013</v>
      </c>
      <c r="D210" s="173">
        <v>2.9999999999999227</v>
      </c>
      <c r="E210" s="191">
        <f t="shared" si="18"/>
        <v>1010.0000000000001</v>
      </c>
      <c r="F210" s="173">
        <v>5000</v>
      </c>
      <c r="G210" s="191">
        <f t="shared" si="19"/>
        <v>3510</v>
      </c>
      <c r="H210" s="250">
        <v>15</v>
      </c>
      <c r="I210" s="252">
        <f t="shared" si="15"/>
        <v>6.6666666666666666E-2</v>
      </c>
      <c r="J210" s="191">
        <f t="shared" si="16"/>
        <v>234</v>
      </c>
      <c r="K210" s="173">
        <v>234</v>
      </c>
      <c r="L210" s="191">
        <f t="shared" si="17"/>
        <v>0</v>
      </c>
    </row>
    <row r="211" spans="1:12" x14ac:dyDescent="0.2">
      <c r="A211" s="1484">
        <v>1864</v>
      </c>
      <c r="B211" s="180" t="s">
        <v>1424</v>
      </c>
      <c r="C211" s="173">
        <v>109232</v>
      </c>
      <c r="D211" s="173">
        <v>-22528.000000000004</v>
      </c>
      <c r="E211" s="191">
        <f t="shared" si="18"/>
        <v>131760</v>
      </c>
      <c r="F211" s="173">
        <v>2000</v>
      </c>
      <c r="G211" s="191">
        <f t="shared" si="19"/>
        <v>132760</v>
      </c>
      <c r="H211" s="250">
        <v>40</v>
      </c>
      <c r="I211" s="252">
        <f t="shared" si="15"/>
        <v>2.5000000000000001E-2</v>
      </c>
      <c r="J211" s="191">
        <f t="shared" si="16"/>
        <v>3319</v>
      </c>
      <c r="K211" s="173">
        <v>3319</v>
      </c>
      <c r="L211" s="191">
        <f t="shared" si="17"/>
        <v>0</v>
      </c>
    </row>
    <row r="212" spans="1:12" x14ac:dyDescent="0.2">
      <c r="A212" s="253">
        <v>1860</v>
      </c>
      <c r="B212" s="179" t="s">
        <v>212</v>
      </c>
      <c r="C212" s="173"/>
      <c r="D212" s="173"/>
      <c r="E212" s="191">
        <f t="shared" si="18"/>
        <v>0</v>
      </c>
      <c r="F212" s="173"/>
      <c r="G212" s="191">
        <f t="shared" si="19"/>
        <v>0</v>
      </c>
      <c r="H212" s="250"/>
      <c r="I212" s="252">
        <f t="shared" si="15"/>
        <v>0</v>
      </c>
      <c r="J212" s="191">
        <f t="shared" si="16"/>
        <v>0</v>
      </c>
      <c r="K212" s="173"/>
      <c r="L212" s="191">
        <f t="shared" si="17"/>
        <v>0</v>
      </c>
    </row>
    <row r="213" spans="1:12" x14ac:dyDescent="0.2">
      <c r="A213" s="253">
        <v>1905</v>
      </c>
      <c r="B213" s="179" t="s">
        <v>267</v>
      </c>
      <c r="C213" s="173">
        <v>171765</v>
      </c>
      <c r="D213" s="173"/>
      <c r="E213" s="191">
        <f t="shared" si="18"/>
        <v>171765</v>
      </c>
      <c r="F213" s="173"/>
      <c r="G213" s="191">
        <f t="shared" si="19"/>
        <v>171765</v>
      </c>
      <c r="H213" s="250"/>
      <c r="I213" s="252">
        <f t="shared" si="15"/>
        <v>0</v>
      </c>
      <c r="J213" s="191">
        <f t="shared" si="16"/>
        <v>0</v>
      </c>
      <c r="K213" s="173"/>
      <c r="L213" s="191">
        <f t="shared" si="17"/>
        <v>0</v>
      </c>
    </row>
    <row r="214" spans="1:12" x14ac:dyDescent="0.2">
      <c r="A214" s="1484">
        <v>1908</v>
      </c>
      <c r="B214" s="180" t="s">
        <v>275</v>
      </c>
      <c r="C214" s="173">
        <v>665443</v>
      </c>
      <c r="D214" s="173">
        <v>7539115.5000000009</v>
      </c>
      <c r="E214" s="191">
        <f t="shared" si="18"/>
        <v>-6873672.5000000009</v>
      </c>
      <c r="F214" s="173">
        <f>16000-249155</f>
        <v>-233155</v>
      </c>
      <c r="G214" s="191">
        <f t="shared" si="19"/>
        <v>-6990250.0000000009</v>
      </c>
      <c r="H214" s="250">
        <v>50</v>
      </c>
      <c r="I214" s="252">
        <f t="shared" si="15"/>
        <v>0.02</v>
      </c>
      <c r="J214" s="191">
        <f t="shared" si="16"/>
        <v>-139805.00000000003</v>
      </c>
      <c r="K214" s="173">
        <f>12169-151974</f>
        <v>-139805</v>
      </c>
      <c r="L214" s="191">
        <f t="shared" si="17"/>
        <v>-2.9103830456733704E-11</v>
      </c>
    </row>
    <row r="215" spans="1:12" x14ac:dyDescent="0.2">
      <c r="A215" s="1484">
        <v>1910</v>
      </c>
      <c r="B215" s="180" t="s">
        <v>299</v>
      </c>
      <c r="C215" s="173"/>
      <c r="D215" s="173"/>
      <c r="E215" s="191">
        <f t="shared" si="18"/>
        <v>0</v>
      </c>
      <c r="F215" s="173"/>
      <c r="G215" s="191">
        <f t="shared" si="19"/>
        <v>0</v>
      </c>
      <c r="H215" s="250"/>
      <c r="I215" s="252">
        <f t="shared" si="15"/>
        <v>0</v>
      </c>
      <c r="J215" s="191">
        <f t="shared" si="16"/>
        <v>0</v>
      </c>
      <c r="K215" s="173"/>
      <c r="L215" s="191">
        <f t="shared" si="17"/>
        <v>0</v>
      </c>
    </row>
    <row r="216" spans="1:12" x14ac:dyDescent="0.2">
      <c r="A216" s="1484">
        <v>1915</v>
      </c>
      <c r="B216" s="180" t="s">
        <v>213</v>
      </c>
      <c r="C216" s="173">
        <v>252992</v>
      </c>
      <c r="D216" s="173">
        <v>204472</v>
      </c>
      <c r="E216" s="191">
        <f t="shared" si="18"/>
        <v>48520</v>
      </c>
      <c r="F216" s="173">
        <v>49000</v>
      </c>
      <c r="G216" s="191">
        <f t="shared" si="19"/>
        <v>73020</v>
      </c>
      <c r="H216" s="250">
        <v>10</v>
      </c>
      <c r="I216" s="252">
        <f t="shared" si="15"/>
        <v>0.1</v>
      </c>
      <c r="J216" s="191">
        <f t="shared" si="16"/>
        <v>7302</v>
      </c>
      <c r="K216" s="173">
        <v>7302</v>
      </c>
      <c r="L216" s="191">
        <f t="shared" si="17"/>
        <v>0</v>
      </c>
    </row>
    <row r="217" spans="1:12" x14ac:dyDescent="0.2">
      <c r="A217" s="1484">
        <v>1915</v>
      </c>
      <c r="B217" s="180" t="s">
        <v>214</v>
      </c>
      <c r="C217" s="173"/>
      <c r="D217" s="173"/>
      <c r="E217" s="191">
        <f t="shared" si="18"/>
        <v>0</v>
      </c>
      <c r="F217" s="173"/>
      <c r="G217" s="191">
        <f t="shared" si="19"/>
        <v>0</v>
      </c>
      <c r="H217" s="250"/>
      <c r="I217" s="252">
        <f t="shared" si="15"/>
        <v>0</v>
      </c>
      <c r="J217" s="191">
        <f t="shared" si="16"/>
        <v>0</v>
      </c>
      <c r="K217" s="173"/>
      <c r="L217" s="191">
        <f t="shared" si="17"/>
        <v>0</v>
      </c>
    </row>
    <row r="218" spans="1:12" x14ac:dyDescent="0.2">
      <c r="A218" s="1484">
        <v>1920</v>
      </c>
      <c r="B218" s="180" t="s">
        <v>215</v>
      </c>
      <c r="C218" s="173">
        <v>403765</v>
      </c>
      <c r="D218" s="173">
        <v>359475</v>
      </c>
      <c r="E218" s="191">
        <f t="shared" si="18"/>
        <v>44290</v>
      </c>
      <c r="F218" s="173">
        <v>52000</v>
      </c>
      <c r="G218" s="191">
        <f t="shared" si="19"/>
        <v>70290</v>
      </c>
      <c r="H218" s="250">
        <v>5</v>
      </c>
      <c r="I218" s="252">
        <f t="shared" si="15"/>
        <v>0.2</v>
      </c>
      <c r="J218" s="191">
        <f t="shared" si="16"/>
        <v>14058</v>
      </c>
      <c r="K218" s="173">
        <v>14058</v>
      </c>
      <c r="L218" s="191">
        <f t="shared" si="17"/>
        <v>0</v>
      </c>
    </row>
    <row r="219" spans="1:12" x14ac:dyDescent="0.2">
      <c r="A219" s="254">
        <v>1920</v>
      </c>
      <c r="B219" s="172" t="s">
        <v>217</v>
      </c>
      <c r="C219" s="173"/>
      <c r="D219" s="173"/>
      <c r="E219" s="191">
        <f t="shared" si="18"/>
        <v>0</v>
      </c>
      <c r="F219" s="173"/>
      <c r="G219" s="191">
        <f t="shared" si="19"/>
        <v>0</v>
      </c>
      <c r="H219" s="250"/>
      <c r="I219" s="252">
        <f t="shared" si="15"/>
        <v>0</v>
      </c>
      <c r="J219" s="191">
        <f t="shared" si="16"/>
        <v>0</v>
      </c>
      <c r="K219" s="173"/>
      <c r="L219" s="191">
        <f t="shared" si="17"/>
        <v>0</v>
      </c>
    </row>
    <row r="220" spans="1:12" x14ac:dyDescent="0.2">
      <c r="A220" s="254">
        <v>1920</v>
      </c>
      <c r="B220" s="172" t="s">
        <v>216</v>
      </c>
      <c r="C220" s="173"/>
      <c r="D220" s="173"/>
      <c r="E220" s="191">
        <f t="shared" si="18"/>
        <v>0</v>
      </c>
      <c r="F220" s="173"/>
      <c r="G220" s="191">
        <f t="shared" si="19"/>
        <v>0</v>
      </c>
      <c r="H220" s="250"/>
      <c r="I220" s="252">
        <f t="shared" si="15"/>
        <v>0</v>
      </c>
      <c r="J220" s="191">
        <f t="shared" si="16"/>
        <v>0</v>
      </c>
      <c r="K220" s="173"/>
      <c r="L220" s="191">
        <f t="shared" si="17"/>
        <v>0</v>
      </c>
    </row>
    <row r="221" spans="1:12" x14ac:dyDescent="0.2">
      <c r="A221" s="1484">
        <v>1930</v>
      </c>
      <c r="B221" s="180" t="s">
        <v>286</v>
      </c>
      <c r="C221" s="173"/>
      <c r="D221" s="173"/>
      <c r="E221" s="191">
        <f t="shared" si="18"/>
        <v>0</v>
      </c>
      <c r="F221" s="173"/>
      <c r="G221" s="191">
        <f t="shared" si="19"/>
        <v>0</v>
      </c>
      <c r="H221" s="250">
        <v>8</v>
      </c>
      <c r="I221" s="252">
        <f t="shared" si="15"/>
        <v>0.125</v>
      </c>
      <c r="J221" s="191">
        <f t="shared" si="16"/>
        <v>0</v>
      </c>
      <c r="K221" s="173"/>
      <c r="L221" s="191">
        <f t="shared" si="17"/>
        <v>0</v>
      </c>
    </row>
    <row r="222" spans="1:12" x14ac:dyDescent="0.2">
      <c r="A222" s="1484">
        <v>1931</v>
      </c>
      <c r="B222" s="180" t="s">
        <v>1425</v>
      </c>
      <c r="C222" s="173">
        <v>116061</v>
      </c>
      <c r="D222" s="173">
        <v>-62868.999999999956</v>
      </c>
      <c r="E222" s="191">
        <f t="shared" si="18"/>
        <v>178929.99999999994</v>
      </c>
      <c r="F222" s="173">
        <v>22000</v>
      </c>
      <c r="G222" s="191">
        <f t="shared" si="19"/>
        <v>189929.99999999994</v>
      </c>
      <c r="H222" s="250">
        <v>15</v>
      </c>
      <c r="I222" s="252">
        <f t="shared" si="15"/>
        <v>6.6666666666666666E-2</v>
      </c>
      <c r="J222" s="191">
        <f t="shared" si="16"/>
        <v>12661.999999999996</v>
      </c>
      <c r="K222" s="173">
        <v>12662</v>
      </c>
      <c r="L222" s="191">
        <f t="shared" si="17"/>
        <v>-3.637978807091713E-12</v>
      </c>
    </row>
    <row r="223" spans="1:12" x14ac:dyDescent="0.2">
      <c r="A223" s="1484">
        <v>1932</v>
      </c>
      <c r="B223" s="180" t="s">
        <v>1426</v>
      </c>
      <c r="C223" s="173">
        <v>171179</v>
      </c>
      <c r="D223" s="173">
        <v>41515</v>
      </c>
      <c r="E223" s="191">
        <f t="shared" si="18"/>
        <v>129664</v>
      </c>
      <c r="F223" s="173"/>
      <c r="G223" s="191">
        <f t="shared" si="19"/>
        <v>129664</v>
      </c>
      <c r="H223" s="250">
        <v>8</v>
      </c>
      <c r="I223" s="252">
        <f t="shared" si="15"/>
        <v>0.125</v>
      </c>
      <c r="J223" s="191">
        <f t="shared" si="16"/>
        <v>16208</v>
      </c>
      <c r="K223" s="173">
        <v>16208</v>
      </c>
      <c r="L223" s="191">
        <f t="shared" si="17"/>
        <v>0</v>
      </c>
    </row>
    <row r="224" spans="1:12" x14ac:dyDescent="0.2">
      <c r="A224" s="1484">
        <v>1933</v>
      </c>
      <c r="B224" s="180" t="s">
        <v>1403</v>
      </c>
      <c r="C224" s="173">
        <v>70712</v>
      </c>
      <c r="D224" s="173">
        <v>1.9999999999972715</v>
      </c>
      <c r="E224" s="191">
        <f t="shared" si="18"/>
        <v>70710</v>
      </c>
      <c r="F224" s="173"/>
      <c r="G224" s="191">
        <f t="shared" si="19"/>
        <v>70710</v>
      </c>
      <c r="H224" s="250">
        <v>10</v>
      </c>
      <c r="I224" s="252">
        <f t="shared" si="15"/>
        <v>0.1</v>
      </c>
      <c r="J224" s="191">
        <f t="shared" si="16"/>
        <v>7071</v>
      </c>
      <c r="K224" s="173">
        <v>7071</v>
      </c>
      <c r="L224" s="191">
        <f t="shared" si="17"/>
        <v>0</v>
      </c>
    </row>
    <row r="225" spans="1:12" x14ac:dyDescent="0.2">
      <c r="A225" s="1484">
        <v>1935</v>
      </c>
      <c r="B225" s="180" t="s">
        <v>287</v>
      </c>
      <c r="C225" s="173"/>
      <c r="D225" s="173"/>
      <c r="E225" s="191">
        <f t="shared" si="18"/>
        <v>0</v>
      </c>
      <c r="F225" s="173"/>
      <c r="G225" s="191">
        <f t="shared" si="19"/>
        <v>0</v>
      </c>
      <c r="H225" s="250"/>
      <c r="I225" s="252">
        <f t="shared" si="15"/>
        <v>0</v>
      </c>
      <c r="J225" s="191">
        <f t="shared" si="16"/>
        <v>0</v>
      </c>
      <c r="K225" s="173"/>
      <c r="L225" s="191">
        <f t="shared" si="17"/>
        <v>0</v>
      </c>
    </row>
    <row r="226" spans="1:12" x14ac:dyDescent="0.2">
      <c r="A226" s="1484">
        <v>1940</v>
      </c>
      <c r="B226" s="180" t="s">
        <v>288</v>
      </c>
      <c r="C226" s="173">
        <v>385936</v>
      </c>
      <c r="D226" s="173">
        <v>300176</v>
      </c>
      <c r="E226" s="191">
        <f t="shared" si="18"/>
        <v>85760</v>
      </c>
      <c r="F226" s="173">
        <v>8000</v>
      </c>
      <c r="G226" s="191">
        <f t="shared" si="19"/>
        <v>89760</v>
      </c>
      <c r="H226" s="250">
        <v>10</v>
      </c>
      <c r="I226" s="252">
        <f t="shared" si="15"/>
        <v>0.1</v>
      </c>
      <c r="J226" s="191">
        <f t="shared" si="16"/>
        <v>8976</v>
      </c>
      <c r="K226" s="173">
        <v>8976</v>
      </c>
      <c r="L226" s="191">
        <f t="shared" si="17"/>
        <v>0</v>
      </c>
    </row>
    <row r="227" spans="1:12" x14ac:dyDescent="0.2">
      <c r="A227" s="1484">
        <v>1945</v>
      </c>
      <c r="B227" s="180" t="s">
        <v>289</v>
      </c>
      <c r="C227" s="173"/>
      <c r="D227" s="173"/>
      <c r="E227" s="191">
        <f t="shared" si="18"/>
        <v>0</v>
      </c>
      <c r="F227" s="173"/>
      <c r="G227" s="191">
        <f t="shared" si="19"/>
        <v>0</v>
      </c>
      <c r="H227" s="250"/>
      <c r="I227" s="252">
        <f t="shared" si="15"/>
        <v>0</v>
      </c>
      <c r="J227" s="191">
        <f t="shared" si="16"/>
        <v>0</v>
      </c>
      <c r="K227" s="173"/>
      <c r="L227" s="191">
        <f t="shared" si="17"/>
        <v>0</v>
      </c>
    </row>
    <row r="228" spans="1:12" x14ac:dyDescent="0.2">
      <c r="A228" s="1484">
        <v>1950</v>
      </c>
      <c r="B228" s="180" t="s">
        <v>218</v>
      </c>
      <c r="C228" s="173"/>
      <c r="D228" s="173"/>
      <c r="E228" s="191">
        <f t="shared" si="18"/>
        <v>0</v>
      </c>
      <c r="F228" s="173"/>
      <c r="G228" s="191">
        <f t="shared" si="19"/>
        <v>0</v>
      </c>
      <c r="H228" s="250"/>
      <c r="I228" s="252">
        <f t="shared" si="15"/>
        <v>0</v>
      </c>
      <c r="J228" s="191">
        <f t="shared" si="16"/>
        <v>0</v>
      </c>
      <c r="K228" s="173"/>
      <c r="L228" s="191">
        <f t="shared" si="17"/>
        <v>0</v>
      </c>
    </row>
    <row r="229" spans="1:12" x14ac:dyDescent="0.2">
      <c r="A229" s="1484">
        <v>1955</v>
      </c>
      <c r="B229" s="180" t="s">
        <v>290</v>
      </c>
      <c r="C229" s="173">
        <v>36873</v>
      </c>
      <c r="D229" s="173">
        <v>23303</v>
      </c>
      <c r="E229" s="191">
        <f t="shared" si="18"/>
        <v>13570</v>
      </c>
      <c r="F229" s="173"/>
      <c r="G229" s="191">
        <f t="shared" si="19"/>
        <v>13570</v>
      </c>
      <c r="H229" s="250">
        <v>10</v>
      </c>
      <c r="I229" s="252">
        <f t="shared" si="15"/>
        <v>0.1</v>
      </c>
      <c r="J229" s="191">
        <f t="shared" si="16"/>
        <v>1357</v>
      </c>
      <c r="K229" s="173">
        <v>1357</v>
      </c>
      <c r="L229" s="191">
        <f t="shared" si="17"/>
        <v>0</v>
      </c>
    </row>
    <row r="230" spans="1:12" x14ac:dyDescent="0.2">
      <c r="A230" s="255">
        <v>1955</v>
      </c>
      <c r="B230" s="184" t="s">
        <v>219</v>
      </c>
      <c r="C230" s="173"/>
      <c r="D230" s="173"/>
      <c r="E230" s="191">
        <f t="shared" si="18"/>
        <v>0</v>
      </c>
      <c r="F230" s="173"/>
      <c r="G230" s="191">
        <f t="shared" si="19"/>
        <v>0</v>
      </c>
      <c r="H230" s="250"/>
      <c r="I230" s="252">
        <f t="shared" si="15"/>
        <v>0</v>
      </c>
      <c r="J230" s="191">
        <f t="shared" si="16"/>
        <v>0</v>
      </c>
      <c r="K230" s="173"/>
      <c r="L230" s="191">
        <f t="shared" si="17"/>
        <v>0</v>
      </c>
    </row>
    <row r="231" spans="1:12" x14ac:dyDescent="0.2">
      <c r="A231" s="254">
        <v>1960</v>
      </c>
      <c r="B231" s="172" t="s">
        <v>220</v>
      </c>
      <c r="C231" s="173"/>
      <c r="D231" s="173"/>
      <c r="E231" s="191">
        <f t="shared" si="18"/>
        <v>0</v>
      </c>
      <c r="F231" s="173"/>
      <c r="G231" s="191">
        <f t="shared" si="19"/>
        <v>0</v>
      </c>
      <c r="H231" s="250"/>
      <c r="I231" s="252">
        <f t="shared" si="15"/>
        <v>0</v>
      </c>
      <c r="J231" s="191">
        <f t="shared" si="16"/>
        <v>0</v>
      </c>
      <c r="K231" s="173"/>
      <c r="L231" s="191">
        <f t="shared" si="17"/>
        <v>0</v>
      </c>
    </row>
    <row r="232" spans="1:12" x14ac:dyDescent="0.2">
      <c r="A232" s="254">
        <v>1970</v>
      </c>
      <c r="B232" s="1482" t="s">
        <v>535</v>
      </c>
      <c r="C232" s="173"/>
      <c r="D232" s="173"/>
      <c r="E232" s="191">
        <f t="shared" si="18"/>
        <v>0</v>
      </c>
      <c r="F232" s="173"/>
      <c r="G232" s="191">
        <f t="shared" si="19"/>
        <v>0</v>
      </c>
      <c r="H232" s="250"/>
      <c r="I232" s="252">
        <f t="shared" si="15"/>
        <v>0</v>
      </c>
      <c r="J232" s="191">
        <f t="shared" si="16"/>
        <v>0</v>
      </c>
      <c r="K232" s="173"/>
      <c r="L232" s="191">
        <f t="shared" si="17"/>
        <v>0</v>
      </c>
    </row>
    <row r="233" spans="1:12" x14ac:dyDescent="0.2">
      <c r="A233" s="1484">
        <v>1975</v>
      </c>
      <c r="B233" s="180" t="s">
        <v>291</v>
      </c>
      <c r="C233" s="173"/>
      <c r="D233" s="173"/>
      <c r="E233" s="191">
        <f t="shared" si="18"/>
        <v>0</v>
      </c>
      <c r="F233" s="173"/>
      <c r="G233" s="191">
        <f t="shared" si="19"/>
        <v>0</v>
      </c>
      <c r="H233" s="250"/>
      <c r="I233" s="252">
        <f t="shared" si="15"/>
        <v>0</v>
      </c>
      <c r="J233" s="191">
        <f t="shared" si="16"/>
        <v>0</v>
      </c>
      <c r="K233" s="173"/>
      <c r="L233" s="191">
        <f t="shared" si="17"/>
        <v>0</v>
      </c>
    </row>
    <row r="234" spans="1:12" x14ac:dyDescent="0.2">
      <c r="A234" s="1484">
        <v>1980</v>
      </c>
      <c r="B234" s="180" t="s">
        <v>292</v>
      </c>
      <c r="C234" s="173"/>
      <c r="D234" s="173"/>
      <c r="E234" s="191">
        <f t="shared" si="18"/>
        <v>0</v>
      </c>
      <c r="F234" s="173"/>
      <c r="G234" s="191">
        <f t="shared" si="19"/>
        <v>0</v>
      </c>
      <c r="H234" s="250"/>
      <c r="I234" s="252">
        <f t="shared" si="15"/>
        <v>0</v>
      </c>
      <c r="J234" s="191">
        <f t="shared" si="16"/>
        <v>0</v>
      </c>
      <c r="K234" s="173"/>
      <c r="L234" s="191">
        <f t="shared" si="17"/>
        <v>0</v>
      </c>
    </row>
    <row r="235" spans="1:12" x14ac:dyDescent="0.2">
      <c r="A235" s="1484">
        <v>1985</v>
      </c>
      <c r="B235" s="180" t="s">
        <v>1428</v>
      </c>
      <c r="C235" s="173">
        <v>15</v>
      </c>
      <c r="D235" s="173">
        <v>15</v>
      </c>
      <c r="E235" s="191">
        <f t="shared" si="18"/>
        <v>0</v>
      </c>
      <c r="F235" s="173"/>
      <c r="G235" s="191">
        <f t="shared" si="19"/>
        <v>0</v>
      </c>
      <c r="H235" s="250">
        <v>10</v>
      </c>
      <c r="I235" s="252">
        <f t="shared" si="15"/>
        <v>0.1</v>
      </c>
      <c r="J235" s="191">
        <f t="shared" si="16"/>
        <v>0</v>
      </c>
      <c r="K235" s="173"/>
      <c r="L235" s="191">
        <f t="shared" si="17"/>
        <v>0</v>
      </c>
    </row>
    <row r="236" spans="1:12" x14ac:dyDescent="0.2">
      <c r="A236" s="1484">
        <v>1990</v>
      </c>
      <c r="B236" s="1483" t="s">
        <v>502</v>
      </c>
      <c r="C236" s="173"/>
      <c r="D236" s="173"/>
      <c r="E236" s="191">
        <f t="shared" si="18"/>
        <v>0</v>
      </c>
      <c r="F236" s="173"/>
      <c r="G236" s="191">
        <f t="shared" si="19"/>
        <v>0</v>
      </c>
      <c r="H236" s="250"/>
      <c r="I236" s="252">
        <f t="shared" si="15"/>
        <v>0</v>
      </c>
      <c r="J236" s="191">
        <f t="shared" si="16"/>
        <v>0</v>
      </c>
      <c r="K236" s="173"/>
      <c r="L236" s="191">
        <f t="shared" si="17"/>
        <v>0</v>
      </c>
    </row>
    <row r="237" spans="1:12" ht="13.5" thickBot="1" x14ac:dyDescent="0.25">
      <c r="A237" s="1484">
        <v>1995</v>
      </c>
      <c r="B237" s="180" t="s">
        <v>294</v>
      </c>
      <c r="C237" s="257">
        <v>-6342546</v>
      </c>
      <c r="D237" s="257">
        <v>38812.500000000466</v>
      </c>
      <c r="E237" s="285">
        <f t="shared" si="18"/>
        <v>-6381358.5</v>
      </c>
      <c r="F237" s="257">
        <v>-247033</v>
      </c>
      <c r="G237" s="285">
        <f t="shared" si="19"/>
        <v>-6504875</v>
      </c>
      <c r="H237" s="259">
        <v>25</v>
      </c>
      <c r="I237" s="260">
        <f t="shared" si="15"/>
        <v>0.04</v>
      </c>
      <c r="J237" s="285">
        <f t="shared" si="16"/>
        <v>-260195</v>
      </c>
      <c r="K237" s="257">
        <v>-260195</v>
      </c>
      <c r="L237" s="285">
        <f t="shared" si="17"/>
        <v>0</v>
      </c>
    </row>
    <row r="238" spans="1:12" ht="14.25" thickTop="1" thickBot="1" x14ac:dyDescent="0.25">
      <c r="A238" s="261"/>
      <c r="B238" s="262" t="s">
        <v>295</v>
      </c>
      <c r="C238" s="263">
        <f>SUM(C191:C237)</f>
        <v>23727675</v>
      </c>
      <c r="D238" s="263">
        <f>SUM(D191:D237)</f>
        <v>19941800</v>
      </c>
      <c r="E238" s="263">
        <f>SUM(E191:E237)</f>
        <v>3785875</v>
      </c>
      <c r="F238" s="263">
        <f>SUM(F191:F237)</f>
        <v>983312</v>
      </c>
      <c r="G238" s="263">
        <f>SUM(G191:G237)</f>
        <v>4277531</v>
      </c>
      <c r="H238" s="330"/>
      <c r="I238" s="266"/>
      <c r="J238" s="263">
        <f>SUM(J191:J237)</f>
        <v>201409</v>
      </c>
      <c r="K238" s="263">
        <f>SUM(K191:K237)</f>
        <v>201409</v>
      </c>
      <c r="L238" s="263">
        <f>SUM(L191:L237)</f>
        <v>-6.8894223659299314E-11</v>
      </c>
    </row>
    <row r="239" spans="1:12" x14ac:dyDescent="0.2">
      <c r="A239" s="289"/>
      <c r="B239" s="1707" t="s">
        <v>1078</v>
      </c>
      <c r="C239" s="1707"/>
      <c r="D239" s="1707"/>
      <c r="E239" s="1707"/>
      <c r="F239" s="1707"/>
      <c r="G239" s="1707"/>
      <c r="H239" s="1707"/>
      <c r="I239" s="1708"/>
      <c r="J239" s="173"/>
      <c r="K239" s="291"/>
      <c r="L239" s="291"/>
    </row>
    <row r="240" spans="1:12" x14ac:dyDescent="0.2">
      <c r="A240" s="289"/>
      <c r="B240" s="290" t="s">
        <v>937</v>
      </c>
      <c r="C240" s="312"/>
      <c r="D240" s="312"/>
      <c r="E240" s="312"/>
      <c r="F240" s="291"/>
      <c r="G240" s="291"/>
      <c r="H240" s="293"/>
      <c r="I240" s="312"/>
      <c r="J240" s="191">
        <f>SUM(J238:J239)</f>
        <v>201409</v>
      </c>
      <c r="K240" s="291"/>
      <c r="L240" s="291"/>
    </row>
    <row r="241" spans="1:12" x14ac:dyDescent="0.2">
      <c r="A241" s="289"/>
      <c r="B241" s="290"/>
      <c r="C241" s="312"/>
      <c r="D241" s="312"/>
      <c r="E241" s="312"/>
      <c r="F241" s="291"/>
      <c r="G241" s="291"/>
      <c r="H241" s="293"/>
      <c r="I241" s="312"/>
      <c r="J241" s="291"/>
      <c r="K241" s="291"/>
      <c r="L241" s="291"/>
    </row>
    <row r="242" spans="1:12" x14ac:dyDescent="0.2">
      <c r="A242" s="289"/>
      <c r="B242" s="290"/>
      <c r="C242" s="312"/>
      <c r="D242" s="312"/>
      <c r="E242" s="312"/>
      <c r="F242" s="291"/>
      <c r="G242" s="291"/>
      <c r="H242" s="293"/>
      <c r="I242" s="312"/>
      <c r="J242" s="291"/>
      <c r="K242" s="291"/>
      <c r="L242" s="291"/>
    </row>
    <row r="243" spans="1:12" x14ac:dyDescent="0.2">
      <c r="B243" s="1113"/>
      <c r="C243" s="1136"/>
      <c r="D243" s="1136" t="s">
        <v>882</v>
      </c>
      <c r="E243" s="48" t="s">
        <v>105</v>
      </c>
      <c r="F243" s="1113"/>
      <c r="G243" s="1138"/>
      <c r="H243" s="1113"/>
      <c r="I243" s="1113"/>
      <c r="J243" s="1113"/>
      <c r="K243" s="1113"/>
      <c r="L243" s="295"/>
    </row>
    <row r="244" spans="1:12" ht="18" x14ac:dyDescent="0.25">
      <c r="A244" s="1481"/>
      <c r="B244" s="1481"/>
      <c r="C244" s="1136"/>
      <c r="D244" s="1136" t="s">
        <v>102</v>
      </c>
      <c r="E244" s="1137">
        <v>2017</v>
      </c>
      <c r="H244" s="1481"/>
      <c r="I244" s="1481"/>
      <c r="J244" s="1481"/>
    </row>
    <row r="245" spans="1:12" ht="13.5" thickBot="1" x14ac:dyDescent="0.25"/>
    <row r="246" spans="1:12" ht="51" x14ac:dyDescent="0.2">
      <c r="A246" s="1685" t="s">
        <v>3</v>
      </c>
      <c r="B246" s="1687" t="s">
        <v>235</v>
      </c>
      <c r="C246" s="245" t="s">
        <v>1043</v>
      </c>
      <c r="D246" s="245" t="s">
        <v>476</v>
      </c>
      <c r="E246" s="245" t="s">
        <v>477</v>
      </c>
      <c r="F246" s="245" t="s">
        <v>237</v>
      </c>
      <c r="G246" s="245" t="s">
        <v>1073</v>
      </c>
      <c r="H246" s="245" t="s">
        <v>6</v>
      </c>
      <c r="I246" s="245" t="s">
        <v>298</v>
      </c>
      <c r="J246" s="277" t="s">
        <v>1082</v>
      </c>
      <c r="K246" s="1697" t="s">
        <v>1062</v>
      </c>
      <c r="L246" s="277" t="s">
        <v>1074</v>
      </c>
    </row>
    <row r="247" spans="1:12" x14ac:dyDescent="0.2">
      <c r="A247" s="1686"/>
      <c r="B247" s="1688"/>
      <c r="C247" s="249" t="s">
        <v>4</v>
      </c>
      <c r="D247" s="249" t="s">
        <v>478</v>
      </c>
      <c r="E247" s="249" t="s">
        <v>479</v>
      </c>
      <c r="F247" s="249" t="s">
        <v>5</v>
      </c>
      <c r="G247" s="328" t="s">
        <v>997</v>
      </c>
      <c r="H247" s="249" t="s">
        <v>7</v>
      </c>
      <c r="I247" s="249" t="s">
        <v>8</v>
      </c>
      <c r="J247" s="329" t="s">
        <v>9</v>
      </c>
      <c r="K247" s="1711"/>
      <c r="L247" s="329" t="s">
        <v>382</v>
      </c>
    </row>
    <row r="248" spans="1:12" ht="25.5" x14ac:dyDescent="0.2">
      <c r="A248" s="1484">
        <v>1611</v>
      </c>
      <c r="B248" s="172" t="s">
        <v>381</v>
      </c>
      <c r="C248" s="173">
        <v>260751</v>
      </c>
      <c r="D248" s="173">
        <v>240376</v>
      </c>
      <c r="E248" s="191">
        <f>C248-D248</f>
        <v>20375</v>
      </c>
      <c r="F248" s="173">
        <v>28000</v>
      </c>
      <c r="G248" s="191">
        <f>E248+0.5*F248</f>
        <v>34375</v>
      </c>
      <c r="H248" s="250">
        <v>5</v>
      </c>
      <c r="I248" s="251">
        <f t="shared" ref="I248:I294" si="20">IF(H248=0,0,1/H248)</f>
        <v>0.2</v>
      </c>
      <c r="J248" s="191">
        <f t="shared" ref="J248:J294" si="21">IF(H248=0,0,G248/H248)</f>
        <v>6875</v>
      </c>
      <c r="K248" s="173">
        <v>6875</v>
      </c>
      <c r="L248" s="191">
        <f t="shared" ref="L248:L294" si="22">IF(ISERROR(+J248-K248), 0, +J248-K248)</f>
        <v>0</v>
      </c>
    </row>
    <row r="249" spans="1:12" x14ac:dyDescent="0.2">
      <c r="A249" s="1484">
        <v>1612</v>
      </c>
      <c r="B249" s="172" t="s">
        <v>442</v>
      </c>
      <c r="C249" s="173">
        <v>2945</v>
      </c>
      <c r="D249" s="173">
        <v>2945</v>
      </c>
      <c r="E249" s="191">
        <f t="shared" ref="E249:E294" si="23">C249-D249</f>
        <v>0</v>
      </c>
      <c r="F249" s="173"/>
      <c r="G249" s="191">
        <f t="shared" ref="G249:G294" si="24">E249+0.5*F249</f>
        <v>0</v>
      </c>
      <c r="H249" s="250">
        <v>5</v>
      </c>
      <c r="I249" s="252">
        <f t="shared" si="20"/>
        <v>0.2</v>
      </c>
      <c r="J249" s="191">
        <f t="shared" si="21"/>
        <v>0</v>
      </c>
      <c r="K249" s="173"/>
      <c r="L249" s="191">
        <f t="shared" si="22"/>
        <v>0</v>
      </c>
    </row>
    <row r="250" spans="1:12" x14ac:dyDescent="0.2">
      <c r="A250" s="253">
        <v>1805</v>
      </c>
      <c r="B250" s="179" t="s">
        <v>267</v>
      </c>
      <c r="C250" s="173">
        <v>2112</v>
      </c>
      <c r="D250" s="173"/>
      <c r="E250" s="191">
        <f t="shared" si="23"/>
        <v>2112</v>
      </c>
      <c r="F250" s="173"/>
      <c r="G250" s="191">
        <f t="shared" si="24"/>
        <v>2112</v>
      </c>
      <c r="H250" s="250"/>
      <c r="I250" s="252">
        <f t="shared" si="20"/>
        <v>0</v>
      </c>
      <c r="J250" s="191">
        <f t="shared" si="21"/>
        <v>0</v>
      </c>
      <c r="K250" s="173"/>
      <c r="L250" s="191">
        <f t="shared" si="22"/>
        <v>0</v>
      </c>
    </row>
    <row r="251" spans="1:12" x14ac:dyDescent="0.2">
      <c r="A251" s="1484">
        <v>1808</v>
      </c>
      <c r="B251" s="180" t="s">
        <v>268</v>
      </c>
      <c r="C251" s="173"/>
      <c r="D251" s="173"/>
      <c r="E251" s="191">
        <f t="shared" si="23"/>
        <v>0</v>
      </c>
      <c r="F251" s="173"/>
      <c r="G251" s="191">
        <f t="shared" si="24"/>
        <v>0</v>
      </c>
      <c r="H251" s="250"/>
      <c r="I251" s="252">
        <f t="shared" si="20"/>
        <v>0</v>
      </c>
      <c r="J251" s="191">
        <f t="shared" si="21"/>
        <v>0</v>
      </c>
      <c r="K251" s="173"/>
      <c r="L251" s="191">
        <f t="shared" si="22"/>
        <v>0</v>
      </c>
    </row>
    <row r="252" spans="1:12" x14ac:dyDescent="0.2">
      <c r="A252" s="1484">
        <v>1810</v>
      </c>
      <c r="B252" s="180" t="s">
        <v>299</v>
      </c>
      <c r="C252" s="173"/>
      <c r="D252" s="173"/>
      <c r="E252" s="191">
        <f t="shared" si="23"/>
        <v>0</v>
      </c>
      <c r="F252" s="173"/>
      <c r="G252" s="191">
        <f t="shared" si="24"/>
        <v>0</v>
      </c>
      <c r="H252" s="250"/>
      <c r="I252" s="252">
        <f t="shared" si="20"/>
        <v>0</v>
      </c>
      <c r="J252" s="191">
        <f t="shared" si="21"/>
        <v>0</v>
      </c>
      <c r="K252" s="173"/>
      <c r="L252" s="191">
        <f t="shared" si="22"/>
        <v>0</v>
      </c>
    </row>
    <row r="253" spans="1:12" x14ac:dyDescent="0.2">
      <c r="A253" s="1484">
        <v>1815</v>
      </c>
      <c r="B253" s="180" t="s">
        <v>269</v>
      </c>
      <c r="C253" s="173"/>
      <c r="D253" s="173"/>
      <c r="E253" s="191">
        <f t="shared" si="23"/>
        <v>0</v>
      </c>
      <c r="F253" s="173"/>
      <c r="G253" s="191">
        <f t="shared" si="24"/>
        <v>0</v>
      </c>
      <c r="H253" s="250"/>
      <c r="I253" s="252">
        <f t="shared" si="20"/>
        <v>0</v>
      </c>
      <c r="J253" s="191">
        <f t="shared" si="21"/>
        <v>0</v>
      </c>
      <c r="K253" s="173"/>
      <c r="L253" s="191">
        <f t="shared" si="22"/>
        <v>0</v>
      </c>
    </row>
    <row r="254" spans="1:12" x14ac:dyDescent="0.2">
      <c r="A254" s="1484">
        <v>1820</v>
      </c>
      <c r="B254" s="172" t="s">
        <v>207</v>
      </c>
      <c r="C254" s="173">
        <v>142098</v>
      </c>
      <c r="D254" s="173">
        <v>140238</v>
      </c>
      <c r="E254" s="191">
        <f t="shared" si="23"/>
        <v>1860</v>
      </c>
      <c r="F254" s="173"/>
      <c r="G254" s="191">
        <f t="shared" si="24"/>
        <v>1860</v>
      </c>
      <c r="H254" s="250">
        <v>30</v>
      </c>
      <c r="I254" s="252">
        <f t="shared" si="20"/>
        <v>3.3333333333333333E-2</v>
      </c>
      <c r="J254" s="191">
        <f t="shared" si="21"/>
        <v>62</v>
      </c>
      <c r="K254" s="173">
        <v>62</v>
      </c>
      <c r="L254" s="191">
        <f t="shared" si="22"/>
        <v>0</v>
      </c>
    </row>
    <row r="255" spans="1:12" x14ac:dyDescent="0.2">
      <c r="A255" s="1484">
        <v>1825</v>
      </c>
      <c r="B255" s="180" t="s">
        <v>270</v>
      </c>
      <c r="C255" s="173"/>
      <c r="D255" s="173"/>
      <c r="E255" s="191">
        <f t="shared" si="23"/>
        <v>0</v>
      </c>
      <c r="F255" s="173"/>
      <c r="G255" s="191">
        <f t="shared" si="24"/>
        <v>0</v>
      </c>
      <c r="H255" s="250"/>
      <c r="I255" s="252">
        <f t="shared" si="20"/>
        <v>0</v>
      </c>
      <c r="J255" s="191">
        <f t="shared" si="21"/>
        <v>0</v>
      </c>
      <c r="K255" s="173"/>
      <c r="L255" s="191">
        <f t="shared" si="22"/>
        <v>0</v>
      </c>
    </row>
    <row r="256" spans="1:12" x14ac:dyDescent="0.2">
      <c r="A256" s="1484">
        <v>1830</v>
      </c>
      <c r="B256" s="180" t="s">
        <v>271</v>
      </c>
      <c r="C256" s="173">
        <v>1170164</v>
      </c>
      <c r="D256" s="173">
        <v>114518.99999999981</v>
      </c>
      <c r="E256" s="191">
        <f t="shared" si="23"/>
        <v>1055645.0000000002</v>
      </c>
      <c r="F256" s="173">
        <v>56000</v>
      </c>
      <c r="G256" s="191">
        <f t="shared" si="24"/>
        <v>1083645.0000000002</v>
      </c>
      <c r="H256" s="250">
        <v>45</v>
      </c>
      <c r="I256" s="252">
        <f t="shared" si="20"/>
        <v>2.2222222222222223E-2</v>
      </c>
      <c r="J256" s="191">
        <f t="shared" si="21"/>
        <v>24081.000000000004</v>
      </c>
      <c r="K256" s="173">
        <v>24081</v>
      </c>
      <c r="L256" s="191">
        <f t="shared" si="22"/>
        <v>3.637978807091713E-12</v>
      </c>
    </row>
    <row r="257" spans="1:12" x14ac:dyDescent="0.2">
      <c r="A257" s="1484">
        <v>1835</v>
      </c>
      <c r="B257" s="180" t="s">
        <v>208</v>
      </c>
      <c r="C257" s="173">
        <v>6546230</v>
      </c>
      <c r="D257" s="173">
        <v>4236751.5000000019</v>
      </c>
      <c r="E257" s="191">
        <f t="shared" si="23"/>
        <v>2309478.4999999981</v>
      </c>
      <c r="F257" s="173">
        <v>59003</v>
      </c>
      <c r="G257" s="191">
        <f t="shared" si="24"/>
        <v>2338979.9999999981</v>
      </c>
      <c r="H257" s="250">
        <v>60</v>
      </c>
      <c r="I257" s="252">
        <f t="shared" si="20"/>
        <v>1.6666666666666666E-2</v>
      </c>
      <c r="J257" s="191">
        <f t="shared" si="21"/>
        <v>38982.999999999971</v>
      </c>
      <c r="K257" s="173">
        <v>38983</v>
      </c>
      <c r="L257" s="191">
        <f t="shared" si="22"/>
        <v>-2.9103830456733704E-11</v>
      </c>
    </row>
    <row r="258" spans="1:12" x14ac:dyDescent="0.2">
      <c r="A258" s="1484">
        <v>1840</v>
      </c>
      <c r="B258" s="180" t="s">
        <v>209</v>
      </c>
      <c r="C258" s="173">
        <v>2396428</v>
      </c>
      <c r="D258" s="173">
        <v>147178.00000000003</v>
      </c>
      <c r="E258" s="191">
        <f t="shared" si="23"/>
        <v>2249250</v>
      </c>
      <c r="F258" s="173">
        <v>155000</v>
      </c>
      <c r="G258" s="191">
        <f t="shared" si="24"/>
        <v>2326750</v>
      </c>
      <c r="H258" s="250">
        <v>50</v>
      </c>
      <c r="I258" s="252">
        <f t="shared" si="20"/>
        <v>0.02</v>
      </c>
      <c r="J258" s="191">
        <f t="shared" si="21"/>
        <v>46535</v>
      </c>
      <c r="K258" s="173">
        <v>46535</v>
      </c>
      <c r="L258" s="191">
        <f t="shared" si="22"/>
        <v>0</v>
      </c>
    </row>
    <row r="259" spans="1:12" x14ac:dyDescent="0.2">
      <c r="A259" s="1484">
        <v>1845</v>
      </c>
      <c r="B259" s="180" t="s">
        <v>210</v>
      </c>
      <c r="C259" s="173">
        <v>8748875</v>
      </c>
      <c r="D259" s="173">
        <v>3978875</v>
      </c>
      <c r="E259" s="191">
        <f t="shared" si="23"/>
        <v>4770000</v>
      </c>
      <c r="F259" s="173">
        <v>250000</v>
      </c>
      <c r="G259" s="191">
        <f t="shared" si="24"/>
        <v>4895000</v>
      </c>
      <c r="H259" s="250">
        <v>40</v>
      </c>
      <c r="I259" s="252">
        <f t="shared" si="20"/>
        <v>2.5000000000000001E-2</v>
      </c>
      <c r="J259" s="191">
        <f t="shared" si="21"/>
        <v>122375</v>
      </c>
      <c r="K259" s="173">
        <v>122375</v>
      </c>
      <c r="L259" s="191">
        <f t="shared" si="22"/>
        <v>0</v>
      </c>
    </row>
    <row r="260" spans="1:12" x14ac:dyDescent="0.2">
      <c r="A260" s="1484">
        <v>1850</v>
      </c>
      <c r="B260" s="180" t="s">
        <v>272</v>
      </c>
      <c r="C260" s="173">
        <v>6806028</v>
      </c>
      <c r="D260" s="173">
        <v>2905028.0000000009</v>
      </c>
      <c r="E260" s="191">
        <f t="shared" si="23"/>
        <v>3900999.9999999991</v>
      </c>
      <c r="F260" s="173">
        <v>188000</v>
      </c>
      <c r="G260" s="191">
        <f t="shared" si="24"/>
        <v>3994999.9999999991</v>
      </c>
      <c r="H260" s="250">
        <v>40</v>
      </c>
      <c r="I260" s="252">
        <f t="shared" si="20"/>
        <v>2.5000000000000001E-2</v>
      </c>
      <c r="J260" s="191">
        <f t="shared" si="21"/>
        <v>99874.999999999971</v>
      </c>
      <c r="K260" s="173">
        <v>99875</v>
      </c>
      <c r="L260" s="191">
        <f t="shared" si="22"/>
        <v>-2.9103830456733704E-11</v>
      </c>
    </row>
    <row r="261" spans="1:12" x14ac:dyDescent="0.2">
      <c r="A261" s="1484">
        <v>1851</v>
      </c>
      <c r="B261" s="180" t="s">
        <v>1416</v>
      </c>
      <c r="C261" s="173">
        <v>10515</v>
      </c>
      <c r="D261" s="173">
        <v>-5.0000000000014779</v>
      </c>
      <c r="E261" s="191">
        <f t="shared" si="23"/>
        <v>10520.000000000002</v>
      </c>
      <c r="F261" s="173"/>
      <c r="G261" s="191">
        <f t="shared" si="24"/>
        <v>10520.000000000002</v>
      </c>
      <c r="H261" s="250">
        <v>20</v>
      </c>
      <c r="I261" s="252">
        <f t="shared" si="20"/>
        <v>0.05</v>
      </c>
      <c r="J261" s="191">
        <f t="shared" si="21"/>
        <v>526.00000000000011</v>
      </c>
      <c r="K261" s="173">
        <v>526</v>
      </c>
      <c r="L261" s="191">
        <f t="shared" si="22"/>
        <v>1.1368683772161603E-13</v>
      </c>
    </row>
    <row r="262" spans="1:12" ht="25.5" x14ac:dyDescent="0.2">
      <c r="A262" s="1484">
        <v>1852</v>
      </c>
      <c r="B262" s="180" t="s">
        <v>1422</v>
      </c>
      <c r="C262" s="173">
        <v>79945</v>
      </c>
      <c r="D262" s="173">
        <v>-10054.999999999996</v>
      </c>
      <c r="E262" s="191">
        <f t="shared" si="23"/>
        <v>90000</v>
      </c>
      <c r="F262" s="173">
        <v>18000</v>
      </c>
      <c r="G262" s="191">
        <f t="shared" si="24"/>
        <v>99000</v>
      </c>
      <c r="H262" s="250">
        <v>60</v>
      </c>
      <c r="I262" s="252">
        <f t="shared" si="20"/>
        <v>1.6666666666666666E-2</v>
      </c>
      <c r="J262" s="191">
        <f t="shared" si="21"/>
        <v>1650</v>
      </c>
      <c r="K262" s="173">
        <v>1650</v>
      </c>
      <c r="L262" s="191">
        <f t="shared" si="22"/>
        <v>0</v>
      </c>
    </row>
    <row r="263" spans="1:12" x14ac:dyDescent="0.2">
      <c r="A263" s="1484">
        <v>1855</v>
      </c>
      <c r="B263" s="180" t="s">
        <v>211</v>
      </c>
      <c r="C263" s="173">
        <v>1159062</v>
      </c>
      <c r="D263" s="173">
        <v>-37462.999999999971</v>
      </c>
      <c r="E263" s="191">
        <f t="shared" si="23"/>
        <v>1196525</v>
      </c>
      <c r="F263" s="173">
        <v>59000</v>
      </c>
      <c r="G263" s="191">
        <f t="shared" si="24"/>
        <v>1226025</v>
      </c>
      <c r="H263" s="250">
        <v>25</v>
      </c>
      <c r="I263" s="252">
        <f t="shared" si="20"/>
        <v>0.04</v>
      </c>
      <c r="J263" s="191">
        <f t="shared" si="21"/>
        <v>49041</v>
      </c>
      <c r="K263" s="173">
        <v>49041</v>
      </c>
      <c r="L263" s="191">
        <f t="shared" si="22"/>
        <v>0</v>
      </c>
    </row>
    <row r="264" spans="1:12" x14ac:dyDescent="0.2">
      <c r="A264" s="1484">
        <v>1860</v>
      </c>
      <c r="B264" s="180" t="s">
        <v>273</v>
      </c>
      <c r="C264" s="173"/>
      <c r="D264" s="173"/>
      <c r="E264" s="191">
        <f t="shared" si="23"/>
        <v>0</v>
      </c>
      <c r="F264" s="173"/>
      <c r="G264" s="191">
        <f t="shared" si="24"/>
        <v>0</v>
      </c>
      <c r="H264" s="250"/>
      <c r="I264" s="252">
        <f t="shared" si="20"/>
        <v>0</v>
      </c>
      <c r="J264" s="191">
        <f t="shared" si="21"/>
        <v>0</v>
      </c>
      <c r="K264" s="173"/>
      <c r="L264" s="191">
        <f t="shared" si="22"/>
        <v>0</v>
      </c>
    </row>
    <row r="265" spans="1:12" ht="25.5" x14ac:dyDescent="0.2">
      <c r="A265" s="1484">
        <v>1861</v>
      </c>
      <c r="B265" s="180" t="s">
        <v>1423</v>
      </c>
      <c r="C265" s="173">
        <v>1333006</v>
      </c>
      <c r="D265" s="173">
        <v>-3873.9999999998254</v>
      </c>
      <c r="E265" s="191">
        <f t="shared" si="23"/>
        <v>1336879.9999999998</v>
      </c>
      <c r="F265" s="173">
        <v>2000</v>
      </c>
      <c r="G265" s="191">
        <f t="shared" si="24"/>
        <v>1337879.9999999998</v>
      </c>
      <c r="H265" s="250">
        <v>10</v>
      </c>
      <c r="I265" s="252">
        <f t="shared" si="20"/>
        <v>0.1</v>
      </c>
      <c r="J265" s="191">
        <f t="shared" si="21"/>
        <v>133787.99999999997</v>
      </c>
      <c r="K265" s="173">
        <v>133788</v>
      </c>
      <c r="L265" s="191">
        <f t="shared" si="22"/>
        <v>-2.9103830456733704E-11</v>
      </c>
    </row>
    <row r="266" spans="1:12" x14ac:dyDescent="0.2">
      <c r="A266" s="1484">
        <v>1862</v>
      </c>
      <c r="B266" s="180" t="s">
        <v>1397</v>
      </c>
      <c r="C266" s="173">
        <v>352576</v>
      </c>
      <c r="D266" s="173">
        <v>-198293.99999999994</v>
      </c>
      <c r="E266" s="191">
        <f t="shared" si="23"/>
        <v>550870</v>
      </c>
      <c r="F266" s="173">
        <v>28000</v>
      </c>
      <c r="G266" s="191">
        <f t="shared" si="24"/>
        <v>564870</v>
      </c>
      <c r="H266" s="250">
        <v>15</v>
      </c>
      <c r="I266" s="252">
        <f t="shared" si="20"/>
        <v>6.6666666666666666E-2</v>
      </c>
      <c r="J266" s="191">
        <f t="shared" si="21"/>
        <v>37658</v>
      </c>
      <c r="K266" s="173">
        <v>37658</v>
      </c>
      <c r="L266" s="191">
        <f t="shared" si="22"/>
        <v>0</v>
      </c>
    </row>
    <row r="267" spans="1:12" x14ac:dyDescent="0.2">
      <c r="A267" s="1484">
        <v>1863</v>
      </c>
      <c r="B267" s="180" t="s">
        <v>1398</v>
      </c>
      <c r="C267" s="173">
        <v>6013</v>
      </c>
      <c r="D267" s="173">
        <v>-2.0000000000030127</v>
      </c>
      <c r="E267" s="191">
        <f t="shared" si="23"/>
        <v>6015.0000000000027</v>
      </c>
      <c r="F267" s="173">
        <v>6000</v>
      </c>
      <c r="G267" s="191">
        <f t="shared" si="24"/>
        <v>9015.0000000000036</v>
      </c>
      <c r="H267" s="250">
        <v>15</v>
      </c>
      <c r="I267" s="252">
        <f t="shared" si="20"/>
        <v>6.6666666666666666E-2</v>
      </c>
      <c r="J267" s="191">
        <f t="shared" si="21"/>
        <v>601.00000000000023</v>
      </c>
      <c r="K267" s="173">
        <v>601</v>
      </c>
      <c r="L267" s="191">
        <f t="shared" si="22"/>
        <v>2.2737367544323206E-13</v>
      </c>
    </row>
    <row r="268" spans="1:12" x14ac:dyDescent="0.2">
      <c r="A268" s="1484">
        <v>1864</v>
      </c>
      <c r="B268" s="180" t="s">
        <v>1424</v>
      </c>
      <c r="C268" s="173">
        <v>111232</v>
      </c>
      <c r="D268" s="173">
        <v>-22508.000000000018</v>
      </c>
      <c r="E268" s="191">
        <f t="shared" si="23"/>
        <v>133740.00000000003</v>
      </c>
      <c r="F268" s="173">
        <v>1000</v>
      </c>
      <c r="G268" s="191">
        <f t="shared" si="24"/>
        <v>134240.00000000003</v>
      </c>
      <c r="H268" s="250">
        <v>40</v>
      </c>
      <c r="I268" s="252">
        <f t="shared" si="20"/>
        <v>2.5000000000000001E-2</v>
      </c>
      <c r="J268" s="191">
        <f t="shared" si="21"/>
        <v>3356.0000000000009</v>
      </c>
      <c r="K268" s="173">
        <v>3356</v>
      </c>
      <c r="L268" s="191">
        <f t="shared" si="22"/>
        <v>9.0949470177292824E-13</v>
      </c>
    </row>
    <row r="269" spans="1:12" x14ac:dyDescent="0.2">
      <c r="A269" s="253">
        <v>1860</v>
      </c>
      <c r="B269" s="179" t="s">
        <v>212</v>
      </c>
      <c r="C269" s="173"/>
      <c r="D269" s="173"/>
      <c r="E269" s="191">
        <f t="shared" si="23"/>
        <v>0</v>
      </c>
      <c r="F269" s="173"/>
      <c r="G269" s="191">
        <f t="shared" si="24"/>
        <v>0</v>
      </c>
      <c r="H269" s="250"/>
      <c r="I269" s="252">
        <f t="shared" si="20"/>
        <v>0</v>
      </c>
      <c r="J269" s="191">
        <f t="shared" si="21"/>
        <v>0</v>
      </c>
      <c r="K269" s="173"/>
      <c r="L269" s="191">
        <f t="shared" si="22"/>
        <v>0</v>
      </c>
    </row>
    <row r="270" spans="1:12" x14ac:dyDescent="0.2">
      <c r="A270" s="253">
        <v>1905</v>
      </c>
      <c r="B270" s="179" t="s">
        <v>267</v>
      </c>
      <c r="C270" s="173">
        <v>171765</v>
      </c>
      <c r="D270" s="173">
        <v>0</v>
      </c>
      <c r="E270" s="191">
        <f t="shared" si="23"/>
        <v>171765</v>
      </c>
      <c r="F270" s="173"/>
      <c r="G270" s="191">
        <f t="shared" si="24"/>
        <v>171765</v>
      </c>
      <c r="H270" s="250"/>
      <c r="I270" s="252">
        <f t="shared" si="20"/>
        <v>0</v>
      </c>
      <c r="J270" s="191">
        <f t="shared" si="21"/>
        <v>0</v>
      </c>
      <c r="K270" s="173"/>
      <c r="L270" s="191">
        <f t="shared" si="22"/>
        <v>0</v>
      </c>
    </row>
    <row r="271" spans="1:12" x14ac:dyDescent="0.2">
      <c r="A271" s="1484">
        <v>1908</v>
      </c>
      <c r="B271" s="180" t="s">
        <v>275</v>
      </c>
      <c r="C271" s="173">
        <v>432288</v>
      </c>
      <c r="D271" s="173">
        <v>-59612.000000000073</v>
      </c>
      <c r="E271" s="191">
        <f t="shared" si="23"/>
        <v>491900.00000000006</v>
      </c>
      <c r="F271" s="173">
        <v>2000</v>
      </c>
      <c r="G271" s="191">
        <f t="shared" si="24"/>
        <v>492900.00000000006</v>
      </c>
      <c r="H271" s="250">
        <v>50</v>
      </c>
      <c r="I271" s="252">
        <f t="shared" si="20"/>
        <v>0.02</v>
      </c>
      <c r="J271" s="191">
        <f t="shared" si="21"/>
        <v>9858.0000000000018</v>
      </c>
      <c r="K271" s="173">
        <v>9858</v>
      </c>
      <c r="L271" s="191">
        <f t="shared" si="22"/>
        <v>1.8189894035458565E-12</v>
      </c>
    </row>
    <row r="272" spans="1:12" x14ac:dyDescent="0.2">
      <c r="A272" s="1484">
        <v>1910</v>
      </c>
      <c r="B272" s="180" t="s">
        <v>299</v>
      </c>
      <c r="C272" s="173"/>
      <c r="D272" s="173"/>
      <c r="E272" s="191">
        <f t="shared" si="23"/>
        <v>0</v>
      </c>
      <c r="F272" s="173"/>
      <c r="G272" s="191">
        <f t="shared" si="24"/>
        <v>0</v>
      </c>
      <c r="H272" s="250"/>
      <c r="I272" s="252">
        <f t="shared" si="20"/>
        <v>0</v>
      </c>
      <c r="J272" s="191">
        <f t="shared" si="21"/>
        <v>0</v>
      </c>
      <c r="K272" s="173"/>
      <c r="L272" s="191">
        <f t="shared" si="22"/>
        <v>0</v>
      </c>
    </row>
    <row r="273" spans="1:12" x14ac:dyDescent="0.2">
      <c r="A273" s="1484">
        <v>1915</v>
      </c>
      <c r="B273" s="180" t="s">
        <v>213</v>
      </c>
      <c r="C273" s="173">
        <v>301992</v>
      </c>
      <c r="D273" s="173">
        <v>212231.99999999997</v>
      </c>
      <c r="E273" s="191">
        <f t="shared" si="23"/>
        <v>89760.000000000029</v>
      </c>
      <c r="F273" s="173">
        <v>16000</v>
      </c>
      <c r="G273" s="191">
        <f t="shared" si="24"/>
        <v>97760.000000000029</v>
      </c>
      <c r="H273" s="250">
        <v>10</v>
      </c>
      <c r="I273" s="252">
        <f t="shared" si="20"/>
        <v>0.1</v>
      </c>
      <c r="J273" s="191">
        <f t="shared" si="21"/>
        <v>9776.0000000000036</v>
      </c>
      <c r="K273" s="173">
        <v>9776</v>
      </c>
      <c r="L273" s="191">
        <f t="shared" si="22"/>
        <v>3.637978807091713E-12</v>
      </c>
    </row>
    <row r="274" spans="1:12" x14ac:dyDescent="0.2">
      <c r="A274" s="1484">
        <v>1915</v>
      </c>
      <c r="B274" s="180" t="s">
        <v>214</v>
      </c>
      <c r="C274" s="173"/>
      <c r="D274" s="173"/>
      <c r="E274" s="191">
        <f t="shared" si="23"/>
        <v>0</v>
      </c>
      <c r="F274" s="173"/>
      <c r="G274" s="191">
        <f t="shared" si="24"/>
        <v>0</v>
      </c>
      <c r="H274" s="250"/>
      <c r="I274" s="252">
        <f t="shared" si="20"/>
        <v>0</v>
      </c>
      <c r="J274" s="191">
        <f t="shared" si="21"/>
        <v>0</v>
      </c>
      <c r="K274" s="173"/>
      <c r="L274" s="191">
        <f t="shared" si="22"/>
        <v>0</v>
      </c>
    </row>
    <row r="275" spans="1:12" x14ac:dyDescent="0.2">
      <c r="A275" s="1484">
        <v>1920</v>
      </c>
      <c r="B275" s="180" t="s">
        <v>215</v>
      </c>
      <c r="C275" s="173">
        <v>455765</v>
      </c>
      <c r="D275" s="173">
        <v>363290</v>
      </c>
      <c r="E275" s="191">
        <f t="shared" si="23"/>
        <v>92475</v>
      </c>
      <c r="F275" s="173">
        <v>500</v>
      </c>
      <c r="G275" s="191">
        <f t="shared" si="24"/>
        <v>92725</v>
      </c>
      <c r="H275" s="250">
        <v>5</v>
      </c>
      <c r="I275" s="252">
        <f t="shared" si="20"/>
        <v>0.2</v>
      </c>
      <c r="J275" s="191">
        <f t="shared" si="21"/>
        <v>18545</v>
      </c>
      <c r="K275" s="173">
        <v>18545</v>
      </c>
      <c r="L275" s="191">
        <f t="shared" si="22"/>
        <v>0</v>
      </c>
    </row>
    <row r="276" spans="1:12" x14ac:dyDescent="0.2">
      <c r="A276" s="254">
        <v>1920</v>
      </c>
      <c r="B276" s="172" t="s">
        <v>217</v>
      </c>
      <c r="C276" s="173"/>
      <c r="D276" s="173"/>
      <c r="E276" s="191">
        <f t="shared" si="23"/>
        <v>0</v>
      </c>
      <c r="F276" s="173"/>
      <c r="G276" s="191">
        <f t="shared" si="24"/>
        <v>0</v>
      </c>
      <c r="H276" s="250"/>
      <c r="I276" s="252">
        <f t="shared" si="20"/>
        <v>0</v>
      </c>
      <c r="J276" s="191">
        <f t="shared" si="21"/>
        <v>0</v>
      </c>
      <c r="K276" s="173"/>
      <c r="L276" s="191">
        <f t="shared" si="22"/>
        <v>0</v>
      </c>
    </row>
    <row r="277" spans="1:12" x14ac:dyDescent="0.2">
      <c r="A277" s="254">
        <v>1920</v>
      </c>
      <c r="B277" s="172" t="s">
        <v>216</v>
      </c>
      <c r="C277" s="173"/>
      <c r="D277" s="173"/>
      <c r="E277" s="191">
        <f t="shared" si="23"/>
        <v>0</v>
      </c>
      <c r="F277" s="173"/>
      <c r="G277" s="191">
        <f t="shared" si="24"/>
        <v>0</v>
      </c>
      <c r="H277" s="250"/>
      <c r="I277" s="252">
        <f t="shared" si="20"/>
        <v>0</v>
      </c>
      <c r="J277" s="191">
        <f t="shared" si="21"/>
        <v>0</v>
      </c>
      <c r="K277" s="173"/>
      <c r="L277" s="191">
        <f t="shared" si="22"/>
        <v>0</v>
      </c>
    </row>
    <row r="278" spans="1:12" x14ac:dyDescent="0.2">
      <c r="A278" s="1484">
        <v>1930</v>
      </c>
      <c r="B278" s="180" t="s">
        <v>286</v>
      </c>
      <c r="C278" s="173"/>
      <c r="D278" s="173"/>
      <c r="E278" s="191">
        <f t="shared" si="23"/>
        <v>0</v>
      </c>
      <c r="F278" s="173"/>
      <c r="G278" s="191">
        <f t="shared" si="24"/>
        <v>0</v>
      </c>
      <c r="H278" s="250">
        <v>8</v>
      </c>
      <c r="I278" s="252">
        <f t="shared" si="20"/>
        <v>0.125</v>
      </c>
      <c r="J278" s="191">
        <f t="shared" si="21"/>
        <v>0</v>
      </c>
      <c r="K278" s="173"/>
      <c r="L278" s="191">
        <f t="shared" si="22"/>
        <v>0</v>
      </c>
    </row>
    <row r="279" spans="1:12" x14ac:dyDescent="0.2">
      <c r="A279" s="1484">
        <v>1931</v>
      </c>
      <c r="B279" s="180" t="s">
        <v>1425</v>
      </c>
      <c r="C279" s="173">
        <v>138061</v>
      </c>
      <c r="D279" s="173">
        <v>-62874.000000000102</v>
      </c>
      <c r="E279" s="191">
        <f t="shared" si="23"/>
        <v>200935.00000000012</v>
      </c>
      <c r="F279" s="173">
        <v>445000</v>
      </c>
      <c r="G279" s="191">
        <f t="shared" si="24"/>
        <v>423435.00000000012</v>
      </c>
      <c r="H279" s="250">
        <v>15</v>
      </c>
      <c r="I279" s="252">
        <f t="shared" si="20"/>
        <v>6.6666666666666666E-2</v>
      </c>
      <c r="J279" s="191">
        <f t="shared" si="21"/>
        <v>28229.000000000007</v>
      </c>
      <c r="K279" s="173">
        <v>28229</v>
      </c>
      <c r="L279" s="191">
        <f t="shared" si="22"/>
        <v>7.2759576141834259E-12</v>
      </c>
    </row>
    <row r="280" spans="1:12" x14ac:dyDescent="0.2">
      <c r="A280" s="1484">
        <v>1932</v>
      </c>
      <c r="B280" s="180" t="s">
        <v>1426</v>
      </c>
      <c r="C280" s="173">
        <v>171179</v>
      </c>
      <c r="D280" s="173">
        <v>124227</v>
      </c>
      <c r="E280" s="191">
        <f t="shared" si="23"/>
        <v>46952</v>
      </c>
      <c r="F280" s="173"/>
      <c r="G280" s="191">
        <f t="shared" si="24"/>
        <v>46952</v>
      </c>
      <c r="H280" s="250">
        <v>8</v>
      </c>
      <c r="I280" s="252">
        <f t="shared" si="20"/>
        <v>0.125</v>
      </c>
      <c r="J280" s="191">
        <f t="shared" si="21"/>
        <v>5869</v>
      </c>
      <c r="K280" s="173">
        <v>5869</v>
      </c>
      <c r="L280" s="191">
        <f t="shared" si="22"/>
        <v>0</v>
      </c>
    </row>
    <row r="281" spans="1:12" x14ac:dyDescent="0.2">
      <c r="A281" s="1484">
        <v>1933</v>
      </c>
      <c r="B281" s="180" t="s">
        <v>1403</v>
      </c>
      <c r="C281" s="173">
        <v>70712</v>
      </c>
      <c r="D281" s="173">
        <v>1.9999999999836291</v>
      </c>
      <c r="E281" s="191">
        <f t="shared" si="23"/>
        <v>70710.000000000015</v>
      </c>
      <c r="F281" s="173"/>
      <c r="G281" s="191">
        <f t="shared" si="24"/>
        <v>70710.000000000015</v>
      </c>
      <c r="H281" s="250">
        <v>10</v>
      </c>
      <c r="I281" s="252">
        <f t="shared" si="20"/>
        <v>0.1</v>
      </c>
      <c r="J281" s="191">
        <f t="shared" si="21"/>
        <v>7071.0000000000018</v>
      </c>
      <c r="K281" s="173">
        <v>7071</v>
      </c>
      <c r="L281" s="191">
        <f t="shared" si="22"/>
        <v>1.8189894035458565E-12</v>
      </c>
    </row>
    <row r="282" spans="1:12" x14ac:dyDescent="0.2">
      <c r="A282" s="1484">
        <v>1935</v>
      </c>
      <c r="B282" s="180" t="s">
        <v>287</v>
      </c>
      <c r="C282" s="173"/>
      <c r="D282" s="173"/>
      <c r="E282" s="191">
        <f t="shared" si="23"/>
        <v>0</v>
      </c>
      <c r="F282" s="173"/>
      <c r="G282" s="191">
        <f t="shared" si="24"/>
        <v>0</v>
      </c>
      <c r="H282" s="250"/>
      <c r="I282" s="252">
        <f t="shared" si="20"/>
        <v>0</v>
      </c>
      <c r="J282" s="191">
        <f t="shared" si="21"/>
        <v>0</v>
      </c>
      <c r="K282" s="173"/>
      <c r="L282" s="191">
        <f t="shared" si="22"/>
        <v>0</v>
      </c>
    </row>
    <row r="283" spans="1:12" x14ac:dyDescent="0.2">
      <c r="A283" s="1484">
        <v>1940</v>
      </c>
      <c r="B283" s="180" t="s">
        <v>288</v>
      </c>
      <c r="C283" s="173">
        <v>393936</v>
      </c>
      <c r="D283" s="173">
        <v>340316</v>
      </c>
      <c r="E283" s="191">
        <f t="shared" si="23"/>
        <v>53620</v>
      </c>
      <c r="F283" s="173"/>
      <c r="G283" s="191">
        <f t="shared" si="24"/>
        <v>53620</v>
      </c>
      <c r="H283" s="250">
        <v>10</v>
      </c>
      <c r="I283" s="252">
        <f t="shared" si="20"/>
        <v>0.1</v>
      </c>
      <c r="J283" s="191">
        <f t="shared" si="21"/>
        <v>5362</v>
      </c>
      <c r="K283" s="173">
        <v>5362</v>
      </c>
      <c r="L283" s="191">
        <f t="shared" si="22"/>
        <v>0</v>
      </c>
    </row>
    <row r="284" spans="1:12" x14ac:dyDescent="0.2">
      <c r="A284" s="1484">
        <v>1945</v>
      </c>
      <c r="B284" s="180" t="s">
        <v>289</v>
      </c>
      <c r="C284" s="173"/>
      <c r="D284" s="173"/>
      <c r="E284" s="191">
        <f t="shared" si="23"/>
        <v>0</v>
      </c>
      <c r="F284" s="173"/>
      <c r="G284" s="191">
        <f t="shared" si="24"/>
        <v>0</v>
      </c>
      <c r="H284" s="250"/>
      <c r="I284" s="252">
        <f t="shared" si="20"/>
        <v>0</v>
      </c>
      <c r="J284" s="191">
        <f t="shared" si="21"/>
        <v>0</v>
      </c>
      <c r="K284" s="173"/>
      <c r="L284" s="191">
        <f t="shared" si="22"/>
        <v>0</v>
      </c>
    </row>
    <row r="285" spans="1:12" x14ac:dyDescent="0.2">
      <c r="A285" s="1484">
        <v>1950</v>
      </c>
      <c r="B285" s="180" t="s">
        <v>218</v>
      </c>
      <c r="C285" s="173"/>
      <c r="D285" s="173"/>
      <c r="E285" s="191">
        <f t="shared" si="23"/>
        <v>0</v>
      </c>
      <c r="F285" s="173"/>
      <c r="G285" s="191">
        <f t="shared" si="24"/>
        <v>0</v>
      </c>
      <c r="H285" s="250"/>
      <c r="I285" s="252">
        <f t="shared" si="20"/>
        <v>0</v>
      </c>
      <c r="J285" s="191">
        <f t="shared" si="21"/>
        <v>0</v>
      </c>
      <c r="K285" s="173"/>
      <c r="L285" s="191">
        <f t="shared" si="22"/>
        <v>0</v>
      </c>
    </row>
    <row r="286" spans="1:12" x14ac:dyDescent="0.2">
      <c r="A286" s="1484">
        <v>1955</v>
      </c>
      <c r="B286" s="180" t="s">
        <v>290</v>
      </c>
      <c r="C286" s="173">
        <v>36873</v>
      </c>
      <c r="D286" s="173">
        <v>24603</v>
      </c>
      <c r="E286" s="191">
        <f t="shared" si="23"/>
        <v>12270</v>
      </c>
      <c r="F286" s="173"/>
      <c r="G286" s="191">
        <f t="shared" si="24"/>
        <v>12270</v>
      </c>
      <c r="H286" s="250">
        <v>10</v>
      </c>
      <c r="I286" s="252">
        <f t="shared" si="20"/>
        <v>0.1</v>
      </c>
      <c r="J286" s="191">
        <f t="shared" si="21"/>
        <v>1227</v>
      </c>
      <c r="K286" s="173">
        <v>1227</v>
      </c>
      <c r="L286" s="191">
        <f t="shared" si="22"/>
        <v>0</v>
      </c>
    </row>
    <row r="287" spans="1:12" x14ac:dyDescent="0.2">
      <c r="A287" s="255">
        <v>1955</v>
      </c>
      <c r="B287" s="184" t="s">
        <v>219</v>
      </c>
      <c r="C287" s="173"/>
      <c r="D287" s="173"/>
      <c r="E287" s="191">
        <f t="shared" si="23"/>
        <v>0</v>
      </c>
      <c r="F287" s="173"/>
      <c r="G287" s="191">
        <f t="shared" si="24"/>
        <v>0</v>
      </c>
      <c r="H287" s="250"/>
      <c r="I287" s="252">
        <f t="shared" si="20"/>
        <v>0</v>
      </c>
      <c r="J287" s="191">
        <f t="shared" si="21"/>
        <v>0</v>
      </c>
      <c r="K287" s="173"/>
      <c r="L287" s="191">
        <f t="shared" si="22"/>
        <v>0</v>
      </c>
    </row>
    <row r="288" spans="1:12" x14ac:dyDescent="0.2">
      <c r="A288" s="254">
        <v>1960</v>
      </c>
      <c r="B288" s="172" t="s">
        <v>220</v>
      </c>
      <c r="C288" s="173"/>
      <c r="D288" s="173"/>
      <c r="E288" s="191">
        <f t="shared" si="23"/>
        <v>0</v>
      </c>
      <c r="F288" s="173"/>
      <c r="G288" s="191">
        <f t="shared" si="24"/>
        <v>0</v>
      </c>
      <c r="H288" s="250"/>
      <c r="I288" s="252">
        <f t="shared" si="20"/>
        <v>0</v>
      </c>
      <c r="J288" s="191">
        <f t="shared" si="21"/>
        <v>0</v>
      </c>
      <c r="K288" s="173"/>
      <c r="L288" s="191">
        <f t="shared" si="22"/>
        <v>0</v>
      </c>
    </row>
    <row r="289" spans="1:13" x14ac:dyDescent="0.2">
      <c r="A289" s="254">
        <v>1970</v>
      </c>
      <c r="B289" s="1482" t="s">
        <v>535</v>
      </c>
      <c r="C289" s="173"/>
      <c r="D289" s="173"/>
      <c r="E289" s="191">
        <f t="shared" si="23"/>
        <v>0</v>
      </c>
      <c r="F289" s="173"/>
      <c r="G289" s="191">
        <f t="shared" si="24"/>
        <v>0</v>
      </c>
      <c r="H289" s="250"/>
      <c r="I289" s="252">
        <f t="shared" si="20"/>
        <v>0</v>
      </c>
      <c r="J289" s="191">
        <f t="shared" si="21"/>
        <v>0</v>
      </c>
      <c r="K289" s="173"/>
      <c r="L289" s="191">
        <f t="shared" si="22"/>
        <v>0</v>
      </c>
    </row>
    <row r="290" spans="1:13" x14ac:dyDescent="0.2">
      <c r="A290" s="1484">
        <v>1975</v>
      </c>
      <c r="B290" s="180" t="s">
        <v>291</v>
      </c>
      <c r="C290" s="173"/>
      <c r="D290" s="173"/>
      <c r="E290" s="191">
        <f t="shared" si="23"/>
        <v>0</v>
      </c>
      <c r="F290" s="173"/>
      <c r="G290" s="191">
        <f t="shared" si="24"/>
        <v>0</v>
      </c>
      <c r="H290" s="250"/>
      <c r="I290" s="252">
        <f t="shared" si="20"/>
        <v>0</v>
      </c>
      <c r="J290" s="191">
        <f t="shared" si="21"/>
        <v>0</v>
      </c>
      <c r="K290" s="173"/>
      <c r="L290" s="191">
        <f t="shared" si="22"/>
        <v>0</v>
      </c>
    </row>
    <row r="291" spans="1:13" x14ac:dyDescent="0.2">
      <c r="A291" s="1484">
        <v>1980</v>
      </c>
      <c r="B291" s="180" t="s">
        <v>292</v>
      </c>
      <c r="C291" s="173"/>
      <c r="D291" s="173"/>
      <c r="E291" s="191">
        <f t="shared" si="23"/>
        <v>0</v>
      </c>
      <c r="F291" s="173"/>
      <c r="G291" s="191">
        <f t="shared" si="24"/>
        <v>0</v>
      </c>
      <c r="H291" s="250"/>
      <c r="I291" s="252">
        <f t="shared" si="20"/>
        <v>0</v>
      </c>
      <c r="J291" s="191">
        <f t="shared" si="21"/>
        <v>0</v>
      </c>
      <c r="K291" s="173"/>
      <c r="L291" s="191">
        <f t="shared" si="22"/>
        <v>0</v>
      </c>
    </row>
    <row r="292" spans="1:13" x14ac:dyDescent="0.2">
      <c r="A292" s="1484">
        <v>1985</v>
      </c>
      <c r="B292" s="180" t="s">
        <v>1428</v>
      </c>
      <c r="C292" s="173">
        <v>15</v>
      </c>
      <c r="D292" s="173">
        <v>15</v>
      </c>
      <c r="E292" s="191">
        <f t="shared" si="23"/>
        <v>0</v>
      </c>
      <c r="F292" s="173"/>
      <c r="G292" s="191">
        <f t="shared" si="24"/>
        <v>0</v>
      </c>
      <c r="H292" s="250">
        <v>10</v>
      </c>
      <c r="I292" s="252">
        <f t="shared" si="20"/>
        <v>0.1</v>
      </c>
      <c r="J292" s="191">
        <f t="shared" si="21"/>
        <v>0</v>
      </c>
      <c r="K292" s="173"/>
      <c r="L292" s="191">
        <f t="shared" si="22"/>
        <v>0</v>
      </c>
    </row>
    <row r="293" spans="1:13" x14ac:dyDescent="0.2">
      <c r="A293" s="1484">
        <v>1990</v>
      </c>
      <c r="B293" s="1483" t="s">
        <v>502</v>
      </c>
      <c r="C293" s="173"/>
      <c r="D293" s="173"/>
      <c r="E293" s="191">
        <f t="shared" si="23"/>
        <v>0</v>
      </c>
      <c r="F293" s="173"/>
      <c r="G293" s="191">
        <f t="shared" si="24"/>
        <v>0</v>
      </c>
      <c r="H293" s="250"/>
      <c r="I293" s="252">
        <f t="shared" si="20"/>
        <v>0</v>
      </c>
      <c r="J293" s="191">
        <f t="shared" si="21"/>
        <v>0</v>
      </c>
      <c r="K293" s="173"/>
      <c r="L293" s="191">
        <f t="shared" si="22"/>
        <v>0</v>
      </c>
    </row>
    <row r="294" spans="1:13" ht="13.5" thickBot="1" x14ac:dyDescent="0.25">
      <c r="A294" s="1484">
        <v>1995</v>
      </c>
      <c r="B294" s="180" t="s">
        <v>294</v>
      </c>
      <c r="C294" s="257">
        <v>-6589579</v>
      </c>
      <c r="D294" s="257">
        <v>38804.499999999302</v>
      </c>
      <c r="E294" s="285">
        <f t="shared" si="23"/>
        <v>-6628383.4999999991</v>
      </c>
      <c r="F294" s="257">
        <v>-247033</v>
      </c>
      <c r="G294" s="285">
        <f t="shared" si="24"/>
        <v>-6751899.9999999991</v>
      </c>
      <c r="H294" s="259">
        <v>25</v>
      </c>
      <c r="I294" s="260">
        <f t="shared" si="20"/>
        <v>0.04</v>
      </c>
      <c r="J294" s="285">
        <f t="shared" si="21"/>
        <v>-270075.99999999994</v>
      </c>
      <c r="K294" s="257">
        <v>-270076</v>
      </c>
      <c r="L294" s="285">
        <f t="shared" si="22"/>
        <v>5.8207660913467407E-11</v>
      </c>
    </row>
    <row r="295" spans="1:13" ht="14.25" thickTop="1" thickBot="1" x14ac:dyDescent="0.25">
      <c r="A295" s="261"/>
      <c r="B295" s="262" t="s">
        <v>295</v>
      </c>
      <c r="C295" s="263">
        <f>SUM(C248:C294)</f>
        <v>24710987</v>
      </c>
      <c r="D295" s="263">
        <f>SUM(D248:D294)</f>
        <v>12474713.000000004</v>
      </c>
      <c r="E295" s="263">
        <f>SUM(E248:E294)</f>
        <v>12236273.999999996</v>
      </c>
      <c r="F295" s="263">
        <f>SUM(F248:F294)</f>
        <v>1066470</v>
      </c>
      <c r="G295" s="263">
        <f>SUM(G248:G294)</f>
        <v>12769508.999999996</v>
      </c>
      <c r="H295" s="330"/>
      <c r="I295" s="266"/>
      <c r="J295" s="263">
        <f>SUM(J248:J294)</f>
        <v>381266.99999999994</v>
      </c>
      <c r="K295" s="263">
        <f>SUM(K248:K294)</f>
        <v>381267</v>
      </c>
      <c r="L295" s="263">
        <f>SUM(L248:L294)</f>
        <v>-9.6633812063373625E-12</v>
      </c>
    </row>
    <row r="296" spans="1:13" x14ac:dyDescent="0.2">
      <c r="A296" s="289"/>
      <c r="B296" s="1707" t="s">
        <v>1078</v>
      </c>
      <c r="C296" s="1707"/>
      <c r="D296" s="1707"/>
      <c r="E296" s="1707"/>
      <c r="F296" s="1707"/>
      <c r="G296" s="1707"/>
      <c r="H296" s="1707"/>
      <c r="I296" s="1708"/>
      <c r="J296" s="173"/>
      <c r="K296" s="291"/>
      <c r="L296" s="291"/>
    </row>
    <row r="297" spans="1:13" x14ac:dyDescent="0.2">
      <c r="A297" s="289"/>
      <c r="B297" s="290" t="s">
        <v>937</v>
      </c>
      <c r="C297" s="312"/>
      <c r="D297" s="312"/>
      <c r="E297" s="312"/>
      <c r="F297" s="291"/>
      <c r="G297" s="291"/>
      <c r="H297" s="293"/>
      <c r="I297" s="312"/>
      <c r="J297" s="191">
        <f>SUM(J295:J296)</f>
        <v>381266.99999999994</v>
      </c>
      <c r="K297" s="291"/>
      <c r="L297" s="291"/>
    </row>
    <row r="298" spans="1:13" x14ac:dyDescent="0.2">
      <c r="A298" s="289"/>
      <c r="B298" s="290"/>
      <c r="C298" s="312"/>
      <c r="D298" s="312"/>
      <c r="E298" s="312"/>
      <c r="F298" s="291"/>
      <c r="G298" s="291"/>
      <c r="H298" s="293"/>
      <c r="I298" s="312"/>
      <c r="J298" s="291"/>
      <c r="K298" s="291"/>
      <c r="L298" s="291"/>
    </row>
    <row r="299" spans="1:13" x14ac:dyDescent="0.2">
      <c r="A299" s="289"/>
      <c r="B299" s="290"/>
      <c r="C299" s="312"/>
      <c r="D299" s="312"/>
      <c r="E299" s="312"/>
      <c r="F299" s="291"/>
      <c r="G299" s="291"/>
      <c r="H299" s="293"/>
      <c r="I299" s="312"/>
      <c r="J299" s="291"/>
      <c r="K299" s="291"/>
      <c r="L299" s="291"/>
    </row>
    <row r="301" spans="1:13" x14ac:dyDescent="0.2">
      <c r="A301" s="1458" t="s">
        <v>11</v>
      </c>
      <c r="B301" s="56"/>
      <c r="C301" s="56"/>
      <c r="D301" s="56"/>
      <c r="E301" s="56"/>
      <c r="F301" s="56"/>
      <c r="G301" s="56"/>
      <c r="H301" s="56"/>
      <c r="I301" s="56"/>
      <c r="J301" s="56"/>
    </row>
    <row r="302" spans="1:13" x14ac:dyDescent="0.2">
      <c r="A302" s="56"/>
      <c r="B302" s="56"/>
      <c r="C302" s="56"/>
      <c r="D302" s="56"/>
      <c r="E302" s="56"/>
      <c r="F302" s="56"/>
      <c r="G302" s="56"/>
      <c r="H302" s="56"/>
      <c r="I302" s="56"/>
      <c r="J302" s="56"/>
    </row>
    <row r="303" spans="1:13" ht="12.75" customHeight="1" x14ac:dyDescent="0.2">
      <c r="A303" s="56">
        <v>1</v>
      </c>
      <c r="B303" s="1610" t="s">
        <v>1075</v>
      </c>
      <c r="C303" s="1610"/>
      <c r="D303" s="1610"/>
      <c r="E303" s="1610"/>
      <c r="F303" s="1610"/>
      <c r="G303" s="1610"/>
      <c r="H303" s="1610"/>
      <c r="I303" s="1610"/>
      <c r="J303" s="1610"/>
      <c r="K303" s="1610"/>
      <c r="L303" s="1610"/>
      <c r="M303" s="1610"/>
    </row>
    <row r="304" spans="1:13" x14ac:dyDescent="0.2">
      <c r="A304" s="56"/>
      <c r="B304" s="1610"/>
      <c r="C304" s="1610"/>
      <c r="D304" s="1610"/>
      <c r="E304" s="1610"/>
      <c r="F304" s="1610"/>
      <c r="G304" s="1610"/>
      <c r="H304" s="1610"/>
      <c r="I304" s="1610"/>
      <c r="J304" s="1610"/>
      <c r="K304" s="1610"/>
      <c r="L304" s="1610"/>
      <c r="M304" s="1610"/>
    </row>
    <row r="305" spans="1:14" ht="24.75" customHeight="1" x14ac:dyDescent="0.2">
      <c r="A305" s="1439">
        <v>2</v>
      </c>
      <c r="B305" s="1590" t="s">
        <v>424</v>
      </c>
      <c r="C305" s="1590"/>
      <c r="D305" s="1590"/>
      <c r="E305" s="1590"/>
      <c r="F305" s="1590"/>
      <c r="G305" s="1590"/>
      <c r="H305" s="1590"/>
      <c r="I305" s="1590"/>
      <c r="J305" s="1590"/>
      <c r="K305" s="1590"/>
      <c r="L305" s="1590"/>
    </row>
    <row r="306" spans="1:14" ht="12.75" customHeight="1" x14ac:dyDescent="0.2">
      <c r="A306" s="1439">
        <v>3</v>
      </c>
      <c r="B306" s="1683" t="s">
        <v>865</v>
      </c>
      <c r="C306" s="1683"/>
      <c r="D306" s="1683"/>
      <c r="E306" s="1683"/>
      <c r="F306" s="1683"/>
      <c r="G306" s="1683"/>
      <c r="H306" s="1683"/>
      <c r="I306" s="1683"/>
      <c r="J306" s="1683"/>
      <c r="K306" s="56"/>
    </row>
    <row r="307" spans="1:14" x14ac:dyDescent="0.2">
      <c r="A307" s="1457"/>
      <c r="B307" s="1683"/>
      <c r="C307" s="1683"/>
      <c r="D307" s="1683"/>
      <c r="E307" s="1683"/>
      <c r="F307" s="1683"/>
      <c r="G307" s="1683"/>
      <c r="H307" s="1683"/>
      <c r="I307" s="1683"/>
      <c r="J307" s="1683"/>
      <c r="K307" s="56"/>
    </row>
    <row r="308" spans="1:14" ht="12.75" customHeight="1" x14ac:dyDescent="0.2">
      <c r="A308" s="152" t="s">
        <v>423</v>
      </c>
      <c r="B308" s="1684" t="s">
        <v>190</v>
      </c>
      <c r="C308" s="1684"/>
      <c r="D308" s="1684"/>
      <c r="E308" s="1684"/>
      <c r="F308" s="1684"/>
      <c r="G308" s="1684"/>
      <c r="H308" s="1684"/>
      <c r="I308" s="1684"/>
      <c r="J308" s="1684"/>
      <c r="K308" s="1684"/>
      <c r="L308" s="1684"/>
      <c r="M308" s="271"/>
      <c r="N308" s="271"/>
    </row>
    <row r="309" spans="1:14" ht="12.75" customHeight="1" x14ac:dyDescent="0.2">
      <c r="B309" s="1684"/>
      <c r="C309" s="1684"/>
      <c r="D309" s="1684"/>
      <c r="E309" s="1684"/>
      <c r="F309" s="1684"/>
      <c r="G309" s="1684"/>
      <c r="H309" s="1684"/>
      <c r="I309" s="1684"/>
      <c r="J309" s="1684"/>
      <c r="K309" s="1684"/>
      <c r="L309" s="1684"/>
      <c r="M309" s="271"/>
      <c r="N309" s="271"/>
    </row>
    <row r="310" spans="1:14" x14ac:dyDescent="0.2">
      <c r="B310" s="271"/>
      <c r="C310" s="271"/>
      <c r="D310" s="271"/>
      <c r="E310" s="271"/>
      <c r="F310" s="271"/>
      <c r="G310" s="271"/>
      <c r="H310" s="271"/>
      <c r="I310" s="271"/>
      <c r="J310" s="271"/>
      <c r="K310" s="271"/>
      <c r="L310" s="271"/>
      <c r="M310" s="271"/>
      <c r="N310" s="271"/>
    </row>
  </sheetData>
  <mergeCells count="27">
    <mergeCell ref="A189:A190"/>
    <mergeCell ref="B189:B190"/>
    <mergeCell ref="K189:K190"/>
    <mergeCell ref="B239:I239"/>
    <mergeCell ref="A246:A247"/>
    <mergeCell ref="B246:B247"/>
    <mergeCell ref="K246:K247"/>
    <mergeCell ref="A75:A76"/>
    <mergeCell ref="B75:B76"/>
    <mergeCell ref="K75:K76"/>
    <mergeCell ref="B125:I125"/>
    <mergeCell ref="A132:A133"/>
    <mergeCell ref="B132:B133"/>
    <mergeCell ref="K132:K133"/>
    <mergeCell ref="A9:L9"/>
    <mergeCell ref="A10:L10"/>
    <mergeCell ref="A18:A19"/>
    <mergeCell ref="B18:B19"/>
    <mergeCell ref="K18:K19"/>
    <mergeCell ref="A11:L11"/>
    <mergeCell ref="B303:M304"/>
    <mergeCell ref="B68:I68"/>
    <mergeCell ref="B305:L305"/>
    <mergeCell ref="B306:J307"/>
    <mergeCell ref="B308:L309"/>
    <mergeCell ref="B182:I182"/>
    <mergeCell ref="B296:I296"/>
  </mergeCells>
  <dataValidations disablePrompts="1" count="3">
    <dataValidation allowBlank="1" showErrorMessage="1" promptTitle="Date Format" prompt="E.g:  &quot;August 1, 2011&quot;" sqref="J7"/>
    <dataValidation allowBlank="1" showInputMessage="1" showErrorMessage="1" promptTitle="Date Format" prompt="E.g:  &quot;August 1, 2011&quot;" sqref="WVR983293 JF7 TB7 ACX7 AMT7 AWP7 BGL7 BQH7 CAD7 CJZ7 CTV7 DDR7 DNN7 DXJ7 EHF7 ERB7 FAX7 FKT7 FUP7 GEL7 GOH7 GYD7 HHZ7 HRV7 IBR7 ILN7 IVJ7 JFF7 JPB7 JYX7 KIT7 KSP7 LCL7 LMH7 LWD7 MFZ7 MPV7 MZR7 NJN7 NTJ7 ODF7 ONB7 OWX7 PGT7 PQP7 QAL7 QKH7 QUD7 RDZ7 RNV7 RXR7 SHN7 SRJ7 TBF7 TLB7 TUX7 UET7 UOP7 UYL7 VIH7 VSD7 WBZ7 WLV7 WVR7 J65789 JF65789 TB65789 ACX65789 AMT65789 AWP65789 BGL65789 BQH65789 CAD65789 CJZ65789 CTV65789 DDR65789 DNN65789 DXJ65789 EHF65789 ERB65789 FAX65789 FKT65789 FUP65789 GEL65789 GOH65789 GYD65789 HHZ65789 HRV65789 IBR65789 ILN65789 IVJ65789 JFF65789 JPB65789 JYX65789 KIT65789 KSP65789 LCL65789 LMH65789 LWD65789 MFZ65789 MPV65789 MZR65789 NJN65789 NTJ65789 ODF65789 ONB65789 OWX65789 PGT65789 PQP65789 QAL65789 QKH65789 QUD65789 RDZ65789 RNV65789 RXR65789 SHN65789 SRJ65789 TBF65789 TLB65789 TUX65789 UET65789 UOP65789 UYL65789 VIH65789 VSD65789 WBZ65789 WLV65789 WVR65789 J131325 JF131325 TB131325 ACX131325 AMT131325 AWP131325 BGL131325 BQH131325 CAD131325 CJZ131325 CTV131325 DDR131325 DNN131325 DXJ131325 EHF131325 ERB131325 FAX131325 FKT131325 FUP131325 GEL131325 GOH131325 GYD131325 HHZ131325 HRV131325 IBR131325 ILN131325 IVJ131325 JFF131325 JPB131325 JYX131325 KIT131325 KSP131325 LCL131325 LMH131325 LWD131325 MFZ131325 MPV131325 MZR131325 NJN131325 NTJ131325 ODF131325 ONB131325 OWX131325 PGT131325 PQP131325 QAL131325 QKH131325 QUD131325 RDZ131325 RNV131325 RXR131325 SHN131325 SRJ131325 TBF131325 TLB131325 TUX131325 UET131325 UOP131325 UYL131325 VIH131325 VSD131325 WBZ131325 WLV131325 WVR131325 J196861 JF196861 TB196861 ACX196861 AMT196861 AWP196861 BGL196861 BQH196861 CAD196861 CJZ196861 CTV196861 DDR196861 DNN196861 DXJ196861 EHF196861 ERB196861 FAX196861 FKT196861 FUP196861 GEL196861 GOH196861 GYD196861 HHZ196861 HRV196861 IBR196861 ILN196861 IVJ196861 JFF196861 JPB196861 JYX196861 KIT196861 KSP196861 LCL196861 LMH196861 LWD196861 MFZ196861 MPV196861 MZR196861 NJN196861 NTJ196861 ODF196861 ONB196861 OWX196861 PGT196861 PQP196861 QAL196861 QKH196861 QUD196861 RDZ196861 RNV196861 RXR196861 SHN196861 SRJ196861 TBF196861 TLB196861 TUX196861 UET196861 UOP196861 UYL196861 VIH196861 VSD196861 WBZ196861 WLV196861 WVR196861 J262397 JF262397 TB262397 ACX262397 AMT262397 AWP262397 BGL262397 BQH262397 CAD262397 CJZ262397 CTV262397 DDR262397 DNN262397 DXJ262397 EHF262397 ERB262397 FAX262397 FKT262397 FUP262397 GEL262397 GOH262397 GYD262397 HHZ262397 HRV262397 IBR262397 ILN262397 IVJ262397 JFF262397 JPB262397 JYX262397 KIT262397 KSP262397 LCL262397 LMH262397 LWD262397 MFZ262397 MPV262397 MZR262397 NJN262397 NTJ262397 ODF262397 ONB262397 OWX262397 PGT262397 PQP262397 QAL262397 QKH262397 QUD262397 RDZ262397 RNV262397 RXR262397 SHN262397 SRJ262397 TBF262397 TLB262397 TUX262397 UET262397 UOP262397 UYL262397 VIH262397 VSD262397 WBZ262397 WLV262397 WVR262397 J327933 JF327933 TB327933 ACX327933 AMT327933 AWP327933 BGL327933 BQH327933 CAD327933 CJZ327933 CTV327933 DDR327933 DNN327933 DXJ327933 EHF327933 ERB327933 FAX327933 FKT327933 FUP327933 GEL327933 GOH327933 GYD327933 HHZ327933 HRV327933 IBR327933 ILN327933 IVJ327933 JFF327933 JPB327933 JYX327933 KIT327933 KSP327933 LCL327933 LMH327933 LWD327933 MFZ327933 MPV327933 MZR327933 NJN327933 NTJ327933 ODF327933 ONB327933 OWX327933 PGT327933 PQP327933 QAL327933 QKH327933 QUD327933 RDZ327933 RNV327933 RXR327933 SHN327933 SRJ327933 TBF327933 TLB327933 TUX327933 UET327933 UOP327933 UYL327933 VIH327933 VSD327933 WBZ327933 WLV327933 WVR327933 J393469 JF393469 TB393469 ACX393469 AMT393469 AWP393469 BGL393469 BQH393469 CAD393469 CJZ393469 CTV393469 DDR393469 DNN393469 DXJ393469 EHF393469 ERB393469 FAX393469 FKT393469 FUP393469 GEL393469 GOH393469 GYD393469 HHZ393469 HRV393469 IBR393469 ILN393469 IVJ393469 JFF393469 JPB393469 JYX393469 KIT393469 KSP393469 LCL393469 LMH393469 LWD393469 MFZ393469 MPV393469 MZR393469 NJN393469 NTJ393469 ODF393469 ONB393469 OWX393469 PGT393469 PQP393469 QAL393469 QKH393469 QUD393469 RDZ393469 RNV393469 RXR393469 SHN393469 SRJ393469 TBF393469 TLB393469 TUX393469 UET393469 UOP393469 UYL393469 VIH393469 VSD393469 WBZ393469 WLV393469 WVR393469 J459005 JF459005 TB459005 ACX459005 AMT459005 AWP459005 BGL459005 BQH459005 CAD459005 CJZ459005 CTV459005 DDR459005 DNN459005 DXJ459005 EHF459005 ERB459005 FAX459005 FKT459005 FUP459005 GEL459005 GOH459005 GYD459005 HHZ459005 HRV459005 IBR459005 ILN459005 IVJ459005 JFF459005 JPB459005 JYX459005 KIT459005 KSP459005 LCL459005 LMH459005 LWD459005 MFZ459005 MPV459005 MZR459005 NJN459005 NTJ459005 ODF459005 ONB459005 OWX459005 PGT459005 PQP459005 QAL459005 QKH459005 QUD459005 RDZ459005 RNV459005 RXR459005 SHN459005 SRJ459005 TBF459005 TLB459005 TUX459005 UET459005 UOP459005 UYL459005 VIH459005 VSD459005 WBZ459005 WLV459005 WVR459005 J524541 JF524541 TB524541 ACX524541 AMT524541 AWP524541 BGL524541 BQH524541 CAD524541 CJZ524541 CTV524541 DDR524541 DNN524541 DXJ524541 EHF524541 ERB524541 FAX524541 FKT524541 FUP524541 GEL524541 GOH524541 GYD524541 HHZ524541 HRV524541 IBR524541 ILN524541 IVJ524541 JFF524541 JPB524541 JYX524541 KIT524541 KSP524541 LCL524541 LMH524541 LWD524541 MFZ524541 MPV524541 MZR524541 NJN524541 NTJ524541 ODF524541 ONB524541 OWX524541 PGT524541 PQP524541 QAL524541 QKH524541 QUD524541 RDZ524541 RNV524541 RXR524541 SHN524541 SRJ524541 TBF524541 TLB524541 TUX524541 UET524541 UOP524541 UYL524541 VIH524541 VSD524541 WBZ524541 WLV524541 WVR524541 J590077 JF590077 TB590077 ACX590077 AMT590077 AWP590077 BGL590077 BQH590077 CAD590077 CJZ590077 CTV590077 DDR590077 DNN590077 DXJ590077 EHF590077 ERB590077 FAX590077 FKT590077 FUP590077 GEL590077 GOH590077 GYD590077 HHZ590077 HRV590077 IBR590077 ILN590077 IVJ590077 JFF590077 JPB590077 JYX590077 KIT590077 KSP590077 LCL590077 LMH590077 LWD590077 MFZ590077 MPV590077 MZR590077 NJN590077 NTJ590077 ODF590077 ONB590077 OWX590077 PGT590077 PQP590077 QAL590077 QKH590077 QUD590077 RDZ590077 RNV590077 RXR590077 SHN590077 SRJ590077 TBF590077 TLB590077 TUX590077 UET590077 UOP590077 UYL590077 VIH590077 VSD590077 WBZ590077 WLV590077 WVR590077 J655613 JF655613 TB655613 ACX655613 AMT655613 AWP655613 BGL655613 BQH655613 CAD655613 CJZ655613 CTV655613 DDR655613 DNN655613 DXJ655613 EHF655613 ERB655613 FAX655613 FKT655613 FUP655613 GEL655613 GOH655613 GYD655613 HHZ655613 HRV655613 IBR655613 ILN655613 IVJ655613 JFF655613 JPB655613 JYX655613 KIT655613 KSP655613 LCL655613 LMH655613 LWD655613 MFZ655613 MPV655613 MZR655613 NJN655613 NTJ655613 ODF655613 ONB655613 OWX655613 PGT655613 PQP655613 QAL655613 QKH655613 QUD655613 RDZ655613 RNV655613 RXR655613 SHN655613 SRJ655613 TBF655613 TLB655613 TUX655613 UET655613 UOP655613 UYL655613 VIH655613 VSD655613 WBZ655613 WLV655613 WVR655613 J721149 JF721149 TB721149 ACX721149 AMT721149 AWP721149 BGL721149 BQH721149 CAD721149 CJZ721149 CTV721149 DDR721149 DNN721149 DXJ721149 EHF721149 ERB721149 FAX721149 FKT721149 FUP721149 GEL721149 GOH721149 GYD721149 HHZ721149 HRV721149 IBR721149 ILN721149 IVJ721149 JFF721149 JPB721149 JYX721149 KIT721149 KSP721149 LCL721149 LMH721149 LWD721149 MFZ721149 MPV721149 MZR721149 NJN721149 NTJ721149 ODF721149 ONB721149 OWX721149 PGT721149 PQP721149 QAL721149 QKH721149 QUD721149 RDZ721149 RNV721149 RXR721149 SHN721149 SRJ721149 TBF721149 TLB721149 TUX721149 UET721149 UOP721149 UYL721149 VIH721149 VSD721149 WBZ721149 WLV721149 WVR721149 J786685 JF786685 TB786685 ACX786685 AMT786685 AWP786685 BGL786685 BQH786685 CAD786685 CJZ786685 CTV786685 DDR786685 DNN786685 DXJ786685 EHF786685 ERB786685 FAX786685 FKT786685 FUP786685 GEL786685 GOH786685 GYD786685 HHZ786685 HRV786685 IBR786685 ILN786685 IVJ786685 JFF786685 JPB786685 JYX786685 KIT786685 KSP786685 LCL786685 LMH786685 LWD786685 MFZ786685 MPV786685 MZR786685 NJN786685 NTJ786685 ODF786685 ONB786685 OWX786685 PGT786685 PQP786685 QAL786685 QKH786685 QUD786685 RDZ786685 RNV786685 RXR786685 SHN786685 SRJ786685 TBF786685 TLB786685 TUX786685 UET786685 UOP786685 UYL786685 VIH786685 VSD786685 WBZ786685 WLV786685 WVR786685 J852221 JF852221 TB852221 ACX852221 AMT852221 AWP852221 BGL852221 BQH852221 CAD852221 CJZ852221 CTV852221 DDR852221 DNN852221 DXJ852221 EHF852221 ERB852221 FAX852221 FKT852221 FUP852221 GEL852221 GOH852221 GYD852221 HHZ852221 HRV852221 IBR852221 ILN852221 IVJ852221 JFF852221 JPB852221 JYX852221 KIT852221 KSP852221 LCL852221 LMH852221 LWD852221 MFZ852221 MPV852221 MZR852221 NJN852221 NTJ852221 ODF852221 ONB852221 OWX852221 PGT852221 PQP852221 QAL852221 QKH852221 QUD852221 RDZ852221 RNV852221 RXR852221 SHN852221 SRJ852221 TBF852221 TLB852221 TUX852221 UET852221 UOP852221 UYL852221 VIH852221 VSD852221 WBZ852221 WLV852221 WVR852221 J917757 JF917757 TB917757 ACX917757 AMT917757 AWP917757 BGL917757 BQH917757 CAD917757 CJZ917757 CTV917757 DDR917757 DNN917757 DXJ917757 EHF917757 ERB917757 FAX917757 FKT917757 FUP917757 GEL917757 GOH917757 GYD917757 HHZ917757 HRV917757 IBR917757 ILN917757 IVJ917757 JFF917757 JPB917757 JYX917757 KIT917757 KSP917757 LCL917757 LMH917757 LWD917757 MFZ917757 MPV917757 MZR917757 NJN917757 NTJ917757 ODF917757 ONB917757 OWX917757 PGT917757 PQP917757 QAL917757 QKH917757 QUD917757 RDZ917757 RNV917757 RXR917757 SHN917757 SRJ917757 TBF917757 TLB917757 TUX917757 UET917757 UOP917757 UYL917757 VIH917757 VSD917757 WBZ917757 WLV917757 WVR917757 J983293 JF983293 TB983293 ACX983293 AMT983293 AWP983293 BGL983293 BQH983293 CAD983293 CJZ983293 CTV983293 DDR983293 DNN983293 DXJ983293 EHF983293 ERB983293 FAX983293 FKT983293 FUP983293 GEL983293 GOH983293 GYD983293 HHZ983293 HRV983293 IBR983293 ILN983293 IVJ983293 JFF983293 JPB983293 JYX983293 KIT983293 KSP983293 LCL983293 LMH983293 LWD983293 MFZ983293 MPV983293 MZR983293 NJN983293 NTJ983293 ODF983293 ONB983293 OWX983293 PGT983293 PQP983293 QAL983293 QKH983293 QUD983293 RDZ983293 RNV983293 RXR983293 SHN983293 SRJ983293 TBF983293 TLB983293 TUX983293 UET983293 UOP983293 UYL983293 VIH983293 VSD983293 WBZ983293 WLV983293"/>
    <dataValidation type="list" allowBlank="1" showInputMessage="1" showErrorMessage="1" sqref="E15 E72 E129 E186 E243">
      <formula1>"Revised CGAAP, MIFRS"</formula1>
    </dataValidation>
  </dataValidations>
  <printOptions horizontalCentered="1"/>
  <pageMargins left="0.74803149606299213" right="0.74803149606299213" top="0.70866141732283472" bottom="0.39370078740157483" header="0.39370078740157483" footer="0.27559055118110237"/>
  <pageSetup scale="15" orientation="landscape" r:id="rId1"/>
  <headerFooter alignWithMargins="0"/>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33">
    <tabColor rgb="FF00B0F0"/>
    <pageSetUpPr fitToPage="1"/>
  </sheetPr>
  <dimension ref="A1:K76"/>
  <sheetViews>
    <sheetView showGridLines="0" zoomScaleNormal="100" workbookViewId="0"/>
  </sheetViews>
  <sheetFormatPr defaultRowHeight="12.75" x14ac:dyDescent="0.2"/>
  <cols>
    <col min="1" max="1" width="55.5703125" style="52" customWidth="1"/>
    <col min="2" max="7" width="15.7109375" style="52" customWidth="1"/>
    <col min="8" max="8" width="48.85546875" style="52" customWidth="1"/>
    <col min="9" max="9" width="18.5703125" style="52" bestFit="1" customWidth="1"/>
    <col min="10" max="10" width="13.7109375" style="52" customWidth="1"/>
    <col min="11" max="11" width="54.5703125" style="52" bestFit="1" customWidth="1"/>
    <col min="12" max="250" width="9.140625" style="52"/>
    <col min="251" max="251" width="2.85546875" style="52" customWidth="1"/>
    <col min="252" max="252" width="5" style="52" customWidth="1"/>
    <col min="253" max="253" width="62" style="52" customWidth="1"/>
    <col min="254" max="254" width="12.7109375" style="52" bestFit="1" customWidth="1"/>
    <col min="255" max="255" width="1.7109375" style="52" customWidth="1"/>
    <col min="256" max="258" width="15.7109375" style="52" customWidth="1"/>
    <col min="259" max="259" width="17.85546875" style="52" bestFit="1" customWidth="1"/>
    <col min="260" max="260" width="18.5703125" style="52" bestFit="1" customWidth="1"/>
    <col min="261" max="263" width="15.7109375" style="52" customWidth="1"/>
    <col min="264" max="264" width="20" style="52" customWidth="1"/>
    <col min="265" max="265" width="18.5703125" style="52" bestFit="1" customWidth="1"/>
    <col min="266" max="266" width="13.7109375" style="52" customWidth="1"/>
    <col min="267" max="267" width="54.5703125" style="52" bestFit="1" customWidth="1"/>
    <col min="268" max="506" width="9.140625" style="52"/>
    <col min="507" max="507" width="2.85546875" style="52" customWidth="1"/>
    <col min="508" max="508" width="5" style="52" customWidth="1"/>
    <col min="509" max="509" width="62" style="52" customWidth="1"/>
    <col min="510" max="510" width="12.7109375" style="52" bestFit="1" customWidth="1"/>
    <col min="511" max="511" width="1.7109375" style="52" customWidth="1"/>
    <col min="512" max="514" width="15.7109375" style="52" customWidth="1"/>
    <col min="515" max="515" width="17.85546875" style="52" bestFit="1" customWidth="1"/>
    <col min="516" max="516" width="18.5703125" style="52" bestFit="1" customWidth="1"/>
    <col min="517" max="519" width="15.7109375" style="52" customWidth="1"/>
    <col min="520" max="520" width="20" style="52" customWidth="1"/>
    <col min="521" max="521" width="18.5703125" style="52" bestFit="1" customWidth="1"/>
    <col min="522" max="522" width="13.7109375" style="52" customWidth="1"/>
    <col min="523" max="523" width="54.5703125" style="52" bestFit="1" customWidth="1"/>
    <col min="524" max="762" width="9.140625" style="52"/>
    <col min="763" max="763" width="2.85546875" style="52" customWidth="1"/>
    <col min="764" max="764" width="5" style="52" customWidth="1"/>
    <col min="765" max="765" width="62" style="52" customWidth="1"/>
    <col min="766" max="766" width="12.7109375" style="52" bestFit="1" customWidth="1"/>
    <col min="767" max="767" width="1.7109375" style="52" customWidth="1"/>
    <col min="768" max="770" width="15.7109375" style="52" customWidth="1"/>
    <col min="771" max="771" width="17.85546875" style="52" bestFit="1" customWidth="1"/>
    <col min="772" max="772" width="18.5703125" style="52" bestFit="1" customWidth="1"/>
    <col min="773" max="775" width="15.7109375" style="52" customWidth="1"/>
    <col min="776" max="776" width="20" style="52" customWidth="1"/>
    <col min="777" max="777" width="18.5703125" style="52" bestFit="1" customWidth="1"/>
    <col min="778" max="778" width="13.7109375" style="52" customWidth="1"/>
    <col min="779" max="779" width="54.5703125" style="52" bestFit="1" customWidth="1"/>
    <col min="780" max="1018" width="9.140625" style="52"/>
    <col min="1019" max="1019" width="2.85546875" style="52" customWidth="1"/>
    <col min="1020" max="1020" width="5" style="52" customWidth="1"/>
    <col min="1021" max="1021" width="62" style="52" customWidth="1"/>
    <col min="1022" max="1022" width="12.7109375" style="52" bestFit="1" customWidth="1"/>
    <col min="1023" max="1023" width="1.7109375" style="52" customWidth="1"/>
    <col min="1024" max="1026" width="15.7109375" style="52" customWidth="1"/>
    <col min="1027" max="1027" width="17.85546875" style="52" bestFit="1" customWidth="1"/>
    <col min="1028" max="1028" width="18.5703125" style="52" bestFit="1" customWidth="1"/>
    <col min="1029" max="1031" width="15.7109375" style="52" customWidth="1"/>
    <col min="1032" max="1032" width="20" style="52" customWidth="1"/>
    <col min="1033" max="1033" width="18.5703125" style="52" bestFit="1" customWidth="1"/>
    <col min="1034" max="1034" width="13.7109375" style="52" customWidth="1"/>
    <col min="1035" max="1035" width="54.5703125" style="52" bestFit="1" customWidth="1"/>
    <col min="1036" max="1274" width="9.140625" style="52"/>
    <col min="1275" max="1275" width="2.85546875" style="52" customWidth="1"/>
    <col min="1276" max="1276" width="5" style="52" customWidth="1"/>
    <col min="1277" max="1277" width="62" style="52" customWidth="1"/>
    <col min="1278" max="1278" width="12.7109375" style="52" bestFit="1" customWidth="1"/>
    <col min="1279" max="1279" width="1.7109375" style="52" customWidth="1"/>
    <col min="1280" max="1282" width="15.7109375" style="52" customWidth="1"/>
    <col min="1283" max="1283" width="17.85546875" style="52" bestFit="1" customWidth="1"/>
    <col min="1284" max="1284" width="18.5703125" style="52" bestFit="1" customWidth="1"/>
    <col min="1285" max="1287" width="15.7109375" style="52" customWidth="1"/>
    <col min="1288" max="1288" width="20" style="52" customWidth="1"/>
    <col min="1289" max="1289" width="18.5703125" style="52" bestFit="1" customWidth="1"/>
    <col min="1290" max="1290" width="13.7109375" style="52" customWidth="1"/>
    <col min="1291" max="1291" width="54.5703125" style="52" bestFit="1" customWidth="1"/>
    <col min="1292" max="1530" width="9.140625" style="52"/>
    <col min="1531" max="1531" width="2.85546875" style="52" customWidth="1"/>
    <col min="1532" max="1532" width="5" style="52" customWidth="1"/>
    <col min="1533" max="1533" width="62" style="52" customWidth="1"/>
    <col min="1534" max="1534" width="12.7109375" style="52" bestFit="1" customWidth="1"/>
    <col min="1535" max="1535" width="1.7109375" style="52" customWidth="1"/>
    <col min="1536" max="1538" width="15.7109375" style="52" customWidth="1"/>
    <col min="1539" max="1539" width="17.85546875" style="52" bestFit="1" customWidth="1"/>
    <col min="1540" max="1540" width="18.5703125" style="52" bestFit="1" customWidth="1"/>
    <col min="1541" max="1543" width="15.7109375" style="52" customWidth="1"/>
    <col min="1544" max="1544" width="20" style="52" customWidth="1"/>
    <col min="1545" max="1545" width="18.5703125" style="52" bestFit="1" customWidth="1"/>
    <col min="1546" max="1546" width="13.7109375" style="52" customWidth="1"/>
    <col min="1547" max="1547" width="54.5703125" style="52" bestFit="1" customWidth="1"/>
    <col min="1548" max="1786" width="9.140625" style="52"/>
    <col min="1787" max="1787" width="2.85546875" style="52" customWidth="1"/>
    <col min="1788" max="1788" width="5" style="52" customWidth="1"/>
    <col min="1789" max="1789" width="62" style="52" customWidth="1"/>
    <col min="1790" max="1790" width="12.7109375" style="52" bestFit="1" customWidth="1"/>
    <col min="1791" max="1791" width="1.7109375" style="52" customWidth="1"/>
    <col min="1792" max="1794" width="15.7109375" style="52" customWidth="1"/>
    <col min="1795" max="1795" width="17.85546875" style="52" bestFit="1" customWidth="1"/>
    <col min="1796" max="1796" width="18.5703125" style="52" bestFit="1" customWidth="1"/>
    <col min="1797" max="1799" width="15.7109375" style="52" customWidth="1"/>
    <col min="1800" max="1800" width="20" style="52" customWidth="1"/>
    <col min="1801" max="1801" width="18.5703125" style="52" bestFit="1" customWidth="1"/>
    <col min="1802" max="1802" width="13.7109375" style="52" customWidth="1"/>
    <col min="1803" max="1803" width="54.5703125" style="52" bestFit="1" customWidth="1"/>
    <col min="1804" max="2042" width="9.140625" style="52"/>
    <col min="2043" max="2043" width="2.85546875" style="52" customWidth="1"/>
    <col min="2044" max="2044" width="5" style="52" customWidth="1"/>
    <col min="2045" max="2045" width="62" style="52" customWidth="1"/>
    <col min="2046" max="2046" width="12.7109375" style="52" bestFit="1" customWidth="1"/>
    <col min="2047" max="2047" width="1.7109375" style="52" customWidth="1"/>
    <col min="2048" max="2050" width="15.7109375" style="52" customWidth="1"/>
    <col min="2051" max="2051" width="17.85546875" style="52" bestFit="1" customWidth="1"/>
    <col min="2052" max="2052" width="18.5703125" style="52" bestFit="1" customWidth="1"/>
    <col min="2053" max="2055" width="15.7109375" style="52" customWidth="1"/>
    <col min="2056" max="2056" width="20" style="52" customWidth="1"/>
    <col min="2057" max="2057" width="18.5703125" style="52" bestFit="1" customWidth="1"/>
    <col min="2058" max="2058" width="13.7109375" style="52" customWidth="1"/>
    <col min="2059" max="2059" width="54.5703125" style="52" bestFit="1" customWidth="1"/>
    <col min="2060" max="2298" width="9.140625" style="52"/>
    <col min="2299" max="2299" width="2.85546875" style="52" customWidth="1"/>
    <col min="2300" max="2300" width="5" style="52" customWidth="1"/>
    <col min="2301" max="2301" width="62" style="52" customWidth="1"/>
    <col min="2302" max="2302" width="12.7109375" style="52" bestFit="1" customWidth="1"/>
    <col min="2303" max="2303" width="1.7109375" style="52" customWidth="1"/>
    <col min="2304" max="2306" width="15.7109375" style="52" customWidth="1"/>
    <col min="2307" max="2307" width="17.85546875" style="52" bestFit="1" customWidth="1"/>
    <col min="2308" max="2308" width="18.5703125" style="52" bestFit="1" customWidth="1"/>
    <col min="2309" max="2311" width="15.7109375" style="52" customWidth="1"/>
    <col min="2312" max="2312" width="20" style="52" customWidth="1"/>
    <col min="2313" max="2313" width="18.5703125" style="52" bestFit="1" customWidth="1"/>
    <col min="2314" max="2314" width="13.7109375" style="52" customWidth="1"/>
    <col min="2315" max="2315" width="54.5703125" style="52" bestFit="1" customWidth="1"/>
    <col min="2316" max="2554" width="9.140625" style="52"/>
    <col min="2555" max="2555" width="2.85546875" style="52" customWidth="1"/>
    <col min="2556" max="2556" width="5" style="52" customWidth="1"/>
    <col min="2557" max="2557" width="62" style="52" customWidth="1"/>
    <col min="2558" max="2558" width="12.7109375" style="52" bestFit="1" customWidth="1"/>
    <col min="2559" max="2559" width="1.7109375" style="52" customWidth="1"/>
    <col min="2560" max="2562" width="15.7109375" style="52" customWidth="1"/>
    <col min="2563" max="2563" width="17.85546875" style="52" bestFit="1" customWidth="1"/>
    <col min="2564" max="2564" width="18.5703125" style="52" bestFit="1" customWidth="1"/>
    <col min="2565" max="2567" width="15.7109375" style="52" customWidth="1"/>
    <col min="2568" max="2568" width="20" style="52" customWidth="1"/>
    <col min="2569" max="2569" width="18.5703125" style="52" bestFit="1" customWidth="1"/>
    <col min="2570" max="2570" width="13.7109375" style="52" customWidth="1"/>
    <col min="2571" max="2571" width="54.5703125" style="52" bestFit="1" customWidth="1"/>
    <col min="2572" max="2810" width="9.140625" style="52"/>
    <col min="2811" max="2811" width="2.85546875" style="52" customWidth="1"/>
    <col min="2812" max="2812" width="5" style="52" customWidth="1"/>
    <col min="2813" max="2813" width="62" style="52" customWidth="1"/>
    <col min="2814" max="2814" width="12.7109375" style="52" bestFit="1" customWidth="1"/>
    <col min="2815" max="2815" width="1.7109375" style="52" customWidth="1"/>
    <col min="2816" max="2818" width="15.7109375" style="52" customWidth="1"/>
    <col min="2819" max="2819" width="17.85546875" style="52" bestFit="1" customWidth="1"/>
    <col min="2820" max="2820" width="18.5703125" style="52" bestFit="1" customWidth="1"/>
    <col min="2821" max="2823" width="15.7109375" style="52" customWidth="1"/>
    <col min="2824" max="2824" width="20" style="52" customWidth="1"/>
    <col min="2825" max="2825" width="18.5703125" style="52" bestFit="1" customWidth="1"/>
    <col min="2826" max="2826" width="13.7109375" style="52" customWidth="1"/>
    <col min="2827" max="2827" width="54.5703125" style="52" bestFit="1" customWidth="1"/>
    <col min="2828" max="3066" width="9.140625" style="52"/>
    <col min="3067" max="3067" width="2.85546875" style="52" customWidth="1"/>
    <col min="3068" max="3068" width="5" style="52" customWidth="1"/>
    <col min="3069" max="3069" width="62" style="52" customWidth="1"/>
    <col min="3070" max="3070" width="12.7109375" style="52" bestFit="1" customWidth="1"/>
    <col min="3071" max="3071" width="1.7109375" style="52" customWidth="1"/>
    <col min="3072" max="3074" width="15.7109375" style="52" customWidth="1"/>
    <col min="3075" max="3075" width="17.85546875" style="52" bestFit="1" customWidth="1"/>
    <col min="3076" max="3076" width="18.5703125" style="52" bestFit="1" customWidth="1"/>
    <col min="3077" max="3079" width="15.7109375" style="52" customWidth="1"/>
    <col min="3080" max="3080" width="20" style="52" customWidth="1"/>
    <col min="3081" max="3081" width="18.5703125" style="52" bestFit="1" customWidth="1"/>
    <col min="3082" max="3082" width="13.7109375" style="52" customWidth="1"/>
    <col min="3083" max="3083" width="54.5703125" style="52" bestFit="1" customWidth="1"/>
    <col min="3084" max="3322" width="9.140625" style="52"/>
    <col min="3323" max="3323" width="2.85546875" style="52" customWidth="1"/>
    <col min="3324" max="3324" width="5" style="52" customWidth="1"/>
    <col min="3325" max="3325" width="62" style="52" customWidth="1"/>
    <col min="3326" max="3326" width="12.7109375" style="52" bestFit="1" customWidth="1"/>
    <col min="3327" max="3327" width="1.7109375" style="52" customWidth="1"/>
    <col min="3328" max="3330" width="15.7109375" style="52" customWidth="1"/>
    <col min="3331" max="3331" width="17.85546875" style="52" bestFit="1" customWidth="1"/>
    <col min="3332" max="3332" width="18.5703125" style="52" bestFit="1" customWidth="1"/>
    <col min="3333" max="3335" width="15.7109375" style="52" customWidth="1"/>
    <col min="3336" max="3336" width="20" style="52" customWidth="1"/>
    <col min="3337" max="3337" width="18.5703125" style="52" bestFit="1" customWidth="1"/>
    <col min="3338" max="3338" width="13.7109375" style="52" customWidth="1"/>
    <col min="3339" max="3339" width="54.5703125" style="52" bestFit="1" customWidth="1"/>
    <col min="3340" max="3578" width="9.140625" style="52"/>
    <col min="3579" max="3579" width="2.85546875" style="52" customWidth="1"/>
    <col min="3580" max="3580" width="5" style="52" customWidth="1"/>
    <col min="3581" max="3581" width="62" style="52" customWidth="1"/>
    <col min="3582" max="3582" width="12.7109375" style="52" bestFit="1" customWidth="1"/>
    <col min="3583" max="3583" width="1.7109375" style="52" customWidth="1"/>
    <col min="3584" max="3586" width="15.7109375" style="52" customWidth="1"/>
    <col min="3587" max="3587" width="17.85546875" style="52" bestFit="1" customWidth="1"/>
    <col min="3588" max="3588" width="18.5703125" style="52" bestFit="1" customWidth="1"/>
    <col min="3589" max="3591" width="15.7109375" style="52" customWidth="1"/>
    <col min="3592" max="3592" width="20" style="52" customWidth="1"/>
    <col min="3593" max="3593" width="18.5703125" style="52" bestFit="1" customWidth="1"/>
    <col min="3594" max="3594" width="13.7109375" style="52" customWidth="1"/>
    <col min="3595" max="3595" width="54.5703125" style="52" bestFit="1" customWidth="1"/>
    <col min="3596" max="3834" width="9.140625" style="52"/>
    <col min="3835" max="3835" width="2.85546875" style="52" customWidth="1"/>
    <col min="3836" max="3836" width="5" style="52" customWidth="1"/>
    <col min="3837" max="3837" width="62" style="52" customWidth="1"/>
    <col min="3838" max="3838" width="12.7109375" style="52" bestFit="1" customWidth="1"/>
    <col min="3839" max="3839" width="1.7109375" style="52" customWidth="1"/>
    <col min="3840" max="3842" width="15.7109375" style="52" customWidth="1"/>
    <col min="3843" max="3843" width="17.85546875" style="52" bestFit="1" customWidth="1"/>
    <col min="3844" max="3844" width="18.5703125" style="52" bestFit="1" customWidth="1"/>
    <col min="3845" max="3847" width="15.7109375" style="52" customWidth="1"/>
    <col min="3848" max="3848" width="20" style="52" customWidth="1"/>
    <col min="3849" max="3849" width="18.5703125" style="52" bestFit="1" customWidth="1"/>
    <col min="3850" max="3850" width="13.7109375" style="52" customWidth="1"/>
    <col min="3851" max="3851" width="54.5703125" style="52" bestFit="1" customWidth="1"/>
    <col min="3852" max="4090" width="9.140625" style="52"/>
    <col min="4091" max="4091" width="2.85546875" style="52" customWidth="1"/>
    <col min="4092" max="4092" width="5" style="52" customWidth="1"/>
    <col min="4093" max="4093" width="62" style="52" customWidth="1"/>
    <col min="4094" max="4094" width="12.7109375" style="52" bestFit="1" customWidth="1"/>
    <col min="4095" max="4095" width="1.7109375" style="52" customWidth="1"/>
    <col min="4096" max="4098" width="15.7109375" style="52" customWidth="1"/>
    <col min="4099" max="4099" width="17.85546875" style="52" bestFit="1" customWidth="1"/>
    <col min="4100" max="4100" width="18.5703125" style="52" bestFit="1" customWidth="1"/>
    <col min="4101" max="4103" width="15.7109375" style="52" customWidth="1"/>
    <col min="4104" max="4104" width="20" style="52" customWidth="1"/>
    <col min="4105" max="4105" width="18.5703125" style="52" bestFit="1" customWidth="1"/>
    <col min="4106" max="4106" width="13.7109375" style="52" customWidth="1"/>
    <col min="4107" max="4107" width="54.5703125" style="52" bestFit="1" customWidth="1"/>
    <col min="4108" max="4346" width="9.140625" style="52"/>
    <col min="4347" max="4347" width="2.85546875" style="52" customWidth="1"/>
    <col min="4348" max="4348" width="5" style="52" customWidth="1"/>
    <col min="4349" max="4349" width="62" style="52" customWidth="1"/>
    <col min="4350" max="4350" width="12.7109375" style="52" bestFit="1" customWidth="1"/>
    <col min="4351" max="4351" width="1.7109375" style="52" customWidth="1"/>
    <col min="4352" max="4354" width="15.7109375" style="52" customWidth="1"/>
    <col min="4355" max="4355" width="17.85546875" style="52" bestFit="1" customWidth="1"/>
    <col min="4356" max="4356" width="18.5703125" style="52" bestFit="1" customWidth="1"/>
    <col min="4357" max="4359" width="15.7109375" style="52" customWidth="1"/>
    <col min="4360" max="4360" width="20" style="52" customWidth="1"/>
    <col min="4361" max="4361" width="18.5703125" style="52" bestFit="1" customWidth="1"/>
    <col min="4362" max="4362" width="13.7109375" style="52" customWidth="1"/>
    <col min="4363" max="4363" width="54.5703125" style="52" bestFit="1" customWidth="1"/>
    <col min="4364" max="4602" width="9.140625" style="52"/>
    <col min="4603" max="4603" width="2.85546875" style="52" customWidth="1"/>
    <col min="4604" max="4604" width="5" style="52" customWidth="1"/>
    <col min="4605" max="4605" width="62" style="52" customWidth="1"/>
    <col min="4606" max="4606" width="12.7109375" style="52" bestFit="1" customWidth="1"/>
    <col min="4607" max="4607" width="1.7109375" style="52" customWidth="1"/>
    <col min="4608" max="4610" width="15.7109375" style="52" customWidth="1"/>
    <col min="4611" max="4611" width="17.85546875" style="52" bestFit="1" customWidth="1"/>
    <col min="4612" max="4612" width="18.5703125" style="52" bestFit="1" customWidth="1"/>
    <col min="4613" max="4615" width="15.7109375" style="52" customWidth="1"/>
    <col min="4616" max="4616" width="20" style="52" customWidth="1"/>
    <col min="4617" max="4617" width="18.5703125" style="52" bestFit="1" customWidth="1"/>
    <col min="4618" max="4618" width="13.7109375" style="52" customWidth="1"/>
    <col min="4619" max="4619" width="54.5703125" style="52" bestFit="1" customWidth="1"/>
    <col min="4620" max="4858" width="9.140625" style="52"/>
    <col min="4859" max="4859" width="2.85546875" style="52" customWidth="1"/>
    <col min="4860" max="4860" width="5" style="52" customWidth="1"/>
    <col min="4861" max="4861" width="62" style="52" customWidth="1"/>
    <col min="4862" max="4862" width="12.7109375" style="52" bestFit="1" customWidth="1"/>
    <col min="4863" max="4863" width="1.7109375" style="52" customWidth="1"/>
    <col min="4864" max="4866" width="15.7109375" style="52" customWidth="1"/>
    <col min="4867" max="4867" width="17.85546875" style="52" bestFit="1" customWidth="1"/>
    <col min="4868" max="4868" width="18.5703125" style="52" bestFit="1" customWidth="1"/>
    <col min="4869" max="4871" width="15.7109375" style="52" customWidth="1"/>
    <col min="4872" max="4872" width="20" style="52" customWidth="1"/>
    <col min="4873" max="4873" width="18.5703125" style="52" bestFit="1" customWidth="1"/>
    <col min="4874" max="4874" width="13.7109375" style="52" customWidth="1"/>
    <col min="4875" max="4875" width="54.5703125" style="52" bestFit="1" customWidth="1"/>
    <col min="4876" max="5114" width="9.140625" style="52"/>
    <col min="5115" max="5115" width="2.85546875" style="52" customWidth="1"/>
    <col min="5116" max="5116" width="5" style="52" customWidth="1"/>
    <col min="5117" max="5117" width="62" style="52" customWidth="1"/>
    <col min="5118" max="5118" width="12.7109375" style="52" bestFit="1" customWidth="1"/>
    <col min="5119" max="5119" width="1.7109375" style="52" customWidth="1"/>
    <col min="5120" max="5122" width="15.7109375" style="52" customWidth="1"/>
    <col min="5123" max="5123" width="17.85546875" style="52" bestFit="1" customWidth="1"/>
    <col min="5124" max="5124" width="18.5703125" style="52" bestFit="1" customWidth="1"/>
    <col min="5125" max="5127" width="15.7109375" style="52" customWidth="1"/>
    <col min="5128" max="5128" width="20" style="52" customWidth="1"/>
    <col min="5129" max="5129" width="18.5703125" style="52" bestFit="1" customWidth="1"/>
    <col min="5130" max="5130" width="13.7109375" style="52" customWidth="1"/>
    <col min="5131" max="5131" width="54.5703125" style="52" bestFit="1" customWidth="1"/>
    <col min="5132" max="5370" width="9.140625" style="52"/>
    <col min="5371" max="5371" width="2.85546875" style="52" customWidth="1"/>
    <col min="5372" max="5372" width="5" style="52" customWidth="1"/>
    <col min="5373" max="5373" width="62" style="52" customWidth="1"/>
    <col min="5374" max="5374" width="12.7109375" style="52" bestFit="1" customWidth="1"/>
    <col min="5375" max="5375" width="1.7109375" style="52" customWidth="1"/>
    <col min="5376" max="5378" width="15.7109375" style="52" customWidth="1"/>
    <col min="5379" max="5379" width="17.85546875" style="52" bestFit="1" customWidth="1"/>
    <col min="5380" max="5380" width="18.5703125" style="52" bestFit="1" customWidth="1"/>
    <col min="5381" max="5383" width="15.7109375" style="52" customWidth="1"/>
    <col min="5384" max="5384" width="20" style="52" customWidth="1"/>
    <col min="5385" max="5385" width="18.5703125" style="52" bestFit="1" customWidth="1"/>
    <col min="5386" max="5386" width="13.7109375" style="52" customWidth="1"/>
    <col min="5387" max="5387" width="54.5703125" style="52" bestFit="1" customWidth="1"/>
    <col min="5388" max="5626" width="9.140625" style="52"/>
    <col min="5627" max="5627" width="2.85546875" style="52" customWidth="1"/>
    <col min="5628" max="5628" width="5" style="52" customWidth="1"/>
    <col min="5629" max="5629" width="62" style="52" customWidth="1"/>
    <col min="5630" max="5630" width="12.7109375" style="52" bestFit="1" customWidth="1"/>
    <col min="5631" max="5631" width="1.7109375" style="52" customWidth="1"/>
    <col min="5632" max="5634" width="15.7109375" style="52" customWidth="1"/>
    <col min="5635" max="5635" width="17.85546875" style="52" bestFit="1" customWidth="1"/>
    <col min="5636" max="5636" width="18.5703125" style="52" bestFit="1" customWidth="1"/>
    <col min="5637" max="5639" width="15.7109375" style="52" customWidth="1"/>
    <col min="5640" max="5640" width="20" style="52" customWidth="1"/>
    <col min="5641" max="5641" width="18.5703125" style="52" bestFit="1" customWidth="1"/>
    <col min="5642" max="5642" width="13.7109375" style="52" customWidth="1"/>
    <col min="5643" max="5643" width="54.5703125" style="52" bestFit="1" customWidth="1"/>
    <col min="5644" max="5882" width="9.140625" style="52"/>
    <col min="5883" max="5883" width="2.85546875" style="52" customWidth="1"/>
    <col min="5884" max="5884" width="5" style="52" customWidth="1"/>
    <col min="5885" max="5885" width="62" style="52" customWidth="1"/>
    <col min="5886" max="5886" width="12.7109375" style="52" bestFit="1" customWidth="1"/>
    <col min="5887" max="5887" width="1.7109375" style="52" customWidth="1"/>
    <col min="5888" max="5890" width="15.7109375" style="52" customWidth="1"/>
    <col min="5891" max="5891" width="17.85546875" style="52" bestFit="1" customWidth="1"/>
    <col min="5892" max="5892" width="18.5703125" style="52" bestFit="1" customWidth="1"/>
    <col min="5893" max="5895" width="15.7109375" style="52" customWidth="1"/>
    <col min="5896" max="5896" width="20" style="52" customWidth="1"/>
    <col min="5897" max="5897" width="18.5703125" style="52" bestFit="1" customWidth="1"/>
    <col min="5898" max="5898" width="13.7109375" style="52" customWidth="1"/>
    <col min="5899" max="5899" width="54.5703125" style="52" bestFit="1" customWidth="1"/>
    <col min="5900" max="6138" width="9.140625" style="52"/>
    <col min="6139" max="6139" width="2.85546875" style="52" customWidth="1"/>
    <col min="6140" max="6140" width="5" style="52" customWidth="1"/>
    <col min="6141" max="6141" width="62" style="52" customWidth="1"/>
    <col min="6142" max="6142" width="12.7109375" style="52" bestFit="1" customWidth="1"/>
    <col min="6143" max="6143" width="1.7109375" style="52" customWidth="1"/>
    <col min="6144" max="6146" width="15.7109375" style="52" customWidth="1"/>
    <col min="6147" max="6147" width="17.85546875" style="52" bestFit="1" customWidth="1"/>
    <col min="6148" max="6148" width="18.5703125" style="52" bestFit="1" customWidth="1"/>
    <col min="6149" max="6151" width="15.7109375" style="52" customWidth="1"/>
    <col min="6152" max="6152" width="20" style="52" customWidth="1"/>
    <col min="6153" max="6153" width="18.5703125" style="52" bestFit="1" customWidth="1"/>
    <col min="6154" max="6154" width="13.7109375" style="52" customWidth="1"/>
    <col min="6155" max="6155" width="54.5703125" style="52" bestFit="1" customWidth="1"/>
    <col min="6156" max="6394" width="9.140625" style="52"/>
    <col min="6395" max="6395" width="2.85546875" style="52" customWidth="1"/>
    <col min="6396" max="6396" width="5" style="52" customWidth="1"/>
    <col min="6397" max="6397" width="62" style="52" customWidth="1"/>
    <col min="6398" max="6398" width="12.7109375" style="52" bestFit="1" customWidth="1"/>
    <col min="6399" max="6399" width="1.7109375" style="52" customWidth="1"/>
    <col min="6400" max="6402" width="15.7109375" style="52" customWidth="1"/>
    <col min="6403" max="6403" width="17.85546875" style="52" bestFit="1" customWidth="1"/>
    <col min="6404" max="6404" width="18.5703125" style="52" bestFit="1" customWidth="1"/>
    <col min="6405" max="6407" width="15.7109375" style="52" customWidth="1"/>
    <col min="6408" max="6408" width="20" style="52" customWidth="1"/>
    <col min="6409" max="6409" width="18.5703125" style="52" bestFit="1" customWidth="1"/>
    <col min="6410" max="6410" width="13.7109375" style="52" customWidth="1"/>
    <col min="6411" max="6411" width="54.5703125" style="52" bestFit="1" customWidth="1"/>
    <col min="6412" max="6650" width="9.140625" style="52"/>
    <col min="6651" max="6651" width="2.85546875" style="52" customWidth="1"/>
    <col min="6652" max="6652" width="5" style="52" customWidth="1"/>
    <col min="6653" max="6653" width="62" style="52" customWidth="1"/>
    <col min="6654" max="6654" width="12.7109375" style="52" bestFit="1" customWidth="1"/>
    <col min="6655" max="6655" width="1.7109375" style="52" customWidth="1"/>
    <col min="6656" max="6658" width="15.7109375" style="52" customWidth="1"/>
    <col min="6659" max="6659" width="17.85546875" style="52" bestFit="1" customWidth="1"/>
    <col min="6660" max="6660" width="18.5703125" style="52" bestFit="1" customWidth="1"/>
    <col min="6661" max="6663" width="15.7109375" style="52" customWidth="1"/>
    <col min="6664" max="6664" width="20" style="52" customWidth="1"/>
    <col min="6665" max="6665" width="18.5703125" style="52" bestFit="1" customWidth="1"/>
    <col min="6666" max="6666" width="13.7109375" style="52" customWidth="1"/>
    <col min="6667" max="6667" width="54.5703125" style="52" bestFit="1" customWidth="1"/>
    <col min="6668" max="6906" width="9.140625" style="52"/>
    <col min="6907" max="6907" width="2.85546875" style="52" customWidth="1"/>
    <col min="6908" max="6908" width="5" style="52" customWidth="1"/>
    <col min="6909" max="6909" width="62" style="52" customWidth="1"/>
    <col min="6910" max="6910" width="12.7109375" style="52" bestFit="1" customWidth="1"/>
    <col min="6911" max="6911" width="1.7109375" style="52" customWidth="1"/>
    <col min="6912" max="6914" width="15.7109375" style="52" customWidth="1"/>
    <col min="6915" max="6915" width="17.85546875" style="52" bestFit="1" customWidth="1"/>
    <col min="6916" max="6916" width="18.5703125" style="52" bestFit="1" customWidth="1"/>
    <col min="6917" max="6919" width="15.7109375" style="52" customWidth="1"/>
    <col min="6920" max="6920" width="20" style="52" customWidth="1"/>
    <col min="6921" max="6921" width="18.5703125" style="52" bestFit="1" customWidth="1"/>
    <col min="6922" max="6922" width="13.7109375" style="52" customWidth="1"/>
    <col min="6923" max="6923" width="54.5703125" style="52" bestFit="1" customWidth="1"/>
    <col min="6924" max="7162" width="9.140625" style="52"/>
    <col min="7163" max="7163" width="2.85546875" style="52" customWidth="1"/>
    <col min="7164" max="7164" width="5" style="52" customWidth="1"/>
    <col min="7165" max="7165" width="62" style="52" customWidth="1"/>
    <col min="7166" max="7166" width="12.7109375" style="52" bestFit="1" customWidth="1"/>
    <col min="7167" max="7167" width="1.7109375" style="52" customWidth="1"/>
    <col min="7168" max="7170" width="15.7109375" style="52" customWidth="1"/>
    <col min="7171" max="7171" width="17.85546875" style="52" bestFit="1" customWidth="1"/>
    <col min="7172" max="7172" width="18.5703125" style="52" bestFit="1" customWidth="1"/>
    <col min="7173" max="7175" width="15.7109375" style="52" customWidth="1"/>
    <col min="7176" max="7176" width="20" style="52" customWidth="1"/>
    <col min="7177" max="7177" width="18.5703125" style="52" bestFit="1" customWidth="1"/>
    <col min="7178" max="7178" width="13.7109375" style="52" customWidth="1"/>
    <col min="7179" max="7179" width="54.5703125" style="52" bestFit="1" customWidth="1"/>
    <col min="7180" max="7418" width="9.140625" style="52"/>
    <col min="7419" max="7419" width="2.85546875" style="52" customWidth="1"/>
    <col min="7420" max="7420" width="5" style="52" customWidth="1"/>
    <col min="7421" max="7421" width="62" style="52" customWidth="1"/>
    <col min="7422" max="7422" width="12.7109375" style="52" bestFit="1" customWidth="1"/>
    <col min="7423" max="7423" width="1.7109375" style="52" customWidth="1"/>
    <col min="7424" max="7426" width="15.7109375" style="52" customWidth="1"/>
    <col min="7427" max="7427" width="17.85546875" style="52" bestFit="1" customWidth="1"/>
    <col min="7428" max="7428" width="18.5703125" style="52" bestFit="1" customWidth="1"/>
    <col min="7429" max="7431" width="15.7109375" style="52" customWidth="1"/>
    <col min="7432" max="7432" width="20" style="52" customWidth="1"/>
    <col min="7433" max="7433" width="18.5703125" style="52" bestFit="1" customWidth="1"/>
    <col min="7434" max="7434" width="13.7109375" style="52" customWidth="1"/>
    <col min="7435" max="7435" width="54.5703125" style="52" bestFit="1" customWidth="1"/>
    <col min="7436" max="7674" width="9.140625" style="52"/>
    <col min="7675" max="7675" width="2.85546875" style="52" customWidth="1"/>
    <col min="7676" max="7676" width="5" style="52" customWidth="1"/>
    <col min="7677" max="7677" width="62" style="52" customWidth="1"/>
    <col min="7678" max="7678" width="12.7109375" style="52" bestFit="1" customWidth="1"/>
    <col min="7679" max="7679" width="1.7109375" style="52" customWidth="1"/>
    <col min="7680" max="7682" width="15.7109375" style="52" customWidth="1"/>
    <col min="7683" max="7683" width="17.85546875" style="52" bestFit="1" customWidth="1"/>
    <col min="7684" max="7684" width="18.5703125" style="52" bestFit="1" customWidth="1"/>
    <col min="7685" max="7687" width="15.7109375" style="52" customWidth="1"/>
    <col min="7688" max="7688" width="20" style="52" customWidth="1"/>
    <col min="7689" max="7689" width="18.5703125" style="52" bestFit="1" customWidth="1"/>
    <col min="7690" max="7690" width="13.7109375" style="52" customWidth="1"/>
    <col min="7691" max="7691" width="54.5703125" style="52" bestFit="1" customWidth="1"/>
    <col min="7692" max="7930" width="9.140625" style="52"/>
    <col min="7931" max="7931" width="2.85546875" style="52" customWidth="1"/>
    <col min="7932" max="7932" width="5" style="52" customWidth="1"/>
    <col min="7933" max="7933" width="62" style="52" customWidth="1"/>
    <col min="7934" max="7934" width="12.7109375" style="52" bestFit="1" customWidth="1"/>
    <col min="7935" max="7935" width="1.7109375" style="52" customWidth="1"/>
    <col min="7936" max="7938" width="15.7109375" style="52" customWidth="1"/>
    <col min="7939" max="7939" width="17.85546875" style="52" bestFit="1" customWidth="1"/>
    <col min="7940" max="7940" width="18.5703125" style="52" bestFit="1" customWidth="1"/>
    <col min="7941" max="7943" width="15.7109375" style="52" customWidth="1"/>
    <col min="7944" max="7944" width="20" style="52" customWidth="1"/>
    <col min="7945" max="7945" width="18.5703125" style="52" bestFit="1" customWidth="1"/>
    <col min="7946" max="7946" width="13.7109375" style="52" customWidth="1"/>
    <col min="7947" max="7947" width="54.5703125" style="52" bestFit="1" customWidth="1"/>
    <col min="7948" max="8186" width="9.140625" style="52"/>
    <col min="8187" max="8187" width="2.85546875" style="52" customWidth="1"/>
    <col min="8188" max="8188" width="5" style="52" customWidth="1"/>
    <col min="8189" max="8189" width="62" style="52" customWidth="1"/>
    <col min="8190" max="8190" width="12.7109375" style="52" bestFit="1" customWidth="1"/>
    <col min="8191" max="8191" width="1.7109375" style="52" customWidth="1"/>
    <col min="8192" max="8194" width="15.7109375" style="52" customWidth="1"/>
    <col min="8195" max="8195" width="17.85546875" style="52" bestFit="1" customWidth="1"/>
    <col min="8196" max="8196" width="18.5703125" style="52" bestFit="1" customWidth="1"/>
    <col min="8197" max="8199" width="15.7109375" style="52" customWidth="1"/>
    <col min="8200" max="8200" width="20" style="52" customWidth="1"/>
    <col min="8201" max="8201" width="18.5703125" style="52" bestFit="1" customWidth="1"/>
    <col min="8202" max="8202" width="13.7109375" style="52" customWidth="1"/>
    <col min="8203" max="8203" width="54.5703125" style="52" bestFit="1" customWidth="1"/>
    <col min="8204" max="8442" width="9.140625" style="52"/>
    <col min="8443" max="8443" width="2.85546875" style="52" customWidth="1"/>
    <col min="8444" max="8444" width="5" style="52" customWidth="1"/>
    <col min="8445" max="8445" width="62" style="52" customWidth="1"/>
    <col min="8446" max="8446" width="12.7109375" style="52" bestFit="1" customWidth="1"/>
    <col min="8447" max="8447" width="1.7109375" style="52" customWidth="1"/>
    <col min="8448" max="8450" width="15.7109375" style="52" customWidth="1"/>
    <col min="8451" max="8451" width="17.85546875" style="52" bestFit="1" customWidth="1"/>
    <col min="8452" max="8452" width="18.5703125" style="52" bestFit="1" customWidth="1"/>
    <col min="8453" max="8455" width="15.7109375" style="52" customWidth="1"/>
    <col min="8456" max="8456" width="20" style="52" customWidth="1"/>
    <col min="8457" max="8457" width="18.5703125" style="52" bestFit="1" customWidth="1"/>
    <col min="8458" max="8458" width="13.7109375" style="52" customWidth="1"/>
    <col min="8459" max="8459" width="54.5703125" style="52" bestFit="1" customWidth="1"/>
    <col min="8460" max="8698" width="9.140625" style="52"/>
    <col min="8699" max="8699" width="2.85546875" style="52" customWidth="1"/>
    <col min="8700" max="8700" width="5" style="52" customWidth="1"/>
    <col min="8701" max="8701" width="62" style="52" customWidth="1"/>
    <col min="8702" max="8702" width="12.7109375" style="52" bestFit="1" customWidth="1"/>
    <col min="8703" max="8703" width="1.7109375" style="52" customWidth="1"/>
    <col min="8704" max="8706" width="15.7109375" style="52" customWidth="1"/>
    <col min="8707" max="8707" width="17.85546875" style="52" bestFit="1" customWidth="1"/>
    <col min="8708" max="8708" width="18.5703125" style="52" bestFit="1" customWidth="1"/>
    <col min="8709" max="8711" width="15.7109375" style="52" customWidth="1"/>
    <col min="8712" max="8712" width="20" style="52" customWidth="1"/>
    <col min="8713" max="8713" width="18.5703125" style="52" bestFit="1" customWidth="1"/>
    <col min="8714" max="8714" width="13.7109375" style="52" customWidth="1"/>
    <col min="8715" max="8715" width="54.5703125" style="52" bestFit="1" customWidth="1"/>
    <col min="8716" max="8954" width="9.140625" style="52"/>
    <col min="8955" max="8955" width="2.85546875" style="52" customWidth="1"/>
    <col min="8956" max="8956" width="5" style="52" customWidth="1"/>
    <col min="8957" max="8957" width="62" style="52" customWidth="1"/>
    <col min="8958" max="8958" width="12.7109375" style="52" bestFit="1" customWidth="1"/>
    <col min="8959" max="8959" width="1.7109375" style="52" customWidth="1"/>
    <col min="8960" max="8962" width="15.7109375" style="52" customWidth="1"/>
    <col min="8963" max="8963" width="17.85546875" style="52" bestFit="1" customWidth="1"/>
    <col min="8964" max="8964" width="18.5703125" style="52" bestFit="1" customWidth="1"/>
    <col min="8965" max="8967" width="15.7109375" style="52" customWidth="1"/>
    <col min="8968" max="8968" width="20" style="52" customWidth="1"/>
    <col min="8969" max="8969" width="18.5703125" style="52" bestFit="1" customWidth="1"/>
    <col min="8970" max="8970" width="13.7109375" style="52" customWidth="1"/>
    <col min="8971" max="8971" width="54.5703125" style="52" bestFit="1" customWidth="1"/>
    <col min="8972" max="9210" width="9.140625" style="52"/>
    <col min="9211" max="9211" width="2.85546875" style="52" customWidth="1"/>
    <col min="9212" max="9212" width="5" style="52" customWidth="1"/>
    <col min="9213" max="9213" width="62" style="52" customWidth="1"/>
    <col min="9214" max="9214" width="12.7109375" style="52" bestFit="1" customWidth="1"/>
    <col min="9215" max="9215" width="1.7109375" style="52" customWidth="1"/>
    <col min="9216" max="9218" width="15.7109375" style="52" customWidth="1"/>
    <col min="9219" max="9219" width="17.85546875" style="52" bestFit="1" customWidth="1"/>
    <col min="9220" max="9220" width="18.5703125" style="52" bestFit="1" customWidth="1"/>
    <col min="9221" max="9223" width="15.7109375" style="52" customWidth="1"/>
    <col min="9224" max="9224" width="20" style="52" customWidth="1"/>
    <col min="9225" max="9225" width="18.5703125" style="52" bestFit="1" customWidth="1"/>
    <col min="9226" max="9226" width="13.7109375" style="52" customWidth="1"/>
    <col min="9227" max="9227" width="54.5703125" style="52" bestFit="1" customWidth="1"/>
    <col min="9228" max="9466" width="9.140625" style="52"/>
    <col min="9467" max="9467" width="2.85546875" style="52" customWidth="1"/>
    <col min="9468" max="9468" width="5" style="52" customWidth="1"/>
    <col min="9469" max="9469" width="62" style="52" customWidth="1"/>
    <col min="9470" max="9470" width="12.7109375" style="52" bestFit="1" customWidth="1"/>
    <col min="9471" max="9471" width="1.7109375" style="52" customWidth="1"/>
    <col min="9472" max="9474" width="15.7109375" style="52" customWidth="1"/>
    <col min="9475" max="9475" width="17.85546875" style="52" bestFit="1" customWidth="1"/>
    <col min="9476" max="9476" width="18.5703125" style="52" bestFit="1" customWidth="1"/>
    <col min="9477" max="9479" width="15.7109375" style="52" customWidth="1"/>
    <col min="9480" max="9480" width="20" style="52" customWidth="1"/>
    <col min="9481" max="9481" width="18.5703125" style="52" bestFit="1" customWidth="1"/>
    <col min="9482" max="9482" width="13.7109375" style="52" customWidth="1"/>
    <col min="9483" max="9483" width="54.5703125" style="52" bestFit="1" customWidth="1"/>
    <col min="9484" max="9722" width="9.140625" style="52"/>
    <col min="9723" max="9723" width="2.85546875" style="52" customWidth="1"/>
    <col min="9724" max="9724" width="5" style="52" customWidth="1"/>
    <col min="9725" max="9725" width="62" style="52" customWidth="1"/>
    <col min="9726" max="9726" width="12.7109375" style="52" bestFit="1" customWidth="1"/>
    <col min="9727" max="9727" width="1.7109375" style="52" customWidth="1"/>
    <col min="9728" max="9730" width="15.7109375" style="52" customWidth="1"/>
    <col min="9731" max="9731" width="17.85546875" style="52" bestFit="1" customWidth="1"/>
    <col min="9732" max="9732" width="18.5703125" style="52" bestFit="1" customWidth="1"/>
    <col min="9733" max="9735" width="15.7109375" style="52" customWidth="1"/>
    <col min="9736" max="9736" width="20" style="52" customWidth="1"/>
    <col min="9737" max="9737" width="18.5703125" style="52" bestFit="1" customWidth="1"/>
    <col min="9738" max="9738" width="13.7109375" style="52" customWidth="1"/>
    <col min="9739" max="9739" width="54.5703125" style="52" bestFit="1" customWidth="1"/>
    <col min="9740" max="9978" width="9.140625" style="52"/>
    <col min="9979" max="9979" width="2.85546875" style="52" customWidth="1"/>
    <col min="9980" max="9980" width="5" style="52" customWidth="1"/>
    <col min="9981" max="9981" width="62" style="52" customWidth="1"/>
    <col min="9982" max="9982" width="12.7109375" style="52" bestFit="1" customWidth="1"/>
    <col min="9983" max="9983" width="1.7109375" style="52" customWidth="1"/>
    <col min="9984" max="9986" width="15.7109375" style="52" customWidth="1"/>
    <col min="9987" max="9987" width="17.85546875" style="52" bestFit="1" customWidth="1"/>
    <col min="9988" max="9988" width="18.5703125" style="52" bestFit="1" customWidth="1"/>
    <col min="9989" max="9991" width="15.7109375" style="52" customWidth="1"/>
    <col min="9992" max="9992" width="20" style="52" customWidth="1"/>
    <col min="9993" max="9993" width="18.5703125" style="52" bestFit="1" customWidth="1"/>
    <col min="9994" max="9994" width="13.7109375" style="52" customWidth="1"/>
    <col min="9995" max="9995" width="54.5703125" style="52" bestFit="1" customWidth="1"/>
    <col min="9996" max="10234" width="9.140625" style="52"/>
    <col min="10235" max="10235" width="2.85546875" style="52" customWidth="1"/>
    <col min="10236" max="10236" width="5" style="52" customWidth="1"/>
    <col min="10237" max="10237" width="62" style="52" customWidth="1"/>
    <col min="10238" max="10238" width="12.7109375" style="52" bestFit="1" customWidth="1"/>
    <col min="10239" max="10239" width="1.7109375" style="52" customWidth="1"/>
    <col min="10240" max="10242" width="15.7109375" style="52" customWidth="1"/>
    <col min="10243" max="10243" width="17.85546875" style="52" bestFit="1" customWidth="1"/>
    <col min="10244" max="10244" width="18.5703125" style="52" bestFit="1" customWidth="1"/>
    <col min="10245" max="10247" width="15.7109375" style="52" customWidth="1"/>
    <col min="10248" max="10248" width="20" style="52" customWidth="1"/>
    <col min="10249" max="10249" width="18.5703125" style="52" bestFit="1" customWidth="1"/>
    <col min="10250" max="10250" width="13.7109375" style="52" customWidth="1"/>
    <col min="10251" max="10251" width="54.5703125" style="52" bestFit="1" customWidth="1"/>
    <col min="10252" max="10490" width="9.140625" style="52"/>
    <col min="10491" max="10491" width="2.85546875" style="52" customWidth="1"/>
    <col min="10492" max="10492" width="5" style="52" customWidth="1"/>
    <col min="10493" max="10493" width="62" style="52" customWidth="1"/>
    <col min="10494" max="10494" width="12.7109375" style="52" bestFit="1" customWidth="1"/>
    <col min="10495" max="10495" width="1.7109375" style="52" customWidth="1"/>
    <col min="10496" max="10498" width="15.7109375" style="52" customWidth="1"/>
    <col min="10499" max="10499" width="17.85546875" style="52" bestFit="1" customWidth="1"/>
    <col min="10500" max="10500" width="18.5703125" style="52" bestFit="1" customWidth="1"/>
    <col min="10501" max="10503" width="15.7109375" style="52" customWidth="1"/>
    <col min="10504" max="10504" width="20" style="52" customWidth="1"/>
    <col min="10505" max="10505" width="18.5703125" style="52" bestFit="1" customWidth="1"/>
    <col min="10506" max="10506" width="13.7109375" style="52" customWidth="1"/>
    <col min="10507" max="10507" width="54.5703125" style="52" bestFit="1" customWidth="1"/>
    <col min="10508" max="10746" width="9.140625" style="52"/>
    <col min="10747" max="10747" width="2.85546875" style="52" customWidth="1"/>
    <col min="10748" max="10748" width="5" style="52" customWidth="1"/>
    <col min="10749" max="10749" width="62" style="52" customWidth="1"/>
    <col min="10750" max="10750" width="12.7109375" style="52" bestFit="1" customWidth="1"/>
    <col min="10751" max="10751" width="1.7109375" style="52" customWidth="1"/>
    <col min="10752" max="10754" width="15.7109375" style="52" customWidth="1"/>
    <col min="10755" max="10755" width="17.85546875" style="52" bestFit="1" customWidth="1"/>
    <col min="10756" max="10756" width="18.5703125" style="52" bestFit="1" customWidth="1"/>
    <col min="10757" max="10759" width="15.7109375" style="52" customWidth="1"/>
    <col min="10760" max="10760" width="20" style="52" customWidth="1"/>
    <col min="10761" max="10761" width="18.5703125" style="52" bestFit="1" customWidth="1"/>
    <col min="10762" max="10762" width="13.7109375" style="52" customWidth="1"/>
    <col min="10763" max="10763" width="54.5703125" style="52" bestFit="1" customWidth="1"/>
    <col min="10764" max="11002" width="9.140625" style="52"/>
    <col min="11003" max="11003" width="2.85546875" style="52" customWidth="1"/>
    <col min="11004" max="11004" width="5" style="52" customWidth="1"/>
    <col min="11005" max="11005" width="62" style="52" customWidth="1"/>
    <col min="11006" max="11006" width="12.7109375" style="52" bestFit="1" customWidth="1"/>
    <col min="11007" max="11007" width="1.7109375" style="52" customWidth="1"/>
    <col min="11008" max="11010" width="15.7109375" style="52" customWidth="1"/>
    <col min="11011" max="11011" width="17.85546875" style="52" bestFit="1" customWidth="1"/>
    <col min="11012" max="11012" width="18.5703125" style="52" bestFit="1" customWidth="1"/>
    <col min="11013" max="11015" width="15.7109375" style="52" customWidth="1"/>
    <col min="11016" max="11016" width="20" style="52" customWidth="1"/>
    <col min="11017" max="11017" width="18.5703125" style="52" bestFit="1" customWidth="1"/>
    <col min="11018" max="11018" width="13.7109375" style="52" customWidth="1"/>
    <col min="11019" max="11019" width="54.5703125" style="52" bestFit="1" customWidth="1"/>
    <col min="11020" max="11258" width="9.140625" style="52"/>
    <col min="11259" max="11259" width="2.85546875" style="52" customWidth="1"/>
    <col min="11260" max="11260" width="5" style="52" customWidth="1"/>
    <col min="11261" max="11261" width="62" style="52" customWidth="1"/>
    <col min="11262" max="11262" width="12.7109375" style="52" bestFit="1" customWidth="1"/>
    <col min="11263" max="11263" width="1.7109375" style="52" customWidth="1"/>
    <col min="11264" max="11266" width="15.7109375" style="52" customWidth="1"/>
    <col min="11267" max="11267" width="17.85546875" style="52" bestFit="1" customWidth="1"/>
    <col min="11268" max="11268" width="18.5703125" style="52" bestFit="1" customWidth="1"/>
    <col min="11269" max="11271" width="15.7109375" style="52" customWidth="1"/>
    <col min="11272" max="11272" width="20" style="52" customWidth="1"/>
    <col min="11273" max="11273" width="18.5703125" style="52" bestFit="1" customWidth="1"/>
    <col min="11274" max="11274" width="13.7109375" style="52" customWidth="1"/>
    <col min="11275" max="11275" width="54.5703125" style="52" bestFit="1" customWidth="1"/>
    <col min="11276" max="11514" width="9.140625" style="52"/>
    <col min="11515" max="11515" width="2.85546875" style="52" customWidth="1"/>
    <col min="11516" max="11516" width="5" style="52" customWidth="1"/>
    <col min="11517" max="11517" width="62" style="52" customWidth="1"/>
    <col min="11518" max="11518" width="12.7109375" style="52" bestFit="1" customWidth="1"/>
    <col min="11519" max="11519" width="1.7109375" style="52" customWidth="1"/>
    <col min="11520" max="11522" width="15.7109375" style="52" customWidth="1"/>
    <col min="11523" max="11523" width="17.85546875" style="52" bestFit="1" customWidth="1"/>
    <col min="11524" max="11524" width="18.5703125" style="52" bestFit="1" customWidth="1"/>
    <col min="11525" max="11527" width="15.7109375" style="52" customWidth="1"/>
    <col min="11528" max="11528" width="20" style="52" customWidth="1"/>
    <col min="11529" max="11529" width="18.5703125" style="52" bestFit="1" customWidth="1"/>
    <col min="11530" max="11530" width="13.7109375" style="52" customWidth="1"/>
    <col min="11531" max="11531" width="54.5703125" style="52" bestFit="1" customWidth="1"/>
    <col min="11532" max="11770" width="9.140625" style="52"/>
    <col min="11771" max="11771" width="2.85546875" style="52" customWidth="1"/>
    <col min="11772" max="11772" width="5" style="52" customWidth="1"/>
    <col min="11773" max="11773" width="62" style="52" customWidth="1"/>
    <col min="11774" max="11774" width="12.7109375" style="52" bestFit="1" customWidth="1"/>
    <col min="11775" max="11775" width="1.7109375" style="52" customWidth="1"/>
    <col min="11776" max="11778" width="15.7109375" style="52" customWidth="1"/>
    <col min="11779" max="11779" width="17.85546875" style="52" bestFit="1" customWidth="1"/>
    <col min="11780" max="11780" width="18.5703125" style="52" bestFit="1" customWidth="1"/>
    <col min="11781" max="11783" width="15.7109375" style="52" customWidth="1"/>
    <col min="11784" max="11784" width="20" style="52" customWidth="1"/>
    <col min="11785" max="11785" width="18.5703125" style="52" bestFit="1" customWidth="1"/>
    <col min="11786" max="11786" width="13.7109375" style="52" customWidth="1"/>
    <col min="11787" max="11787" width="54.5703125" style="52" bestFit="1" customWidth="1"/>
    <col min="11788" max="12026" width="9.140625" style="52"/>
    <col min="12027" max="12027" width="2.85546875" style="52" customWidth="1"/>
    <col min="12028" max="12028" width="5" style="52" customWidth="1"/>
    <col min="12029" max="12029" width="62" style="52" customWidth="1"/>
    <col min="12030" max="12030" width="12.7109375" style="52" bestFit="1" customWidth="1"/>
    <col min="12031" max="12031" width="1.7109375" style="52" customWidth="1"/>
    <col min="12032" max="12034" width="15.7109375" style="52" customWidth="1"/>
    <col min="12035" max="12035" width="17.85546875" style="52" bestFit="1" customWidth="1"/>
    <col min="12036" max="12036" width="18.5703125" style="52" bestFit="1" customWidth="1"/>
    <col min="12037" max="12039" width="15.7109375" style="52" customWidth="1"/>
    <col min="12040" max="12040" width="20" style="52" customWidth="1"/>
    <col min="12041" max="12041" width="18.5703125" style="52" bestFit="1" customWidth="1"/>
    <col min="12042" max="12042" width="13.7109375" style="52" customWidth="1"/>
    <col min="12043" max="12043" width="54.5703125" style="52" bestFit="1" customWidth="1"/>
    <col min="12044" max="12282" width="9.140625" style="52"/>
    <col min="12283" max="12283" width="2.85546875" style="52" customWidth="1"/>
    <col min="12284" max="12284" width="5" style="52" customWidth="1"/>
    <col min="12285" max="12285" width="62" style="52" customWidth="1"/>
    <col min="12286" max="12286" width="12.7109375" style="52" bestFit="1" customWidth="1"/>
    <col min="12287" max="12287" width="1.7109375" style="52" customWidth="1"/>
    <col min="12288" max="12290" width="15.7109375" style="52" customWidth="1"/>
    <col min="12291" max="12291" width="17.85546875" style="52" bestFit="1" customWidth="1"/>
    <col min="12292" max="12292" width="18.5703125" style="52" bestFit="1" customWidth="1"/>
    <col min="12293" max="12295" width="15.7109375" style="52" customWidth="1"/>
    <col min="12296" max="12296" width="20" style="52" customWidth="1"/>
    <col min="12297" max="12297" width="18.5703125" style="52" bestFit="1" customWidth="1"/>
    <col min="12298" max="12298" width="13.7109375" style="52" customWidth="1"/>
    <col min="12299" max="12299" width="54.5703125" style="52" bestFit="1" customWidth="1"/>
    <col min="12300" max="12538" width="9.140625" style="52"/>
    <col min="12539" max="12539" width="2.85546875" style="52" customWidth="1"/>
    <col min="12540" max="12540" width="5" style="52" customWidth="1"/>
    <col min="12541" max="12541" width="62" style="52" customWidth="1"/>
    <col min="12542" max="12542" width="12.7109375" style="52" bestFit="1" customWidth="1"/>
    <col min="12543" max="12543" width="1.7109375" style="52" customWidth="1"/>
    <col min="12544" max="12546" width="15.7109375" style="52" customWidth="1"/>
    <col min="12547" max="12547" width="17.85546875" style="52" bestFit="1" customWidth="1"/>
    <col min="12548" max="12548" width="18.5703125" style="52" bestFit="1" customWidth="1"/>
    <col min="12549" max="12551" width="15.7109375" style="52" customWidth="1"/>
    <col min="12552" max="12552" width="20" style="52" customWidth="1"/>
    <col min="12553" max="12553" width="18.5703125" style="52" bestFit="1" customWidth="1"/>
    <col min="12554" max="12554" width="13.7109375" style="52" customWidth="1"/>
    <col min="12555" max="12555" width="54.5703125" style="52" bestFit="1" customWidth="1"/>
    <col min="12556" max="12794" width="9.140625" style="52"/>
    <col min="12795" max="12795" width="2.85546875" style="52" customWidth="1"/>
    <col min="12796" max="12796" width="5" style="52" customWidth="1"/>
    <col min="12797" max="12797" width="62" style="52" customWidth="1"/>
    <col min="12798" max="12798" width="12.7109375" style="52" bestFit="1" customWidth="1"/>
    <col min="12799" max="12799" width="1.7109375" style="52" customWidth="1"/>
    <col min="12800" max="12802" width="15.7109375" style="52" customWidth="1"/>
    <col min="12803" max="12803" width="17.85546875" style="52" bestFit="1" customWidth="1"/>
    <col min="12804" max="12804" width="18.5703125" style="52" bestFit="1" customWidth="1"/>
    <col min="12805" max="12807" width="15.7109375" style="52" customWidth="1"/>
    <col min="12808" max="12808" width="20" style="52" customWidth="1"/>
    <col min="12809" max="12809" width="18.5703125" style="52" bestFit="1" customWidth="1"/>
    <col min="12810" max="12810" width="13.7109375" style="52" customWidth="1"/>
    <col min="12811" max="12811" width="54.5703125" style="52" bestFit="1" customWidth="1"/>
    <col min="12812" max="13050" width="9.140625" style="52"/>
    <col min="13051" max="13051" width="2.85546875" style="52" customWidth="1"/>
    <col min="13052" max="13052" width="5" style="52" customWidth="1"/>
    <col min="13053" max="13053" width="62" style="52" customWidth="1"/>
    <col min="13054" max="13054" width="12.7109375" style="52" bestFit="1" customWidth="1"/>
    <col min="13055" max="13055" width="1.7109375" style="52" customWidth="1"/>
    <col min="13056" max="13058" width="15.7109375" style="52" customWidth="1"/>
    <col min="13059" max="13059" width="17.85546875" style="52" bestFit="1" customWidth="1"/>
    <col min="13060" max="13060" width="18.5703125" style="52" bestFit="1" customWidth="1"/>
    <col min="13061" max="13063" width="15.7109375" style="52" customWidth="1"/>
    <col min="13064" max="13064" width="20" style="52" customWidth="1"/>
    <col min="13065" max="13065" width="18.5703125" style="52" bestFit="1" customWidth="1"/>
    <col min="13066" max="13066" width="13.7109375" style="52" customWidth="1"/>
    <col min="13067" max="13067" width="54.5703125" style="52" bestFit="1" customWidth="1"/>
    <col min="13068" max="13306" width="9.140625" style="52"/>
    <col min="13307" max="13307" width="2.85546875" style="52" customWidth="1"/>
    <col min="13308" max="13308" width="5" style="52" customWidth="1"/>
    <col min="13309" max="13309" width="62" style="52" customWidth="1"/>
    <col min="13310" max="13310" width="12.7109375" style="52" bestFit="1" customWidth="1"/>
    <col min="13311" max="13311" width="1.7109375" style="52" customWidth="1"/>
    <col min="13312" max="13314" width="15.7109375" style="52" customWidth="1"/>
    <col min="13315" max="13315" width="17.85546875" style="52" bestFit="1" customWidth="1"/>
    <col min="13316" max="13316" width="18.5703125" style="52" bestFit="1" customWidth="1"/>
    <col min="13317" max="13319" width="15.7109375" style="52" customWidth="1"/>
    <col min="13320" max="13320" width="20" style="52" customWidth="1"/>
    <col min="13321" max="13321" width="18.5703125" style="52" bestFit="1" customWidth="1"/>
    <col min="13322" max="13322" width="13.7109375" style="52" customWidth="1"/>
    <col min="13323" max="13323" width="54.5703125" style="52" bestFit="1" customWidth="1"/>
    <col min="13324" max="13562" width="9.140625" style="52"/>
    <col min="13563" max="13563" width="2.85546875" style="52" customWidth="1"/>
    <col min="13564" max="13564" width="5" style="52" customWidth="1"/>
    <col min="13565" max="13565" width="62" style="52" customWidth="1"/>
    <col min="13566" max="13566" width="12.7109375" style="52" bestFit="1" customWidth="1"/>
    <col min="13567" max="13567" width="1.7109375" style="52" customWidth="1"/>
    <col min="13568" max="13570" width="15.7109375" style="52" customWidth="1"/>
    <col min="13571" max="13571" width="17.85546875" style="52" bestFit="1" customWidth="1"/>
    <col min="13572" max="13572" width="18.5703125" style="52" bestFit="1" customWidth="1"/>
    <col min="13573" max="13575" width="15.7109375" style="52" customWidth="1"/>
    <col min="13576" max="13576" width="20" style="52" customWidth="1"/>
    <col min="13577" max="13577" width="18.5703125" style="52" bestFit="1" customWidth="1"/>
    <col min="13578" max="13578" width="13.7109375" style="52" customWidth="1"/>
    <col min="13579" max="13579" width="54.5703125" style="52" bestFit="1" customWidth="1"/>
    <col min="13580" max="13818" width="9.140625" style="52"/>
    <col min="13819" max="13819" width="2.85546875" style="52" customWidth="1"/>
    <col min="13820" max="13820" width="5" style="52" customWidth="1"/>
    <col min="13821" max="13821" width="62" style="52" customWidth="1"/>
    <col min="13822" max="13822" width="12.7109375" style="52" bestFit="1" customWidth="1"/>
    <col min="13823" max="13823" width="1.7109375" style="52" customWidth="1"/>
    <col min="13824" max="13826" width="15.7109375" style="52" customWidth="1"/>
    <col min="13827" max="13827" width="17.85546875" style="52" bestFit="1" customWidth="1"/>
    <col min="13828" max="13828" width="18.5703125" style="52" bestFit="1" customWidth="1"/>
    <col min="13829" max="13831" width="15.7109375" style="52" customWidth="1"/>
    <col min="13832" max="13832" width="20" style="52" customWidth="1"/>
    <col min="13833" max="13833" width="18.5703125" style="52" bestFit="1" customWidth="1"/>
    <col min="13834" max="13834" width="13.7109375" style="52" customWidth="1"/>
    <col min="13835" max="13835" width="54.5703125" style="52" bestFit="1" customWidth="1"/>
    <col min="13836" max="14074" width="9.140625" style="52"/>
    <col min="14075" max="14075" width="2.85546875" style="52" customWidth="1"/>
    <col min="14076" max="14076" width="5" style="52" customWidth="1"/>
    <col min="14077" max="14077" width="62" style="52" customWidth="1"/>
    <col min="14078" max="14078" width="12.7109375" style="52" bestFit="1" customWidth="1"/>
    <col min="14079" max="14079" width="1.7109375" style="52" customWidth="1"/>
    <col min="14080" max="14082" width="15.7109375" style="52" customWidth="1"/>
    <col min="14083" max="14083" width="17.85546875" style="52" bestFit="1" customWidth="1"/>
    <col min="14084" max="14084" width="18.5703125" style="52" bestFit="1" customWidth="1"/>
    <col min="14085" max="14087" width="15.7109375" style="52" customWidth="1"/>
    <col min="14088" max="14088" width="20" style="52" customWidth="1"/>
    <col min="14089" max="14089" width="18.5703125" style="52" bestFit="1" customWidth="1"/>
    <col min="14090" max="14090" width="13.7109375" style="52" customWidth="1"/>
    <col min="14091" max="14091" width="54.5703125" style="52" bestFit="1" customWidth="1"/>
    <col min="14092" max="14330" width="9.140625" style="52"/>
    <col min="14331" max="14331" width="2.85546875" style="52" customWidth="1"/>
    <col min="14332" max="14332" width="5" style="52" customWidth="1"/>
    <col min="14333" max="14333" width="62" style="52" customWidth="1"/>
    <col min="14334" max="14334" width="12.7109375" style="52" bestFit="1" customWidth="1"/>
    <col min="14335" max="14335" width="1.7109375" style="52" customWidth="1"/>
    <col min="14336" max="14338" width="15.7109375" style="52" customWidth="1"/>
    <col min="14339" max="14339" width="17.85546875" style="52" bestFit="1" customWidth="1"/>
    <col min="14340" max="14340" width="18.5703125" style="52" bestFit="1" customWidth="1"/>
    <col min="14341" max="14343" width="15.7109375" style="52" customWidth="1"/>
    <col min="14344" max="14344" width="20" style="52" customWidth="1"/>
    <col min="14345" max="14345" width="18.5703125" style="52" bestFit="1" customWidth="1"/>
    <col min="14346" max="14346" width="13.7109375" style="52" customWidth="1"/>
    <col min="14347" max="14347" width="54.5703125" style="52" bestFit="1" customWidth="1"/>
    <col min="14348" max="14586" width="9.140625" style="52"/>
    <col min="14587" max="14587" width="2.85546875" style="52" customWidth="1"/>
    <col min="14588" max="14588" width="5" style="52" customWidth="1"/>
    <col min="14589" max="14589" width="62" style="52" customWidth="1"/>
    <col min="14590" max="14590" width="12.7109375" style="52" bestFit="1" customWidth="1"/>
    <col min="14591" max="14591" width="1.7109375" style="52" customWidth="1"/>
    <col min="14592" max="14594" width="15.7109375" style="52" customWidth="1"/>
    <col min="14595" max="14595" width="17.85546875" style="52" bestFit="1" customWidth="1"/>
    <col min="14596" max="14596" width="18.5703125" style="52" bestFit="1" customWidth="1"/>
    <col min="14597" max="14599" width="15.7109375" style="52" customWidth="1"/>
    <col min="14600" max="14600" width="20" style="52" customWidth="1"/>
    <col min="14601" max="14601" width="18.5703125" style="52" bestFit="1" customWidth="1"/>
    <col min="14602" max="14602" width="13.7109375" style="52" customWidth="1"/>
    <col min="14603" max="14603" width="54.5703125" style="52" bestFit="1" customWidth="1"/>
    <col min="14604" max="14842" width="9.140625" style="52"/>
    <col min="14843" max="14843" width="2.85546875" style="52" customWidth="1"/>
    <col min="14844" max="14844" width="5" style="52" customWidth="1"/>
    <col min="14845" max="14845" width="62" style="52" customWidth="1"/>
    <col min="14846" max="14846" width="12.7109375" style="52" bestFit="1" customWidth="1"/>
    <col min="14847" max="14847" width="1.7109375" style="52" customWidth="1"/>
    <col min="14848" max="14850" width="15.7109375" style="52" customWidth="1"/>
    <col min="14851" max="14851" width="17.85546875" style="52" bestFit="1" customWidth="1"/>
    <col min="14852" max="14852" width="18.5703125" style="52" bestFit="1" customWidth="1"/>
    <col min="14853" max="14855" width="15.7109375" style="52" customWidth="1"/>
    <col min="14856" max="14856" width="20" style="52" customWidth="1"/>
    <col min="14857" max="14857" width="18.5703125" style="52" bestFit="1" customWidth="1"/>
    <col min="14858" max="14858" width="13.7109375" style="52" customWidth="1"/>
    <col min="14859" max="14859" width="54.5703125" style="52" bestFit="1" customWidth="1"/>
    <col min="14860" max="15098" width="9.140625" style="52"/>
    <col min="15099" max="15099" width="2.85546875" style="52" customWidth="1"/>
    <col min="15100" max="15100" width="5" style="52" customWidth="1"/>
    <col min="15101" max="15101" width="62" style="52" customWidth="1"/>
    <col min="15102" max="15102" width="12.7109375" style="52" bestFit="1" customWidth="1"/>
    <col min="15103" max="15103" width="1.7109375" style="52" customWidth="1"/>
    <col min="15104" max="15106" width="15.7109375" style="52" customWidth="1"/>
    <col min="15107" max="15107" width="17.85546875" style="52" bestFit="1" customWidth="1"/>
    <col min="15108" max="15108" width="18.5703125" style="52" bestFit="1" customWidth="1"/>
    <col min="15109" max="15111" width="15.7109375" style="52" customWidth="1"/>
    <col min="15112" max="15112" width="20" style="52" customWidth="1"/>
    <col min="15113" max="15113" width="18.5703125" style="52" bestFit="1" customWidth="1"/>
    <col min="15114" max="15114" width="13.7109375" style="52" customWidth="1"/>
    <col min="15115" max="15115" width="54.5703125" style="52" bestFit="1" customWidth="1"/>
    <col min="15116" max="15354" width="9.140625" style="52"/>
    <col min="15355" max="15355" width="2.85546875" style="52" customWidth="1"/>
    <col min="15356" max="15356" width="5" style="52" customWidth="1"/>
    <col min="15357" max="15357" width="62" style="52" customWidth="1"/>
    <col min="15358" max="15358" width="12.7109375" style="52" bestFit="1" customWidth="1"/>
    <col min="15359" max="15359" width="1.7109375" style="52" customWidth="1"/>
    <col min="15360" max="15362" width="15.7109375" style="52" customWidth="1"/>
    <col min="15363" max="15363" width="17.85546875" style="52" bestFit="1" customWidth="1"/>
    <col min="15364" max="15364" width="18.5703125" style="52" bestFit="1" customWidth="1"/>
    <col min="15365" max="15367" width="15.7109375" style="52" customWidth="1"/>
    <col min="15368" max="15368" width="20" style="52" customWidth="1"/>
    <col min="15369" max="15369" width="18.5703125" style="52" bestFit="1" customWidth="1"/>
    <col min="15370" max="15370" width="13.7109375" style="52" customWidth="1"/>
    <col min="15371" max="15371" width="54.5703125" style="52" bestFit="1" customWidth="1"/>
    <col min="15372" max="15610" width="9.140625" style="52"/>
    <col min="15611" max="15611" width="2.85546875" style="52" customWidth="1"/>
    <col min="15612" max="15612" width="5" style="52" customWidth="1"/>
    <col min="15613" max="15613" width="62" style="52" customWidth="1"/>
    <col min="15614" max="15614" width="12.7109375" style="52" bestFit="1" customWidth="1"/>
    <col min="15615" max="15615" width="1.7109375" style="52" customWidth="1"/>
    <col min="15616" max="15618" width="15.7109375" style="52" customWidth="1"/>
    <col min="15619" max="15619" width="17.85546875" style="52" bestFit="1" customWidth="1"/>
    <col min="15620" max="15620" width="18.5703125" style="52" bestFit="1" customWidth="1"/>
    <col min="15621" max="15623" width="15.7109375" style="52" customWidth="1"/>
    <col min="15624" max="15624" width="20" style="52" customWidth="1"/>
    <col min="15625" max="15625" width="18.5703125" style="52" bestFit="1" customWidth="1"/>
    <col min="15626" max="15626" width="13.7109375" style="52" customWidth="1"/>
    <col min="15627" max="15627" width="54.5703125" style="52" bestFit="1" customWidth="1"/>
    <col min="15628" max="15866" width="9.140625" style="52"/>
    <col min="15867" max="15867" width="2.85546875" style="52" customWidth="1"/>
    <col min="15868" max="15868" width="5" style="52" customWidth="1"/>
    <col min="15869" max="15869" width="62" style="52" customWidth="1"/>
    <col min="15870" max="15870" width="12.7109375" style="52" bestFit="1" customWidth="1"/>
    <col min="15871" max="15871" width="1.7109375" style="52" customWidth="1"/>
    <col min="15872" max="15874" width="15.7109375" style="52" customWidth="1"/>
    <col min="15875" max="15875" width="17.85546875" style="52" bestFit="1" customWidth="1"/>
    <col min="15876" max="15876" width="18.5703125" style="52" bestFit="1" customWidth="1"/>
    <col min="15877" max="15879" width="15.7109375" style="52" customWidth="1"/>
    <col min="15880" max="15880" width="20" style="52" customWidth="1"/>
    <col min="15881" max="15881" width="18.5703125" style="52" bestFit="1" customWidth="1"/>
    <col min="15882" max="15882" width="13.7109375" style="52" customWidth="1"/>
    <col min="15883" max="15883" width="54.5703125" style="52" bestFit="1" customWidth="1"/>
    <col min="15884" max="16122" width="9.140625" style="52"/>
    <col min="16123" max="16123" width="2.85546875" style="52" customWidth="1"/>
    <col min="16124" max="16124" width="5" style="52" customWidth="1"/>
    <col min="16125" max="16125" width="62" style="52" customWidth="1"/>
    <col min="16126" max="16126" width="12.7109375" style="52" bestFit="1" customWidth="1"/>
    <col min="16127" max="16127" width="1.7109375" style="52" customWidth="1"/>
    <col min="16128" max="16130" width="15.7109375" style="52" customWidth="1"/>
    <col min="16131" max="16131" width="17.85546875" style="52" bestFit="1" customWidth="1"/>
    <col min="16132" max="16132" width="18.5703125" style="52" bestFit="1" customWidth="1"/>
    <col min="16133" max="16135" width="15.7109375" style="52" customWidth="1"/>
    <col min="16136" max="16136" width="20" style="52" customWidth="1"/>
    <col min="16137" max="16137" width="18.5703125" style="52" bestFit="1" customWidth="1"/>
    <col min="16138" max="16138" width="13.7109375" style="52" customWidth="1"/>
    <col min="16139" max="16139" width="54.5703125" style="52" bestFit="1" customWidth="1"/>
    <col min="16140" max="16384" width="9.140625" style="52"/>
  </cols>
  <sheetData>
    <row r="1" spans="1:11" x14ac:dyDescent="0.2">
      <c r="E1" s="155"/>
      <c r="F1" s="152" t="s">
        <v>301</v>
      </c>
      <c r="G1" s="61" t="str">
        <f>EBNUMBER</f>
        <v>EB-2016-0066</v>
      </c>
      <c r="H1" s="152"/>
    </row>
    <row r="2" spans="1:11" x14ac:dyDescent="0.2">
      <c r="E2" s="155"/>
      <c r="F2" s="152" t="s">
        <v>302</v>
      </c>
      <c r="G2" s="51"/>
      <c r="H2" s="152"/>
    </row>
    <row r="3" spans="1:11" x14ac:dyDescent="0.2">
      <c r="E3" s="155"/>
      <c r="F3" s="152" t="s">
        <v>303</v>
      </c>
      <c r="G3" s="51"/>
      <c r="H3" s="152"/>
    </row>
    <row r="4" spans="1:11" x14ac:dyDescent="0.2">
      <c r="E4" s="155"/>
      <c r="F4" s="152" t="s">
        <v>304</v>
      </c>
      <c r="G4" s="51"/>
      <c r="H4" s="152"/>
    </row>
    <row r="5" spans="1:11" x14ac:dyDescent="0.2">
      <c r="E5" s="155"/>
      <c r="F5" s="152" t="s">
        <v>305</v>
      </c>
      <c r="G5" s="1093"/>
      <c r="H5" s="152"/>
    </row>
    <row r="6" spans="1:11" x14ac:dyDescent="0.2">
      <c r="E6" s="155"/>
      <c r="F6" s="152"/>
      <c r="G6" s="1092"/>
      <c r="H6" s="152"/>
    </row>
    <row r="7" spans="1:11" x14ac:dyDescent="0.2">
      <c r="E7" s="155"/>
      <c r="F7" s="152" t="s">
        <v>306</v>
      </c>
      <c r="G7" s="1093"/>
      <c r="H7" s="152"/>
    </row>
    <row r="8" spans="1:11" ht="8.25" customHeight="1" x14ac:dyDescent="0.2"/>
    <row r="9" spans="1:11" ht="20.25" customHeight="1" x14ac:dyDescent="0.2">
      <c r="A9" s="1679" t="s">
        <v>1447</v>
      </c>
      <c r="B9" s="1679"/>
      <c r="C9" s="1679"/>
      <c r="D9" s="1679"/>
      <c r="E9" s="1679"/>
      <c r="F9" s="1679"/>
      <c r="G9" s="1679"/>
      <c r="H9" s="1679"/>
      <c r="I9" s="1070"/>
      <c r="J9" s="1070"/>
      <c r="K9" s="1070"/>
    </row>
    <row r="10" spans="1:11" ht="19.5" customHeight="1" x14ac:dyDescent="0.2">
      <c r="A10" s="1679" t="s">
        <v>426</v>
      </c>
      <c r="B10" s="1679"/>
      <c r="C10" s="1679"/>
      <c r="D10" s="1679"/>
      <c r="E10" s="1679"/>
      <c r="F10" s="1679"/>
      <c r="G10" s="1679"/>
      <c r="H10" s="1679"/>
      <c r="I10" s="1071"/>
      <c r="J10" s="1071"/>
      <c r="K10" s="1071"/>
    </row>
    <row r="12" spans="1:11" ht="30" customHeight="1" x14ac:dyDescent="0.2">
      <c r="A12" s="1610" t="s">
        <v>907</v>
      </c>
      <c r="B12" s="1610"/>
      <c r="C12" s="1610"/>
      <c r="D12" s="1610"/>
      <c r="E12" s="1610"/>
      <c r="F12" s="1610"/>
      <c r="G12" s="59"/>
      <c r="H12" s="59"/>
      <c r="I12" s="1071"/>
      <c r="J12" s="1071"/>
      <c r="K12" s="1071"/>
    </row>
    <row r="13" spans="1:11" ht="13.5" thickBot="1" x14ac:dyDescent="0.25">
      <c r="B13" s="334"/>
      <c r="C13" s="334"/>
      <c r="D13" s="334"/>
      <c r="E13" s="334"/>
      <c r="F13" s="334"/>
      <c r="G13" s="334"/>
      <c r="H13" s="334"/>
    </row>
    <row r="14" spans="1:11" x14ac:dyDescent="0.2">
      <c r="A14" s="1712" t="s">
        <v>901</v>
      </c>
      <c r="B14" s="1017"/>
      <c r="C14" s="1017"/>
      <c r="D14" s="1017"/>
      <c r="E14" s="1017"/>
      <c r="F14" s="1017"/>
    </row>
    <row r="15" spans="1:11" ht="12" customHeight="1" x14ac:dyDescent="0.2">
      <c r="A15" s="1713"/>
      <c r="B15" s="335">
        <f>F15-4</f>
        <v>2013</v>
      </c>
      <c r="C15" s="335">
        <f>F15-3</f>
        <v>2014</v>
      </c>
      <c r="D15" s="335">
        <f>F15-2</f>
        <v>2015</v>
      </c>
      <c r="E15" s="335">
        <f>F15-1</f>
        <v>2016</v>
      </c>
      <c r="F15" s="335">
        <f>TestYear</f>
        <v>2017</v>
      </c>
    </row>
    <row r="16" spans="1:11" x14ac:dyDescent="0.2">
      <c r="A16" s="1714"/>
      <c r="B16" s="336" t="s">
        <v>938</v>
      </c>
      <c r="C16" s="336" t="s">
        <v>938</v>
      </c>
      <c r="D16" s="336" t="s">
        <v>938</v>
      </c>
      <c r="E16" s="337" t="s">
        <v>313</v>
      </c>
      <c r="F16" s="337" t="s">
        <v>314</v>
      </c>
    </row>
    <row r="17" spans="1:8" x14ac:dyDescent="0.2">
      <c r="A17" s="1091"/>
      <c r="B17" s="338"/>
      <c r="C17" s="338"/>
      <c r="D17" s="338"/>
      <c r="E17" s="338"/>
      <c r="F17" s="338"/>
    </row>
    <row r="18" spans="1:8" x14ac:dyDescent="0.2">
      <c r="A18" s="1091"/>
      <c r="B18" s="339"/>
      <c r="C18" s="339"/>
      <c r="D18" s="339"/>
      <c r="E18" s="339"/>
      <c r="F18" s="339"/>
    </row>
    <row r="19" spans="1:8" x14ac:dyDescent="0.2">
      <c r="A19" s="1091"/>
      <c r="B19" s="339"/>
      <c r="C19" s="339"/>
      <c r="D19" s="339"/>
      <c r="E19" s="339"/>
      <c r="F19" s="339"/>
    </row>
    <row r="20" spans="1:8" ht="24.95" customHeight="1" x14ac:dyDescent="0.2">
      <c r="A20" s="1091"/>
      <c r="B20" s="339"/>
      <c r="C20" s="339"/>
      <c r="D20" s="339"/>
      <c r="E20" s="339"/>
      <c r="F20" s="339"/>
    </row>
    <row r="21" spans="1:8" ht="24.95" customHeight="1" x14ac:dyDescent="0.2">
      <c r="A21" s="1091"/>
      <c r="B21" s="339"/>
      <c r="C21" s="339"/>
      <c r="D21" s="339"/>
      <c r="E21" s="339"/>
      <c r="F21" s="339"/>
    </row>
    <row r="22" spans="1:8" x14ac:dyDescent="0.2">
      <c r="A22" s="1091"/>
      <c r="B22" s="339"/>
      <c r="C22" s="339"/>
      <c r="D22" s="339"/>
      <c r="E22" s="339"/>
      <c r="F22" s="339"/>
    </row>
    <row r="23" spans="1:8" ht="13.5" customHeight="1" x14ac:dyDescent="0.2">
      <c r="A23" s="1091"/>
      <c r="B23" s="339"/>
      <c r="C23" s="339"/>
      <c r="D23" s="339"/>
      <c r="E23" s="339"/>
      <c r="F23" s="339"/>
    </row>
    <row r="24" spans="1:8" ht="13.5" customHeight="1" x14ac:dyDescent="0.2">
      <c r="A24" s="1091"/>
      <c r="B24" s="339"/>
      <c r="C24" s="339"/>
      <c r="D24" s="339"/>
      <c r="E24" s="339"/>
      <c r="F24" s="339"/>
    </row>
    <row r="25" spans="1:8" ht="27" customHeight="1" x14ac:dyDescent="0.2">
      <c r="A25" s="340"/>
      <c r="B25" s="339"/>
      <c r="C25" s="339"/>
      <c r="D25" s="339"/>
      <c r="E25" s="339"/>
      <c r="F25" s="339"/>
    </row>
    <row r="26" spans="1:8" ht="13.5" thickBot="1" x14ac:dyDescent="0.25">
      <c r="A26" s="340"/>
      <c r="B26" s="341"/>
      <c r="C26" s="341"/>
      <c r="D26" s="341"/>
      <c r="E26" s="341"/>
      <c r="F26" s="341"/>
    </row>
    <row r="27" spans="1:8" ht="14.25" customHeight="1" thickTop="1" thickBot="1" x14ac:dyDescent="0.25">
      <c r="A27" s="342" t="s">
        <v>905</v>
      </c>
      <c r="B27" s="343">
        <f>SUM(B17:B26)</f>
        <v>0</v>
      </c>
      <c r="C27" s="343">
        <f>SUM(C17:C26)</f>
        <v>0</v>
      </c>
      <c r="D27" s="343">
        <f>SUM(D17:D26)</f>
        <v>0</v>
      </c>
      <c r="E27" s="343">
        <f>SUM(E17:E26)</f>
        <v>0</v>
      </c>
      <c r="F27" s="343">
        <f>SUM(F17:F26)</f>
        <v>0</v>
      </c>
    </row>
    <row r="28" spans="1:8" ht="14.25" customHeight="1" x14ac:dyDescent="0.2">
      <c r="A28" s="344"/>
      <c r="B28" s="345"/>
      <c r="C28" s="345"/>
      <c r="D28" s="345"/>
      <c r="E28" s="345"/>
      <c r="F28" s="345"/>
    </row>
    <row r="29" spans="1:8" s="194" customFormat="1" ht="31.5" customHeight="1" x14ac:dyDescent="0.2">
      <c r="A29" s="1721" t="s">
        <v>908</v>
      </c>
      <c r="B29" s="1721"/>
      <c r="C29" s="1721"/>
      <c r="D29" s="1721"/>
      <c r="E29" s="1721"/>
      <c r="F29" s="1721"/>
      <c r="G29" s="346"/>
      <c r="H29" s="347"/>
    </row>
    <row r="30" spans="1:8" s="194" customFormat="1" ht="14.25" customHeight="1" thickBot="1" x14ac:dyDescent="0.25">
      <c r="A30" s="348"/>
      <c r="B30" s="346"/>
      <c r="C30" s="346"/>
      <c r="D30" s="346"/>
      <c r="E30" s="346"/>
      <c r="F30" s="346"/>
      <c r="G30" s="346"/>
      <c r="H30" s="347"/>
    </row>
    <row r="31" spans="1:8" x14ac:dyDescent="0.2">
      <c r="A31" s="1715" t="s">
        <v>900</v>
      </c>
      <c r="B31" s="1417"/>
      <c r="C31" s="349"/>
      <c r="D31" s="1427"/>
      <c r="E31" s="349"/>
      <c r="F31" s="1427"/>
      <c r="G31" s="349" t="s">
        <v>397</v>
      </c>
      <c r="H31" s="1718" t="s">
        <v>903</v>
      </c>
    </row>
    <row r="32" spans="1:8" x14ac:dyDescent="0.2">
      <c r="A32" s="1716"/>
      <c r="B32" s="335">
        <f>F32-4</f>
        <v>2013</v>
      </c>
      <c r="C32" s="335">
        <f>F32-3</f>
        <v>2014</v>
      </c>
      <c r="D32" s="335">
        <f>F32-2</f>
        <v>2015</v>
      </c>
      <c r="E32" s="335">
        <f>F32-1</f>
        <v>2016</v>
      </c>
      <c r="F32" s="335">
        <f>TestYear</f>
        <v>2017</v>
      </c>
      <c r="G32" s="350" t="s">
        <v>398</v>
      </c>
      <c r="H32" s="1719"/>
    </row>
    <row r="33" spans="1:8" x14ac:dyDescent="0.2">
      <c r="A33" s="1717"/>
      <c r="B33" s="336" t="s">
        <v>938</v>
      </c>
      <c r="C33" s="336" t="s">
        <v>938</v>
      </c>
      <c r="D33" s="336" t="s">
        <v>938</v>
      </c>
      <c r="E33" s="351" t="s">
        <v>313</v>
      </c>
      <c r="F33" s="352" t="s">
        <v>314</v>
      </c>
      <c r="G33" s="353" t="s">
        <v>1288</v>
      </c>
      <c r="H33" s="1720"/>
    </row>
    <row r="34" spans="1:8" x14ac:dyDescent="0.2">
      <c r="A34" s="354" t="s">
        <v>399</v>
      </c>
      <c r="B34" s="355"/>
      <c r="C34" s="355"/>
      <c r="D34" s="355"/>
      <c r="E34" s="355"/>
      <c r="F34" s="355"/>
      <c r="G34" s="356"/>
      <c r="H34" s="357"/>
    </row>
    <row r="35" spans="1:8" x14ac:dyDescent="0.2">
      <c r="A35" s="358" t="s">
        <v>400</v>
      </c>
      <c r="B35" s="355"/>
      <c r="C35" s="355"/>
      <c r="D35" s="355"/>
      <c r="E35" s="355"/>
      <c r="F35" s="355"/>
      <c r="G35" s="356"/>
      <c r="H35" s="357"/>
    </row>
    <row r="36" spans="1:8" x14ac:dyDescent="0.2">
      <c r="A36" s="354" t="s">
        <v>401</v>
      </c>
      <c r="B36" s="355"/>
      <c r="C36" s="355"/>
      <c r="D36" s="355"/>
      <c r="E36" s="355"/>
      <c r="F36" s="355"/>
      <c r="G36" s="356"/>
      <c r="H36" s="357"/>
    </row>
    <row r="37" spans="1:8" x14ac:dyDescent="0.2">
      <c r="A37" s="359" t="s">
        <v>402</v>
      </c>
      <c r="B37" s="355"/>
      <c r="C37" s="355"/>
      <c r="D37" s="355"/>
      <c r="E37" s="355"/>
      <c r="F37" s="355"/>
      <c r="G37" s="356"/>
      <c r="H37" s="357"/>
    </row>
    <row r="38" spans="1:8" x14ac:dyDescent="0.2">
      <c r="A38" s="358" t="s">
        <v>403</v>
      </c>
      <c r="B38" s="355"/>
      <c r="C38" s="355"/>
      <c r="D38" s="355"/>
      <c r="E38" s="355"/>
      <c r="F38" s="355"/>
      <c r="G38" s="356"/>
      <c r="H38" s="357"/>
    </row>
    <row r="39" spans="1:8" x14ac:dyDescent="0.2">
      <c r="A39" s="358"/>
      <c r="B39" s="355"/>
      <c r="C39" s="355"/>
      <c r="D39" s="355"/>
      <c r="E39" s="355"/>
      <c r="F39" s="355"/>
      <c r="G39" s="356"/>
      <c r="H39" s="357"/>
    </row>
    <row r="40" spans="1:8" x14ac:dyDescent="0.2">
      <c r="A40" s="354" t="s">
        <v>404</v>
      </c>
      <c r="B40" s="355"/>
      <c r="C40" s="355"/>
      <c r="D40" s="355"/>
      <c r="E40" s="355"/>
      <c r="F40" s="355"/>
      <c r="G40" s="356"/>
      <c r="H40" s="357"/>
    </row>
    <row r="41" spans="1:8" ht="25.5" x14ac:dyDescent="0.2">
      <c r="A41" s="359" t="s">
        <v>405</v>
      </c>
      <c r="B41" s="360"/>
      <c r="C41" s="360"/>
      <c r="D41" s="360"/>
      <c r="E41" s="360"/>
      <c r="F41" s="360"/>
      <c r="G41" s="356"/>
      <c r="H41" s="357"/>
    </row>
    <row r="42" spans="1:8" ht="25.5" x14ac:dyDescent="0.2">
      <c r="A42" s="359" t="s">
        <v>406</v>
      </c>
      <c r="B42" s="360"/>
      <c r="C42" s="360"/>
      <c r="D42" s="360"/>
      <c r="E42" s="360"/>
      <c r="F42" s="360"/>
      <c r="G42" s="356"/>
      <c r="H42" s="357"/>
    </row>
    <row r="43" spans="1:8" x14ac:dyDescent="0.2">
      <c r="A43" s="358" t="s">
        <v>407</v>
      </c>
      <c r="B43" s="360"/>
      <c r="C43" s="360"/>
      <c r="D43" s="360"/>
      <c r="E43" s="360"/>
      <c r="F43" s="360"/>
      <c r="G43" s="361"/>
      <c r="H43" s="357"/>
    </row>
    <row r="44" spans="1:8" x14ac:dyDescent="0.2">
      <c r="A44" s="362"/>
      <c r="B44" s="360"/>
      <c r="C44" s="360"/>
      <c r="D44" s="360"/>
      <c r="E44" s="360"/>
      <c r="F44" s="360"/>
      <c r="G44" s="356"/>
      <c r="H44" s="357"/>
    </row>
    <row r="45" spans="1:8" x14ac:dyDescent="0.2">
      <c r="A45" s="363" t="s">
        <v>902</v>
      </c>
      <c r="B45" s="360"/>
      <c r="C45" s="360"/>
      <c r="D45" s="360"/>
      <c r="E45" s="360"/>
      <c r="F45" s="360"/>
      <c r="G45" s="356"/>
      <c r="H45" s="357"/>
    </row>
    <row r="46" spans="1:8" ht="13.5" thickBot="1" x14ac:dyDescent="0.25">
      <c r="A46" s="364"/>
      <c r="B46" s="365"/>
      <c r="C46" s="365"/>
      <c r="D46" s="365"/>
      <c r="E46" s="365"/>
      <c r="F46" s="365"/>
      <c r="G46" s="356"/>
      <c r="H46" s="366"/>
    </row>
    <row r="47" spans="1:8" ht="14.25" thickTop="1" thickBot="1" x14ac:dyDescent="0.25">
      <c r="A47" s="367" t="s">
        <v>904</v>
      </c>
      <c r="B47" s="368">
        <f>SUM(B34:B46)</f>
        <v>0</v>
      </c>
      <c r="C47" s="368">
        <f>SUM(C34:C46)</f>
        <v>0</v>
      </c>
      <c r="D47" s="368">
        <f>SUM(D34:D46)</f>
        <v>0</v>
      </c>
      <c r="E47" s="368">
        <f>SUM(E34:E46)</f>
        <v>0</v>
      </c>
      <c r="F47" s="368">
        <f>SUM(F34:F46)</f>
        <v>0</v>
      </c>
      <c r="G47" s="369"/>
      <c r="H47" s="370"/>
    </row>
    <row r="48" spans="1:8" s="194" customFormat="1" ht="13.5" thickBot="1" x14ac:dyDescent="0.25">
      <c r="A48" s="348"/>
      <c r="B48" s="346"/>
      <c r="C48" s="346"/>
      <c r="D48" s="346"/>
      <c r="E48" s="346"/>
      <c r="F48" s="346"/>
      <c r="G48" s="346"/>
      <c r="H48" s="346"/>
    </row>
    <row r="49" spans="1:9" ht="13.5" thickBot="1" x14ac:dyDescent="0.25">
      <c r="A49" s="371" t="s">
        <v>906</v>
      </c>
      <c r="B49" s="372" t="str">
        <f>IF(ISERROR(B47/B27),"0%",B47/B27)</f>
        <v>0%</v>
      </c>
      <c r="C49" s="372" t="str">
        <f>IF(ISERROR(C47/C27),"0%",C47/C27)</f>
        <v>0%</v>
      </c>
      <c r="D49" s="372" t="str">
        <f>IF(ISERROR(D47/D27),"0%",D47/D27)</f>
        <v>0%</v>
      </c>
      <c r="E49" s="372" t="str">
        <f>IF(ISERROR(E47/E27),"0%",E47/E27)</f>
        <v>0%</v>
      </c>
      <c r="F49" s="372" t="str">
        <f>IF(ISERROR(F47/F27),"0%",F47/F27)</f>
        <v>0%</v>
      </c>
      <c r="G49" s="373"/>
      <c r="H49" s="374"/>
    </row>
    <row r="50" spans="1:9" ht="13.5" customHeight="1" x14ac:dyDescent="0.2">
      <c r="A50" s="1722"/>
      <c r="B50" s="1723"/>
      <c r="C50" s="1068"/>
      <c r="D50" s="1068"/>
      <c r="E50" s="1047"/>
    </row>
    <row r="51" spans="1:9" x14ac:dyDescent="0.2">
      <c r="A51" s="1722"/>
      <c r="B51" s="1723"/>
      <c r="C51" s="1068"/>
      <c r="D51" s="1068"/>
      <c r="E51" s="1089"/>
    </row>
    <row r="52" spans="1:9" x14ac:dyDescent="0.2">
      <c r="A52" s="147"/>
      <c r="B52" s="56"/>
      <c r="C52" s="56"/>
      <c r="D52" s="56"/>
    </row>
    <row r="53" spans="1:9" x14ac:dyDescent="0.2">
      <c r="A53" s="1722"/>
      <c r="B53" s="1049"/>
      <c r="C53" s="1049"/>
      <c r="D53" s="1049"/>
      <c r="E53" s="204"/>
    </row>
    <row r="54" spans="1:9" x14ac:dyDescent="0.2">
      <c r="A54" s="1722"/>
      <c r="B54" s="197"/>
      <c r="C54" s="197"/>
      <c r="D54" s="197"/>
    </row>
    <row r="55" spans="1:9" x14ac:dyDescent="0.2">
      <c r="A55" s="334"/>
      <c r="B55" s="197"/>
      <c r="C55" s="197"/>
      <c r="D55" s="197"/>
    </row>
    <row r="56" spans="1:9" ht="12.75" customHeight="1" x14ac:dyDescent="0.2">
      <c r="A56" s="1722"/>
      <c r="B56" s="197"/>
      <c r="C56" s="197"/>
      <c r="D56" s="197"/>
      <c r="E56" s="1089"/>
      <c r="F56" s="1089"/>
      <c r="G56" s="1089"/>
      <c r="H56" s="1089"/>
      <c r="I56" s="1089"/>
    </row>
    <row r="57" spans="1:9" x14ac:dyDescent="0.2">
      <c r="A57" s="1722"/>
      <c r="B57" s="197"/>
      <c r="C57" s="197"/>
      <c r="D57" s="197"/>
      <c r="E57" s="1089"/>
      <c r="F57" s="1089"/>
      <c r="G57" s="1089"/>
      <c r="H57" s="1089"/>
      <c r="I57" s="1089"/>
    </row>
    <row r="58" spans="1:9" ht="12.75" customHeight="1" x14ac:dyDescent="0.2">
      <c r="A58" s="334"/>
      <c r="B58" s="197"/>
      <c r="C58" s="197"/>
      <c r="D58" s="197"/>
      <c r="E58" s="1089"/>
      <c r="F58" s="1089"/>
      <c r="G58" s="1089"/>
      <c r="H58" s="1089"/>
      <c r="I58" s="1089"/>
    </row>
    <row r="59" spans="1:9" x14ac:dyDescent="0.2">
      <c r="A59" s="1724"/>
      <c r="B59" s="197"/>
      <c r="C59" s="197"/>
      <c r="D59" s="197"/>
      <c r="E59" s="1089"/>
      <c r="F59" s="1089"/>
      <c r="G59" s="1089"/>
      <c r="H59" s="1089"/>
      <c r="I59" s="1089"/>
    </row>
    <row r="60" spans="1:9" x14ac:dyDescent="0.2">
      <c r="A60" s="1724"/>
      <c r="B60" s="197"/>
      <c r="C60" s="197"/>
      <c r="D60" s="197"/>
      <c r="E60" s="1089"/>
      <c r="F60" s="1089"/>
      <c r="G60" s="1089"/>
      <c r="H60" s="1089"/>
      <c r="I60" s="1089"/>
    </row>
    <row r="61" spans="1:9" x14ac:dyDescent="0.2">
      <c r="A61" s="1724"/>
      <c r="B61" s="197"/>
      <c r="C61" s="197"/>
      <c r="D61" s="197"/>
      <c r="E61" s="1089"/>
      <c r="F61" s="1089"/>
      <c r="G61" s="1089"/>
      <c r="H61" s="1089"/>
      <c r="I61" s="1089"/>
    </row>
    <row r="62" spans="1:9" x14ac:dyDescent="0.2">
      <c r="A62" s="1724"/>
      <c r="B62" s="197"/>
      <c r="C62" s="197"/>
      <c r="D62" s="197"/>
      <c r="E62" s="1089"/>
      <c r="F62" s="1089"/>
      <c r="G62" s="1089"/>
      <c r="H62" s="1089"/>
      <c r="I62" s="1089"/>
    </row>
    <row r="63" spans="1:9" x14ac:dyDescent="0.2">
      <c r="A63" s="334"/>
      <c r="B63" s="197"/>
      <c r="C63" s="197"/>
      <c r="D63" s="197"/>
    </row>
    <row r="64" spans="1:9" ht="12.75" customHeight="1" x14ac:dyDescent="0.2">
      <c r="A64" s="1722"/>
      <c r="B64" s="197"/>
      <c r="C64" s="197"/>
      <c r="D64" s="197"/>
      <c r="E64" s="1089"/>
      <c r="F64" s="1089"/>
      <c r="G64" s="1089"/>
      <c r="H64" s="1089"/>
      <c r="I64" s="1089"/>
    </row>
    <row r="65" spans="1:9" x14ac:dyDescent="0.2">
      <c r="A65" s="1722"/>
      <c r="B65" s="197"/>
      <c r="C65" s="197"/>
      <c r="D65" s="197"/>
      <c r="E65" s="1089"/>
      <c r="F65" s="1089"/>
      <c r="G65" s="1089"/>
      <c r="H65" s="1089"/>
      <c r="I65" s="1089"/>
    </row>
    <row r="66" spans="1:9" ht="12.75" customHeight="1" x14ac:dyDescent="0.2">
      <c r="B66" s="197"/>
      <c r="C66" s="197"/>
      <c r="D66" s="197"/>
    </row>
    <row r="67" spans="1:9" ht="12.75" customHeight="1" x14ac:dyDescent="0.2">
      <c r="B67" s="197"/>
      <c r="C67" s="197"/>
      <c r="D67" s="197"/>
    </row>
    <row r="68" spans="1:9" ht="12.75" customHeight="1" x14ac:dyDescent="0.2"/>
    <row r="69" spans="1:9" ht="12.75" customHeight="1" x14ac:dyDescent="0.2"/>
    <row r="70" spans="1:9" ht="12.75" customHeight="1" x14ac:dyDescent="0.2"/>
    <row r="72" spans="1:9" ht="12.75" customHeight="1" x14ac:dyDescent="0.2"/>
    <row r="73" spans="1:9" ht="12.75" customHeight="1" x14ac:dyDescent="0.2"/>
    <row r="74" spans="1:9" ht="12.75" customHeight="1" x14ac:dyDescent="0.2"/>
    <row r="75" spans="1:9" ht="12.75" customHeight="1" x14ac:dyDescent="0.2"/>
    <row r="76" spans="1:9" x14ac:dyDescent="0.2">
      <c r="A76" s="197"/>
    </row>
  </sheetData>
  <mergeCells count="13">
    <mergeCell ref="A64:A65"/>
    <mergeCell ref="A50:A51"/>
    <mergeCell ref="B50:B51"/>
    <mergeCell ref="A53:A54"/>
    <mergeCell ref="A56:A57"/>
    <mergeCell ref="A59:A62"/>
    <mergeCell ref="A9:H9"/>
    <mergeCell ref="A10:H10"/>
    <mergeCell ref="A14:A16"/>
    <mergeCell ref="A31:A33"/>
    <mergeCell ref="H31:H33"/>
    <mergeCell ref="A12:F12"/>
    <mergeCell ref="A29:F29"/>
  </mergeCells>
  <dataValidations count="2">
    <dataValidation allowBlank="1" showInputMessage="1" showErrorMessage="1" promptTitle="Date Format" prompt="E.g:  &quot;August 1, 2011&quot;" sqref="WVP983037 JD7 SZ7 ACV7 AMR7 AWN7 BGJ7 BQF7 CAB7 CJX7 CTT7 DDP7 DNL7 DXH7 EHD7 EQZ7 FAV7 FKR7 FUN7 GEJ7 GOF7 GYB7 HHX7 HRT7 IBP7 ILL7 IVH7 JFD7 JOZ7 JYV7 KIR7 KSN7 LCJ7 LMF7 LWB7 MFX7 MPT7 MZP7 NJL7 NTH7 ODD7 OMZ7 OWV7 PGR7 PQN7 QAJ7 QKF7 QUB7 RDX7 RNT7 RXP7 SHL7 SRH7 TBD7 TKZ7 TUV7 UER7 UON7 UYJ7 VIF7 VSB7 WBX7 WLT7 WVP7 JD65533 SZ65533 ACV65533 AMR65533 AWN65533 BGJ65533 BQF65533 CAB65533 CJX65533 CTT65533 DDP65533 DNL65533 DXH65533 EHD65533 EQZ65533 FAV65533 FKR65533 FUN65533 GEJ65533 GOF65533 GYB65533 HHX65533 HRT65533 IBP65533 ILL65533 IVH65533 JFD65533 JOZ65533 JYV65533 KIR65533 KSN65533 LCJ65533 LMF65533 LWB65533 MFX65533 MPT65533 MZP65533 NJL65533 NTH65533 ODD65533 OMZ65533 OWV65533 PGR65533 PQN65533 QAJ65533 QKF65533 QUB65533 RDX65533 RNT65533 RXP65533 SHL65533 SRH65533 TBD65533 TKZ65533 TUV65533 UER65533 UON65533 UYJ65533 VIF65533 VSB65533 WBX65533 WLT65533 WVP65533 JD131069 SZ131069 ACV131069 AMR131069 AWN131069 BGJ131069 BQF131069 CAB131069 CJX131069 CTT131069 DDP131069 DNL131069 DXH131069 EHD131069 EQZ131069 FAV131069 FKR131069 FUN131069 GEJ131069 GOF131069 GYB131069 HHX131069 HRT131069 IBP131069 ILL131069 IVH131069 JFD131069 JOZ131069 JYV131069 KIR131069 KSN131069 LCJ131069 LMF131069 LWB131069 MFX131069 MPT131069 MZP131069 NJL131069 NTH131069 ODD131069 OMZ131069 OWV131069 PGR131069 PQN131069 QAJ131069 QKF131069 QUB131069 RDX131069 RNT131069 RXP131069 SHL131069 SRH131069 TBD131069 TKZ131069 TUV131069 UER131069 UON131069 UYJ131069 VIF131069 VSB131069 WBX131069 WLT131069 WVP131069 JD196605 SZ196605 ACV196605 AMR196605 AWN196605 BGJ196605 BQF196605 CAB196605 CJX196605 CTT196605 DDP196605 DNL196605 DXH196605 EHD196605 EQZ196605 FAV196605 FKR196605 FUN196605 GEJ196605 GOF196605 GYB196605 HHX196605 HRT196605 IBP196605 ILL196605 IVH196605 JFD196605 JOZ196605 JYV196605 KIR196605 KSN196605 LCJ196605 LMF196605 LWB196605 MFX196605 MPT196605 MZP196605 NJL196605 NTH196605 ODD196605 OMZ196605 OWV196605 PGR196605 PQN196605 QAJ196605 QKF196605 QUB196605 RDX196605 RNT196605 RXP196605 SHL196605 SRH196605 TBD196605 TKZ196605 TUV196605 UER196605 UON196605 UYJ196605 VIF196605 VSB196605 WBX196605 WLT196605 WVP196605 JD262141 SZ262141 ACV262141 AMR262141 AWN262141 BGJ262141 BQF262141 CAB262141 CJX262141 CTT262141 DDP262141 DNL262141 DXH262141 EHD262141 EQZ262141 FAV262141 FKR262141 FUN262141 GEJ262141 GOF262141 GYB262141 HHX262141 HRT262141 IBP262141 ILL262141 IVH262141 JFD262141 JOZ262141 JYV262141 KIR262141 KSN262141 LCJ262141 LMF262141 LWB262141 MFX262141 MPT262141 MZP262141 NJL262141 NTH262141 ODD262141 OMZ262141 OWV262141 PGR262141 PQN262141 QAJ262141 QKF262141 QUB262141 RDX262141 RNT262141 RXP262141 SHL262141 SRH262141 TBD262141 TKZ262141 TUV262141 UER262141 UON262141 UYJ262141 VIF262141 VSB262141 WBX262141 WLT262141 WVP262141 JD327677 SZ327677 ACV327677 AMR327677 AWN327677 BGJ327677 BQF327677 CAB327677 CJX327677 CTT327677 DDP327677 DNL327677 DXH327677 EHD327677 EQZ327677 FAV327677 FKR327677 FUN327677 GEJ327677 GOF327677 GYB327677 HHX327677 HRT327677 IBP327677 ILL327677 IVH327677 JFD327677 JOZ327677 JYV327677 KIR327677 KSN327677 LCJ327677 LMF327677 LWB327677 MFX327677 MPT327677 MZP327677 NJL327677 NTH327677 ODD327677 OMZ327677 OWV327677 PGR327677 PQN327677 QAJ327677 QKF327677 QUB327677 RDX327677 RNT327677 RXP327677 SHL327677 SRH327677 TBD327677 TKZ327677 TUV327677 UER327677 UON327677 UYJ327677 VIF327677 VSB327677 WBX327677 WLT327677 WVP327677 JD393213 SZ393213 ACV393213 AMR393213 AWN393213 BGJ393213 BQF393213 CAB393213 CJX393213 CTT393213 DDP393213 DNL393213 DXH393213 EHD393213 EQZ393213 FAV393213 FKR393213 FUN393213 GEJ393213 GOF393213 GYB393213 HHX393213 HRT393213 IBP393213 ILL393213 IVH393213 JFD393213 JOZ393213 JYV393213 KIR393213 KSN393213 LCJ393213 LMF393213 LWB393213 MFX393213 MPT393213 MZP393213 NJL393213 NTH393213 ODD393213 OMZ393213 OWV393213 PGR393213 PQN393213 QAJ393213 QKF393213 QUB393213 RDX393213 RNT393213 RXP393213 SHL393213 SRH393213 TBD393213 TKZ393213 TUV393213 UER393213 UON393213 UYJ393213 VIF393213 VSB393213 WBX393213 WLT393213 WVP393213 JD458749 SZ458749 ACV458749 AMR458749 AWN458749 BGJ458749 BQF458749 CAB458749 CJX458749 CTT458749 DDP458749 DNL458749 DXH458749 EHD458749 EQZ458749 FAV458749 FKR458749 FUN458749 GEJ458749 GOF458749 GYB458749 HHX458749 HRT458749 IBP458749 ILL458749 IVH458749 JFD458749 JOZ458749 JYV458749 KIR458749 KSN458749 LCJ458749 LMF458749 LWB458749 MFX458749 MPT458749 MZP458749 NJL458749 NTH458749 ODD458749 OMZ458749 OWV458749 PGR458749 PQN458749 QAJ458749 QKF458749 QUB458749 RDX458749 RNT458749 RXP458749 SHL458749 SRH458749 TBD458749 TKZ458749 TUV458749 UER458749 UON458749 UYJ458749 VIF458749 VSB458749 WBX458749 WLT458749 WVP458749 JD524285 SZ524285 ACV524285 AMR524285 AWN524285 BGJ524285 BQF524285 CAB524285 CJX524285 CTT524285 DDP524285 DNL524285 DXH524285 EHD524285 EQZ524285 FAV524285 FKR524285 FUN524285 GEJ524285 GOF524285 GYB524285 HHX524285 HRT524285 IBP524285 ILL524285 IVH524285 JFD524285 JOZ524285 JYV524285 KIR524285 KSN524285 LCJ524285 LMF524285 LWB524285 MFX524285 MPT524285 MZP524285 NJL524285 NTH524285 ODD524285 OMZ524285 OWV524285 PGR524285 PQN524285 QAJ524285 QKF524285 QUB524285 RDX524285 RNT524285 RXP524285 SHL524285 SRH524285 TBD524285 TKZ524285 TUV524285 UER524285 UON524285 UYJ524285 VIF524285 VSB524285 WBX524285 WLT524285 WVP524285 JD589821 SZ589821 ACV589821 AMR589821 AWN589821 BGJ589821 BQF589821 CAB589821 CJX589821 CTT589821 DDP589821 DNL589821 DXH589821 EHD589821 EQZ589821 FAV589821 FKR589821 FUN589821 GEJ589821 GOF589821 GYB589821 HHX589821 HRT589821 IBP589821 ILL589821 IVH589821 JFD589821 JOZ589821 JYV589821 KIR589821 KSN589821 LCJ589821 LMF589821 LWB589821 MFX589821 MPT589821 MZP589821 NJL589821 NTH589821 ODD589821 OMZ589821 OWV589821 PGR589821 PQN589821 QAJ589821 QKF589821 QUB589821 RDX589821 RNT589821 RXP589821 SHL589821 SRH589821 TBD589821 TKZ589821 TUV589821 UER589821 UON589821 UYJ589821 VIF589821 VSB589821 WBX589821 WLT589821 WVP589821 JD655357 SZ655357 ACV655357 AMR655357 AWN655357 BGJ655357 BQF655357 CAB655357 CJX655357 CTT655357 DDP655357 DNL655357 DXH655357 EHD655357 EQZ655357 FAV655357 FKR655357 FUN655357 GEJ655357 GOF655357 GYB655357 HHX655357 HRT655357 IBP655357 ILL655357 IVH655357 JFD655357 JOZ655357 JYV655357 KIR655357 KSN655357 LCJ655357 LMF655357 LWB655357 MFX655357 MPT655357 MZP655357 NJL655357 NTH655357 ODD655357 OMZ655357 OWV655357 PGR655357 PQN655357 QAJ655357 QKF655357 QUB655357 RDX655357 RNT655357 RXP655357 SHL655357 SRH655357 TBD655357 TKZ655357 TUV655357 UER655357 UON655357 UYJ655357 VIF655357 VSB655357 WBX655357 WLT655357 WVP655357 JD720893 SZ720893 ACV720893 AMR720893 AWN720893 BGJ720893 BQF720893 CAB720893 CJX720893 CTT720893 DDP720893 DNL720893 DXH720893 EHD720893 EQZ720893 FAV720893 FKR720893 FUN720893 GEJ720893 GOF720893 GYB720893 HHX720893 HRT720893 IBP720893 ILL720893 IVH720893 JFD720893 JOZ720893 JYV720893 KIR720893 KSN720893 LCJ720893 LMF720893 LWB720893 MFX720893 MPT720893 MZP720893 NJL720893 NTH720893 ODD720893 OMZ720893 OWV720893 PGR720893 PQN720893 QAJ720893 QKF720893 QUB720893 RDX720893 RNT720893 RXP720893 SHL720893 SRH720893 TBD720893 TKZ720893 TUV720893 UER720893 UON720893 UYJ720893 VIF720893 VSB720893 WBX720893 WLT720893 WVP720893 JD786429 SZ786429 ACV786429 AMR786429 AWN786429 BGJ786429 BQF786429 CAB786429 CJX786429 CTT786429 DDP786429 DNL786429 DXH786429 EHD786429 EQZ786429 FAV786429 FKR786429 FUN786429 GEJ786429 GOF786429 GYB786429 HHX786429 HRT786429 IBP786429 ILL786429 IVH786429 JFD786429 JOZ786429 JYV786429 KIR786429 KSN786429 LCJ786429 LMF786429 LWB786429 MFX786429 MPT786429 MZP786429 NJL786429 NTH786429 ODD786429 OMZ786429 OWV786429 PGR786429 PQN786429 QAJ786429 QKF786429 QUB786429 RDX786429 RNT786429 RXP786429 SHL786429 SRH786429 TBD786429 TKZ786429 TUV786429 UER786429 UON786429 UYJ786429 VIF786429 VSB786429 WBX786429 WLT786429 WVP786429 JD851965 SZ851965 ACV851965 AMR851965 AWN851965 BGJ851965 BQF851965 CAB851965 CJX851965 CTT851965 DDP851965 DNL851965 DXH851965 EHD851965 EQZ851965 FAV851965 FKR851965 FUN851965 GEJ851965 GOF851965 GYB851965 HHX851965 HRT851965 IBP851965 ILL851965 IVH851965 JFD851965 JOZ851965 JYV851965 KIR851965 KSN851965 LCJ851965 LMF851965 LWB851965 MFX851965 MPT851965 MZP851965 NJL851965 NTH851965 ODD851965 OMZ851965 OWV851965 PGR851965 PQN851965 QAJ851965 QKF851965 QUB851965 RDX851965 RNT851965 RXP851965 SHL851965 SRH851965 TBD851965 TKZ851965 TUV851965 UER851965 UON851965 UYJ851965 VIF851965 VSB851965 WBX851965 WLT851965 WVP851965 JD917501 SZ917501 ACV917501 AMR917501 AWN917501 BGJ917501 BQF917501 CAB917501 CJX917501 CTT917501 DDP917501 DNL917501 DXH917501 EHD917501 EQZ917501 FAV917501 FKR917501 FUN917501 GEJ917501 GOF917501 GYB917501 HHX917501 HRT917501 IBP917501 ILL917501 IVH917501 JFD917501 JOZ917501 JYV917501 KIR917501 KSN917501 LCJ917501 LMF917501 LWB917501 MFX917501 MPT917501 MZP917501 NJL917501 NTH917501 ODD917501 OMZ917501 OWV917501 PGR917501 PQN917501 QAJ917501 QKF917501 QUB917501 RDX917501 RNT917501 RXP917501 SHL917501 SRH917501 TBD917501 TKZ917501 TUV917501 UER917501 UON917501 UYJ917501 VIF917501 VSB917501 WBX917501 WLT917501 WVP917501 JD983037 SZ983037 ACV983037 AMR983037 AWN983037 BGJ983037 BQF983037 CAB983037 CJX983037 CTT983037 DDP983037 DNL983037 DXH983037 EHD983037 EQZ983037 FAV983037 FKR983037 FUN983037 GEJ983037 GOF983037 GYB983037 HHX983037 HRT983037 IBP983037 ILL983037 IVH983037 JFD983037 JOZ983037 JYV983037 KIR983037 KSN983037 LCJ983037 LMF983037 LWB983037 MFX983037 MPT983037 MZP983037 NJL983037 NTH983037 ODD983037 OMZ983037 OWV983037 PGR983037 PQN983037 QAJ983037 QKF983037 QUB983037 RDX983037 RNT983037 RXP983037 SHL983037 SRH983037 TBD983037 TKZ983037 TUV983037 UER983037 UON983037 UYJ983037 VIF983037 VSB983037 WBX983037 WLT983037"/>
    <dataValidation type="list" allowBlank="1" showInputMessage="1" showErrorMessage="1" sqref="G34:G46">
      <formula1>"Yes, No"</formula1>
    </dataValidation>
  </dataValidations>
  <pageMargins left="0.75" right="0.75" top="1" bottom="1" header="0.5" footer="0.5"/>
  <pageSetup scale="61" orientation="landscape" r:id="rId1"/>
  <headerFooter alignWithMargins="0"/>
  <legacy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8">
    <tabColor rgb="FFFFC000"/>
    <pageSetUpPr fitToPage="1"/>
  </sheetPr>
  <dimension ref="A1:L54"/>
  <sheetViews>
    <sheetView showGridLines="0" zoomScaleNormal="100" workbookViewId="0">
      <selection activeCell="A9" sqref="A9:I9"/>
    </sheetView>
  </sheetViews>
  <sheetFormatPr defaultRowHeight="15" x14ac:dyDescent="0.25"/>
  <cols>
    <col min="1" max="1" width="51.7109375" style="375" customWidth="1"/>
    <col min="2" max="2" width="10.85546875" style="375" customWidth="1"/>
    <col min="3" max="5" width="13.7109375" style="375" customWidth="1"/>
    <col min="6" max="6" width="13.85546875" style="375" customWidth="1"/>
    <col min="7" max="7" width="10.28515625" style="375" bestFit="1" customWidth="1"/>
    <col min="8" max="8" width="15.42578125" style="375" customWidth="1"/>
    <col min="9" max="9" width="11" style="375" bestFit="1" customWidth="1"/>
    <col min="10" max="10" width="9.28515625" style="375" bestFit="1" customWidth="1"/>
    <col min="11" max="256" width="9.140625" style="375"/>
    <col min="257" max="257" width="51.7109375" style="375" customWidth="1"/>
    <col min="258" max="263" width="9.140625" style="375"/>
    <col min="264" max="264" width="10.85546875" style="375" customWidth="1"/>
    <col min="265" max="512" width="9.140625" style="375"/>
    <col min="513" max="513" width="51.7109375" style="375" customWidth="1"/>
    <col min="514" max="519" width="9.140625" style="375"/>
    <col min="520" max="520" width="10.85546875" style="375" customWidth="1"/>
    <col min="521" max="768" width="9.140625" style="375"/>
    <col min="769" max="769" width="51.7109375" style="375" customWidth="1"/>
    <col min="770" max="775" width="9.140625" style="375"/>
    <col min="776" max="776" width="10.85546875" style="375" customWidth="1"/>
    <col min="777" max="1024" width="9.140625" style="375"/>
    <col min="1025" max="1025" width="51.7109375" style="375" customWidth="1"/>
    <col min="1026" max="1031" width="9.140625" style="375"/>
    <col min="1032" max="1032" width="10.85546875" style="375" customWidth="1"/>
    <col min="1033" max="1280" width="9.140625" style="375"/>
    <col min="1281" max="1281" width="51.7109375" style="375" customWidth="1"/>
    <col min="1282" max="1287" width="9.140625" style="375"/>
    <col min="1288" max="1288" width="10.85546875" style="375" customWidth="1"/>
    <col min="1289" max="1536" width="9.140625" style="375"/>
    <col min="1537" max="1537" width="51.7109375" style="375" customWidth="1"/>
    <col min="1538" max="1543" width="9.140625" style="375"/>
    <col min="1544" max="1544" width="10.85546875" style="375" customWidth="1"/>
    <col min="1545" max="1792" width="9.140625" style="375"/>
    <col min="1793" max="1793" width="51.7109375" style="375" customWidth="1"/>
    <col min="1794" max="1799" width="9.140625" style="375"/>
    <col min="1800" max="1800" width="10.85546875" style="375" customWidth="1"/>
    <col min="1801" max="2048" width="9.140625" style="375"/>
    <col min="2049" max="2049" width="51.7109375" style="375" customWidth="1"/>
    <col min="2050" max="2055" width="9.140625" style="375"/>
    <col min="2056" max="2056" width="10.85546875" style="375" customWidth="1"/>
    <col min="2057" max="2304" width="9.140625" style="375"/>
    <col min="2305" max="2305" width="51.7109375" style="375" customWidth="1"/>
    <col min="2306" max="2311" width="9.140625" style="375"/>
    <col min="2312" max="2312" width="10.85546875" style="375" customWidth="1"/>
    <col min="2313" max="2560" width="9.140625" style="375"/>
    <col min="2561" max="2561" width="51.7109375" style="375" customWidth="1"/>
    <col min="2562" max="2567" width="9.140625" style="375"/>
    <col min="2568" max="2568" width="10.85546875" style="375" customWidth="1"/>
    <col min="2569" max="2816" width="9.140625" style="375"/>
    <col min="2817" max="2817" width="51.7109375" style="375" customWidth="1"/>
    <col min="2818" max="2823" width="9.140625" style="375"/>
    <col min="2824" max="2824" width="10.85546875" style="375" customWidth="1"/>
    <col min="2825" max="3072" width="9.140625" style="375"/>
    <col min="3073" max="3073" width="51.7109375" style="375" customWidth="1"/>
    <col min="3074" max="3079" width="9.140625" style="375"/>
    <col min="3080" max="3080" width="10.85546875" style="375" customWidth="1"/>
    <col min="3081" max="3328" width="9.140625" style="375"/>
    <col min="3329" max="3329" width="51.7109375" style="375" customWidth="1"/>
    <col min="3330" max="3335" width="9.140625" style="375"/>
    <col min="3336" max="3336" width="10.85546875" style="375" customWidth="1"/>
    <col min="3337" max="3584" width="9.140625" style="375"/>
    <col min="3585" max="3585" width="51.7109375" style="375" customWidth="1"/>
    <col min="3586" max="3591" width="9.140625" style="375"/>
    <col min="3592" max="3592" width="10.85546875" style="375" customWidth="1"/>
    <col min="3593" max="3840" width="9.140625" style="375"/>
    <col min="3841" max="3841" width="51.7109375" style="375" customWidth="1"/>
    <col min="3842" max="3847" width="9.140625" style="375"/>
    <col min="3848" max="3848" width="10.85546875" style="375" customWidth="1"/>
    <col min="3849" max="4096" width="9.140625" style="375"/>
    <col min="4097" max="4097" width="51.7109375" style="375" customWidth="1"/>
    <col min="4098" max="4103" width="9.140625" style="375"/>
    <col min="4104" max="4104" width="10.85546875" style="375" customWidth="1"/>
    <col min="4105" max="4352" width="9.140625" style="375"/>
    <col min="4353" max="4353" width="51.7109375" style="375" customWidth="1"/>
    <col min="4354" max="4359" width="9.140625" style="375"/>
    <col min="4360" max="4360" width="10.85546875" style="375" customWidth="1"/>
    <col min="4361" max="4608" width="9.140625" style="375"/>
    <col min="4609" max="4609" width="51.7109375" style="375" customWidth="1"/>
    <col min="4610" max="4615" width="9.140625" style="375"/>
    <col min="4616" max="4616" width="10.85546875" style="375" customWidth="1"/>
    <col min="4617" max="4864" width="9.140625" style="375"/>
    <col min="4865" max="4865" width="51.7109375" style="375" customWidth="1"/>
    <col min="4866" max="4871" width="9.140625" style="375"/>
    <col min="4872" max="4872" width="10.85546875" style="375" customWidth="1"/>
    <col min="4873" max="5120" width="9.140625" style="375"/>
    <col min="5121" max="5121" width="51.7109375" style="375" customWidth="1"/>
    <col min="5122" max="5127" width="9.140625" style="375"/>
    <col min="5128" max="5128" width="10.85546875" style="375" customWidth="1"/>
    <col min="5129" max="5376" width="9.140625" style="375"/>
    <col min="5377" max="5377" width="51.7109375" style="375" customWidth="1"/>
    <col min="5378" max="5383" width="9.140625" style="375"/>
    <col min="5384" max="5384" width="10.85546875" style="375" customWidth="1"/>
    <col min="5385" max="5632" width="9.140625" style="375"/>
    <col min="5633" max="5633" width="51.7109375" style="375" customWidth="1"/>
    <col min="5634" max="5639" width="9.140625" style="375"/>
    <col min="5640" max="5640" width="10.85546875" style="375" customWidth="1"/>
    <col min="5641" max="5888" width="9.140625" style="375"/>
    <col min="5889" max="5889" width="51.7109375" style="375" customWidth="1"/>
    <col min="5890" max="5895" width="9.140625" style="375"/>
    <col min="5896" max="5896" width="10.85546875" style="375" customWidth="1"/>
    <col min="5897" max="6144" width="9.140625" style="375"/>
    <col min="6145" max="6145" width="51.7109375" style="375" customWidth="1"/>
    <col min="6146" max="6151" width="9.140625" style="375"/>
    <col min="6152" max="6152" width="10.85546875" style="375" customWidth="1"/>
    <col min="6153" max="6400" width="9.140625" style="375"/>
    <col min="6401" max="6401" width="51.7109375" style="375" customWidth="1"/>
    <col min="6402" max="6407" width="9.140625" style="375"/>
    <col min="6408" max="6408" width="10.85546875" style="375" customWidth="1"/>
    <col min="6409" max="6656" width="9.140625" style="375"/>
    <col min="6657" max="6657" width="51.7109375" style="375" customWidth="1"/>
    <col min="6658" max="6663" width="9.140625" style="375"/>
    <col min="6664" max="6664" width="10.85546875" style="375" customWidth="1"/>
    <col min="6665" max="6912" width="9.140625" style="375"/>
    <col min="6913" max="6913" width="51.7109375" style="375" customWidth="1"/>
    <col min="6914" max="6919" width="9.140625" style="375"/>
    <col min="6920" max="6920" width="10.85546875" style="375" customWidth="1"/>
    <col min="6921" max="7168" width="9.140625" style="375"/>
    <col min="7169" max="7169" width="51.7109375" style="375" customWidth="1"/>
    <col min="7170" max="7175" width="9.140625" style="375"/>
    <col min="7176" max="7176" width="10.85546875" style="375" customWidth="1"/>
    <col min="7177" max="7424" width="9.140625" style="375"/>
    <col min="7425" max="7425" width="51.7109375" style="375" customWidth="1"/>
    <col min="7426" max="7431" width="9.140625" style="375"/>
    <col min="7432" max="7432" width="10.85546875" style="375" customWidth="1"/>
    <col min="7433" max="7680" width="9.140625" style="375"/>
    <col min="7681" max="7681" width="51.7109375" style="375" customWidth="1"/>
    <col min="7682" max="7687" width="9.140625" style="375"/>
    <col min="7688" max="7688" width="10.85546875" style="375" customWidth="1"/>
    <col min="7689" max="7936" width="9.140625" style="375"/>
    <col min="7937" max="7937" width="51.7109375" style="375" customWidth="1"/>
    <col min="7938" max="7943" width="9.140625" style="375"/>
    <col min="7944" max="7944" width="10.85546875" style="375" customWidth="1"/>
    <col min="7945" max="8192" width="9.140625" style="375"/>
    <col min="8193" max="8193" width="51.7109375" style="375" customWidth="1"/>
    <col min="8194" max="8199" width="9.140625" style="375"/>
    <col min="8200" max="8200" width="10.85546875" style="375" customWidth="1"/>
    <col min="8201" max="8448" width="9.140625" style="375"/>
    <col min="8449" max="8449" width="51.7109375" style="375" customWidth="1"/>
    <col min="8450" max="8455" width="9.140625" style="375"/>
    <col min="8456" max="8456" width="10.85546875" style="375" customWidth="1"/>
    <col min="8457" max="8704" width="9.140625" style="375"/>
    <col min="8705" max="8705" width="51.7109375" style="375" customWidth="1"/>
    <col min="8706" max="8711" width="9.140625" style="375"/>
    <col min="8712" max="8712" width="10.85546875" style="375" customWidth="1"/>
    <col min="8713" max="8960" width="9.140625" style="375"/>
    <col min="8961" max="8961" width="51.7109375" style="375" customWidth="1"/>
    <col min="8962" max="8967" width="9.140625" style="375"/>
    <col min="8968" max="8968" width="10.85546875" style="375" customWidth="1"/>
    <col min="8969" max="9216" width="9.140625" style="375"/>
    <col min="9217" max="9217" width="51.7109375" style="375" customWidth="1"/>
    <col min="9218" max="9223" width="9.140625" style="375"/>
    <col min="9224" max="9224" width="10.85546875" style="375" customWidth="1"/>
    <col min="9225" max="9472" width="9.140625" style="375"/>
    <col min="9473" max="9473" width="51.7109375" style="375" customWidth="1"/>
    <col min="9474" max="9479" width="9.140625" style="375"/>
    <col min="9480" max="9480" width="10.85546875" style="375" customWidth="1"/>
    <col min="9481" max="9728" width="9.140625" style="375"/>
    <col min="9729" max="9729" width="51.7109375" style="375" customWidth="1"/>
    <col min="9730" max="9735" width="9.140625" style="375"/>
    <col min="9736" max="9736" width="10.85546875" style="375" customWidth="1"/>
    <col min="9737" max="9984" width="9.140625" style="375"/>
    <col min="9985" max="9985" width="51.7109375" style="375" customWidth="1"/>
    <col min="9986" max="9991" width="9.140625" style="375"/>
    <col min="9992" max="9992" width="10.85546875" style="375" customWidth="1"/>
    <col min="9993" max="10240" width="9.140625" style="375"/>
    <col min="10241" max="10241" width="51.7109375" style="375" customWidth="1"/>
    <col min="10242" max="10247" width="9.140625" style="375"/>
    <col min="10248" max="10248" width="10.85546875" style="375" customWidth="1"/>
    <col min="10249" max="10496" width="9.140625" style="375"/>
    <col min="10497" max="10497" width="51.7109375" style="375" customWidth="1"/>
    <col min="10498" max="10503" width="9.140625" style="375"/>
    <col min="10504" max="10504" width="10.85546875" style="375" customWidth="1"/>
    <col min="10505" max="10752" width="9.140625" style="375"/>
    <col min="10753" max="10753" width="51.7109375" style="375" customWidth="1"/>
    <col min="10754" max="10759" width="9.140625" style="375"/>
    <col min="10760" max="10760" width="10.85546875" style="375" customWidth="1"/>
    <col min="10761" max="11008" width="9.140625" style="375"/>
    <col min="11009" max="11009" width="51.7109375" style="375" customWidth="1"/>
    <col min="11010" max="11015" width="9.140625" style="375"/>
    <col min="11016" max="11016" width="10.85546875" style="375" customWidth="1"/>
    <col min="11017" max="11264" width="9.140625" style="375"/>
    <col min="11265" max="11265" width="51.7109375" style="375" customWidth="1"/>
    <col min="11266" max="11271" width="9.140625" style="375"/>
    <col min="11272" max="11272" width="10.85546875" style="375" customWidth="1"/>
    <col min="11273" max="11520" width="9.140625" style="375"/>
    <col min="11521" max="11521" width="51.7109375" style="375" customWidth="1"/>
    <col min="11522" max="11527" width="9.140625" style="375"/>
    <col min="11528" max="11528" width="10.85546875" style="375" customWidth="1"/>
    <col min="11529" max="11776" width="9.140625" style="375"/>
    <col min="11777" max="11777" width="51.7109375" style="375" customWidth="1"/>
    <col min="11778" max="11783" width="9.140625" style="375"/>
    <col min="11784" max="11784" width="10.85546875" style="375" customWidth="1"/>
    <col min="11785" max="12032" width="9.140625" style="375"/>
    <col min="12033" max="12033" width="51.7109375" style="375" customWidth="1"/>
    <col min="12034" max="12039" width="9.140625" style="375"/>
    <col min="12040" max="12040" width="10.85546875" style="375" customWidth="1"/>
    <col min="12041" max="12288" width="9.140625" style="375"/>
    <col min="12289" max="12289" width="51.7109375" style="375" customWidth="1"/>
    <col min="12290" max="12295" width="9.140625" style="375"/>
    <col min="12296" max="12296" width="10.85546875" style="375" customWidth="1"/>
    <col min="12297" max="12544" width="9.140625" style="375"/>
    <col min="12545" max="12545" width="51.7109375" style="375" customWidth="1"/>
    <col min="12546" max="12551" width="9.140625" style="375"/>
    <col min="12552" max="12552" width="10.85546875" style="375" customWidth="1"/>
    <col min="12553" max="12800" width="9.140625" style="375"/>
    <col min="12801" max="12801" width="51.7109375" style="375" customWidth="1"/>
    <col min="12802" max="12807" width="9.140625" style="375"/>
    <col min="12808" max="12808" width="10.85546875" style="375" customWidth="1"/>
    <col min="12809" max="13056" width="9.140625" style="375"/>
    <col min="13057" max="13057" width="51.7109375" style="375" customWidth="1"/>
    <col min="13058" max="13063" width="9.140625" style="375"/>
    <col min="13064" max="13064" width="10.85546875" style="375" customWidth="1"/>
    <col min="13065" max="13312" width="9.140625" style="375"/>
    <col min="13313" max="13313" width="51.7109375" style="375" customWidth="1"/>
    <col min="13314" max="13319" width="9.140625" style="375"/>
    <col min="13320" max="13320" width="10.85546875" style="375" customWidth="1"/>
    <col min="13321" max="13568" width="9.140625" style="375"/>
    <col min="13569" max="13569" width="51.7109375" style="375" customWidth="1"/>
    <col min="13570" max="13575" width="9.140625" style="375"/>
    <col min="13576" max="13576" width="10.85546875" style="375" customWidth="1"/>
    <col min="13577" max="13824" width="9.140625" style="375"/>
    <col min="13825" max="13825" width="51.7109375" style="375" customWidth="1"/>
    <col min="13826" max="13831" width="9.140625" style="375"/>
    <col min="13832" max="13832" width="10.85546875" style="375" customWidth="1"/>
    <col min="13833" max="14080" width="9.140625" style="375"/>
    <col min="14081" max="14081" width="51.7109375" style="375" customWidth="1"/>
    <col min="14082" max="14087" width="9.140625" style="375"/>
    <col min="14088" max="14088" width="10.85546875" style="375" customWidth="1"/>
    <col min="14089" max="14336" width="9.140625" style="375"/>
    <col min="14337" max="14337" width="51.7109375" style="375" customWidth="1"/>
    <col min="14338" max="14343" width="9.140625" style="375"/>
    <col min="14344" max="14344" width="10.85546875" style="375" customWidth="1"/>
    <col min="14345" max="14592" width="9.140625" style="375"/>
    <col min="14593" max="14593" width="51.7109375" style="375" customWidth="1"/>
    <col min="14594" max="14599" width="9.140625" style="375"/>
    <col min="14600" max="14600" width="10.85546875" style="375" customWidth="1"/>
    <col min="14601" max="14848" width="9.140625" style="375"/>
    <col min="14849" max="14849" width="51.7109375" style="375" customWidth="1"/>
    <col min="14850" max="14855" width="9.140625" style="375"/>
    <col min="14856" max="14856" width="10.85546875" style="375" customWidth="1"/>
    <col min="14857" max="15104" width="9.140625" style="375"/>
    <col min="15105" max="15105" width="51.7109375" style="375" customWidth="1"/>
    <col min="15106" max="15111" width="9.140625" style="375"/>
    <col min="15112" max="15112" width="10.85546875" style="375" customWidth="1"/>
    <col min="15113" max="15360" width="9.140625" style="375"/>
    <col min="15361" max="15361" width="51.7109375" style="375" customWidth="1"/>
    <col min="15362" max="15367" width="9.140625" style="375"/>
    <col min="15368" max="15368" width="10.85546875" style="375" customWidth="1"/>
    <col min="15369" max="15616" width="9.140625" style="375"/>
    <col min="15617" max="15617" width="51.7109375" style="375" customWidth="1"/>
    <col min="15618" max="15623" width="9.140625" style="375"/>
    <col min="15624" max="15624" width="10.85546875" style="375" customWidth="1"/>
    <col min="15625" max="15872" width="9.140625" style="375"/>
    <col min="15873" max="15873" width="51.7109375" style="375" customWidth="1"/>
    <col min="15874" max="15879" width="9.140625" style="375"/>
    <col min="15880" max="15880" width="10.85546875" style="375" customWidth="1"/>
    <col min="15881" max="16128" width="9.140625" style="375"/>
    <col min="16129" max="16129" width="51.7109375" style="375" customWidth="1"/>
    <col min="16130" max="16135" width="9.140625" style="375"/>
    <col min="16136" max="16136" width="10.85546875" style="375" customWidth="1"/>
    <col min="16137" max="16384" width="9.140625" style="375"/>
  </cols>
  <sheetData>
    <row r="1" spans="1:12" x14ac:dyDescent="0.25">
      <c r="A1" s="52"/>
      <c r="B1" s="52"/>
      <c r="C1" s="52"/>
      <c r="D1" s="52"/>
      <c r="E1" s="52"/>
      <c r="F1" s="52"/>
      <c r="G1" s="52"/>
      <c r="H1" s="152" t="s">
        <v>301</v>
      </c>
      <c r="I1" s="1092" t="str">
        <f>EBNUMBER</f>
        <v>EB-2016-0066</v>
      </c>
    </row>
    <row r="2" spans="1:12" x14ac:dyDescent="0.25">
      <c r="A2" s="52"/>
      <c r="B2" s="52"/>
      <c r="C2" s="52"/>
      <c r="D2" s="52"/>
      <c r="E2" s="52"/>
      <c r="F2" s="52"/>
      <c r="G2" s="52"/>
      <c r="H2" s="152" t="s">
        <v>302</v>
      </c>
      <c r="I2" s="51"/>
    </row>
    <row r="3" spans="1:12" x14ac:dyDescent="0.25">
      <c r="A3" s="52"/>
      <c r="B3" s="52"/>
      <c r="C3" s="52"/>
      <c r="D3" s="52"/>
      <c r="E3" s="52"/>
      <c r="F3" s="52"/>
      <c r="G3" s="52"/>
      <c r="H3" s="152" t="s">
        <v>303</v>
      </c>
      <c r="I3" s="51"/>
    </row>
    <row r="4" spans="1:12" x14ac:dyDescent="0.25">
      <c r="A4" s="52"/>
      <c r="B4" s="52"/>
      <c r="C4" s="52"/>
      <c r="D4" s="52"/>
      <c r="E4" s="52"/>
      <c r="F4" s="52"/>
      <c r="G4" s="52"/>
      <c r="H4" s="152" t="s">
        <v>304</v>
      </c>
      <c r="I4" s="51"/>
    </row>
    <row r="5" spans="1:12" x14ac:dyDescent="0.25">
      <c r="A5" s="52"/>
      <c r="B5" s="52"/>
      <c r="C5" s="52"/>
      <c r="D5" s="52"/>
      <c r="E5" s="52"/>
      <c r="F5" s="52"/>
      <c r="G5" s="52"/>
      <c r="H5" s="152" t="s">
        <v>305</v>
      </c>
      <c r="I5" s="1093"/>
    </row>
    <row r="6" spans="1:12" x14ac:dyDescent="0.25">
      <c r="A6" s="52"/>
      <c r="B6" s="52"/>
      <c r="C6" s="52"/>
      <c r="D6" s="52"/>
      <c r="E6" s="52"/>
      <c r="F6" s="52"/>
      <c r="G6" s="52"/>
      <c r="H6" s="152"/>
      <c r="I6" s="1092"/>
    </row>
    <row r="7" spans="1:12" x14ac:dyDescent="0.25">
      <c r="A7" s="52"/>
      <c r="B7" s="52"/>
      <c r="C7" s="52"/>
      <c r="D7" s="52"/>
      <c r="E7" s="52"/>
      <c r="F7" s="52"/>
      <c r="G7" s="52"/>
      <c r="H7" s="152" t="s">
        <v>306</v>
      </c>
      <c r="I7" s="1093"/>
    </row>
    <row r="8" spans="1:12" x14ac:dyDescent="0.25">
      <c r="A8" s="52"/>
      <c r="B8" s="52"/>
      <c r="C8" s="52"/>
      <c r="D8" s="52"/>
      <c r="E8" s="52"/>
      <c r="F8" s="52"/>
      <c r="G8" s="52"/>
      <c r="H8" s="52"/>
      <c r="I8" s="52"/>
    </row>
    <row r="9" spans="1:12" ht="18" x14ac:dyDescent="0.25">
      <c r="A9" s="1591" t="s">
        <v>1448</v>
      </c>
      <c r="B9" s="1728"/>
      <c r="C9" s="1728"/>
      <c r="D9" s="1728"/>
      <c r="E9" s="1728"/>
      <c r="F9" s="1728"/>
      <c r="G9" s="1728"/>
      <c r="H9" s="1728"/>
      <c r="I9" s="1728"/>
    </row>
    <row r="10" spans="1:12" ht="18" x14ac:dyDescent="0.25">
      <c r="A10" s="1591" t="s">
        <v>419</v>
      </c>
      <c r="B10" s="1729"/>
      <c r="C10" s="1729"/>
      <c r="D10" s="1729"/>
      <c r="E10" s="1729"/>
      <c r="F10" s="1729"/>
      <c r="G10" s="1729"/>
      <c r="H10" s="1729"/>
      <c r="I10" s="1729"/>
    </row>
    <row r="11" spans="1:12" ht="18" x14ac:dyDescent="0.25">
      <c r="A11" s="1591" t="s">
        <v>896</v>
      </c>
      <c r="B11" s="1729"/>
      <c r="C11" s="1729"/>
      <c r="D11" s="1729"/>
      <c r="E11" s="1729"/>
      <c r="F11" s="1729"/>
      <c r="G11" s="1729"/>
      <c r="H11" s="1729"/>
      <c r="I11" s="1729"/>
    </row>
    <row r="12" spans="1:12" x14ac:dyDescent="0.25">
      <c r="A12" s="52"/>
      <c r="B12" s="52"/>
      <c r="C12" s="52"/>
      <c r="D12" s="52"/>
      <c r="E12" s="52"/>
      <c r="F12" s="52"/>
      <c r="G12" s="52"/>
      <c r="H12" s="52"/>
      <c r="I12" s="52"/>
    </row>
    <row r="13" spans="1:12" s="376" customFormat="1" x14ac:dyDescent="0.25">
      <c r="A13" s="1730" t="s">
        <v>1016</v>
      </c>
      <c r="B13" s="1730"/>
      <c r="C13" s="1730"/>
      <c r="D13" s="1730"/>
      <c r="E13" s="1730"/>
      <c r="F13" s="1730"/>
      <c r="G13" s="1730"/>
      <c r="H13" s="1730"/>
      <c r="I13" s="1730"/>
      <c r="J13" s="333"/>
      <c r="K13" s="333"/>
      <c r="L13" s="333"/>
    </row>
    <row r="14" spans="1:12" x14ac:dyDescent="0.25">
      <c r="A14" s="377"/>
      <c r="B14" s="377"/>
      <c r="C14" s="377"/>
      <c r="D14" s="377"/>
      <c r="E14" s="377"/>
      <c r="F14" s="377"/>
      <c r="G14" s="377"/>
      <c r="H14" s="377"/>
      <c r="I14" s="377"/>
      <c r="J14" s="378"/>
      <c r="K14" s="378"/>
    </row>
    <row r="15" spans="1:12" x14ac:dyDescent="0.25">
      <c r="A15" s="1730"/>
      <c r="B15" s="1730"/>
      <c r="C15" s="1730"/>
      <c r="D15" s="1730"/>
      <c r="E15" s="1730"/>
      <c r="F15" s="1730"/>
      <c r="G15" s="1730"/>
      <c r="H15" s="1730"/>
      <c r="I15" s="1730"/>
      <c r="J15" s="378"/>
      <c r="K15" s="378"/>
    </row>
    <row r="16" spans="1:12" x14ac:dyDescent="0.25">
      <c r="A16" s="377"/>
      <c r="B16" s="377"/>
      <c r="C16" s="377"/>
      <c r="D16" s="377"/>
      <c r="E16" s="377"/>
      <c r="F16" s="377"/>
      <c r="G16" s="377"/>
      <c r="H16" s="377"/>
      <c r="I16" s="377"/>
      <c r="J16" s="378"/>
      <c r="K16" s="378"/>
    </row>
    <row r="17" spans="1:7" ht="39" x14ac:dyDescent="0.25">
      <c r="A17" s="377"/>
      <c r="B17" s="379" t="str">
        <f>RebaseYear &amp;" Rebasing Year"</f>
        <v>2012 Rebasing Year</v>
      </c>
      <c r="C17" s="379">
        <f>TestYear-3</f>
        <v>2014</v>
      </c>
      <c r="D17" s="379">
        <f>TestYear-2</f>
        <v>2015</v>
      </c>
      <c r="E17" s="379" t="str">
        <f>CONCATENATE(TestYear-1," Bridge Year")</f>
        <v>2016 Bridge Year</v>
      </c>
      <c r="F17" s="379" t="str">
        <f>CONCATENATE(TestYear," Rebasing Year")</f>
        <v>2017 Rebasing Year</v>
      </c>
      <c r="G17" s="378"/>
    </row>
    <row r="18" spans="1:7" x14ac:dyDescent="0.25">
      <c r="A18" s="380" t="s">
        <v>103</v>
      </c>
      <c r="B18" s="381" t="s">
        <v>104</v>
      </c>
      <c r="C18" s="381" t="s">
        <v>104</v>
      </c>
      <c r="D18" s="381" t="s">
        <v>104</v>
      </c>
      <c r="E18" s="382" t="s">
        <v>105</v>
      </c>
      <c r="F18" s="382" t="s">
        <v>105</v>
      </c>
      <c r="G18" s="378"/>
    </row>
    <row r="19" spans="1:7" x14ac:dyDescent="0.25">
      <c r="A19" s="380"/>
      <c r="B19" s="381" t="s">
        <v>86</v>
      </c>
      <c r="C19" s="381" t="s">
        <v>413</v>
      </c>
      <c r="D19" s="381" t="s">
        <v>413</v>
      </c>
      <c r="E19" s="381" t="s">
        <v>86</v>
      </c>
      <c r="F19" s="381" t="s">
        <v>86</v>
      </c>
      <c r="G19" s="378"/>
    </row>
    <row r="20" spans="1:7" x14ac:dyDescent="0.25">
      <c r="A20" s="377"/>
      <c r="B20" s="383"/>
      <c r="C20" s="384"/>
      <c r="D20" s="384" t="s">
        <v>170</v>
      </c>
      <c r="E20" s="384" t="s">
        <v>170</v>
      </c>
      <c r="F20" s="384"/>
      <c r="G20" s="378"/>
    </row>
    <row r="21" spans="1:7" x14ac:dyDescent="0.25">
      <c r="A21" s="380" t="s">
        <v>414</v>
      </c>
      <c r="B21" s="1725"/>
      <c r="C21" s="1726"/>
      <c r="D21" s="1726"/>
      <c r="E21" s="1726"/>
      <c r="F21" s="1727"/>
      <c r="G21" s="378"/>
    </row>
    <row r="22" spans="1:7" x14ac:dyDescent="0.25">
      <c r="A22" s="383" t="s">
        <v>415</v>
      </c>
      <c r="B22" s="385"/>
      <c r="C22" s="386"/>
      <c r="D22" s="387">
        <f>+C25</f>
        <v>0</v>
      </c>
      <c r="E22" s="387">
        <f>+D25</f>
        <v>0</v>
      </c>
      <c r="F22" s="385"/>
      <c r="G22" s="378"/>
    </row>
    <row r="23" spans="1:7" x14ac:dyDescent="0.25">
      <c r="A23" s="383" t="s">
        <v>730</v>
      </c>
      <c r="B23" s="385"/>
      <c r="C23" s="386"/>
      <c r="D23" s="386"/>
      <c r="E23" s="386"/>
      <c r="F23" s="385"/>
      <c r="G23" s="378"/>
    </row>
    <row r="24" spans="1:7" x14ac:dyDescent="0.25">
      <c r="A24" s="383" t="s">
        <v>731</v>
      </c>
      <c r="B24" s="385"/>
      <c r="C24" s="386"/>
      <c r="D24" s="386"/>
      <c r="E24" s="386"/>
      <c r="F24" s="385"/>
      <c r="G24" s="378"/>
    </row>
    <row r="25" spans="1:7" x14ac:dyDescent="0.25">
      <c r="A25" s="388" t="s">
        <v>416</v>
      </c>
      <c r="B25" s="385"/>
      <c r="C25" s="389">
        <f>C22+C23+C24</f>
        <v>0</v>
      </c>
      <c r="D25" s="389">
        <f>SUM(D22:D24)</f>
        <v>0</v>
      </c>
      <c r="E25" s="389">
        <f>SUM(E22:E24)</f>
        <v>0</v>
      </c>
      <c r="F25" s="385"/>
      <c r="G25" s="378"/>
    </row>
    <row r="26" spans="1:7" x14ac:dyDescent="0.25">
      <c r="A26" s="377"/>
      <c r="B26" s="1733"/>
      <c r="C26" s="1734"/>
      <c r="D26" s="1734"/>
      <c r="E26" s="1734"/>
      <c r="F26" s="1735"/>
      <c r="G26" s="378"/>
    </row>
    <row r="27" spans="1:7" ht="26.25" x14ac:dyDescent="0.25">
      <c r="A27" s="390" t="s">
        <v>932</v>
      </c>
      <c r="B27" s="1736"/>
      <c r="C27" s="1737"/>
      <c r="D27" s="1737"/>
      <c r="E27" s="1737"/>
      <c r="F27" s="1738"/>
      <c r="G27" s="378"/>
    </row>
    <row r="28" spans="1:7" x14ac:dyDescent="0.25">
      <c r="A28" s="383" t="s">
        <v>417</v>
      </c>
      <c r="B28" s="385"/>
      <c r="C28" s="391"/>
      <c r="D28" s="387">
        <f>+C31</f>
        <v>0</v>
      </c>
      <c r="E28" s="387">
        <f>+D31</f>
        <v>0</v>
      </c>
      <c r="F28" s="385"/>
      <c r="G28" s="378"/>
    </row>
    <row r="29" spans="1:7" x14ac:dyDescent="0.25">
      <c r="A29" s="383" t="s">
        <v>730</v>
      </c>
      <c r="B29" s="385"/>
      <c r="C29" s="391"/>
      <c r="D29" s="391"/>
      <c r="E29" s="386"/>
      <c r="F29" s="385"/>
      <c r="G29" s="378"/>
    </row>
    <row r="30" spans="1:7" x14ac:dyDescent="0.25">
      <c r="A30" s="383" t="s">
        <v>731</v>
      </c>
      <c r="B30" s="385"/>
      <c r="C30" s="391"/>
      <c r="D30" s="391"/>
      <c r="E30" s="386"/>
      <c r="F30" s="385"/>
      <c r="G30" s="378"/>
    </row>
    <row r="31" spans="1:7" x14ac:dyDescent="0.25">
      <c r="A31" s="388" t="s">
        <v>418</v>
      </c>
      <c r="B31" s="385"/>
      <c r="C31" s="389">
        <f>SUM(C28:C30)</f>
        <v>0</v>
      </c>
      <c r="D31" s="389">
        <f>SUM(D28:D30)</f>
        <v>0</v>
      </c>
      <c r="E31" s="389">
        <f>SUM(E28:E30)</f>
        <v>0</v>
      </c>
      <c r="F31" s="385"/>
      <c r="G31" s="378"/>
    </row>
    <row r="32" spans="1:7" x14ac:dyDescent="0.25">
      <c r="A32" s="377"/>
      <c r="B32" s="1725"/>
      <c r="C32" s="1726"/>
      <c r="D32" s="1726"/>
      <c r="E32" s="1726"/>
      <c r="F32" s="1727"/>
      <c r="G32" s="378"/>
    </row>
    <row r="33" spans="1:11" ht="26.25" x14ac:dyDescent="0.25">
      <c r="A33" s="392" t="s">
        <v>737</v>
      </c>
      <c r="B33" s="385"/>
      <c r="C33" s="393">
        <f>C25-C31</f>
        <v>0</v>
      </c>
      <c r="D33" s="393">
        <f>D25-D31</f>
        <v>0</v>
      </c>
      <c r="E33" s="393">
        <f>E25-E31</f>
        <v>0</v>
      </c>
      <c r="F33" s="385"/>
      <c r="G33" s="378"/>
    </row>
    <row r="34" spans="1:11" x14ac:dyDescent="0.25">
      <c r="A34" s="380"/>
      <c r="B34" s="377"/>
      <c r="C34" s="394"/>
      <c r="D34" s="394"/>
      <c r="E34" s="394"/>
      <c r="F34" s="394"/>
      <c r="G34" s="394"/>
      <c r="H34" s="394"/>
      <c r="I34" s="377"/>
      <c r="J34" s="378"/>
      <c r="K34" s="378"/>
    </row>
    <row r="35" spans="1:11" x14ac:dyDescent="0.25">
      <c r="A35" s="380"/>
      <c r="B35" s="377"/>
      <c r="C35" s="394"/>
      <c r="D35" s="394"/>
      <c r="E35" s="394"/>
      <c r="F35" s="394"/>
      <c r="G35" s="394"/>
      <c r="H35" s="394"/>
      <c r="I35" s="377"/>
      <c r="J35" s="378"/>
      <c r="K35" s="378"/>
    </row>
    <row r="36" spans="1:11" x14ac:dyDescent="0.25">
      <c r="A36" s="380" t="s">
        <v>732</v>
      </c>
      <c r="B36" s="377"/>
      <c r="C36" s="394"/>
      <c r="D36" s="394"/>
      <c r="E36" s="394"/>
      <c r="F36" s="394"/>
      <c r="G36" s="394"/>
      <c r="H36" s="394"/>
      <c r="I36" s="377"/>
      <c r="J36" s="378"/>
      <c r="K36" s="378"/>
    </row>
    <row r="37" spans="1:11" s="400" customFormat="1" x14ac:dyDescent="0.25">
      <c r="A37" s="395" t="s">
        <v>738</v>
      </c>
      <c r="B37" s="396"/>
      <c r="C37" s="396"/>
      <c r="D37" s="396"/>
      <c r="E37" s="396"/>
      <c r="F37" s="397">
        <f>IF(ISERROR(E33), 0, E33)</f>
        <v>0</v>
      </c>
      <c r="G37" s="377"/>
      <c r="H37" s="398" t="s">
        <v>420</v>
      </c>
      <c r="I37" s="399"/>
      <c r="J37" s="378"/>
      <c r="K37" s="378"/>
    </row>
    <row r="38" spans="1:11" s="400" customFormat="1" ht="26.25" x14ac:dyDescent="0.25">
      <c r="A38" s="395" t="s">
        <v>739</v>
      </c>
      <c r="B38" s="396"/>
      <c r="C38" s="396"/>
      <c r="D38" s="396"/>
      <c r="E38" s="396"/>
      <c r="F38" s="397">
        <f>E33*I37*I38</f>
        <v>0</v>
      </c>
      <c r="G38" s="1739" t="s">
        <v>733</v>
      </c>
      <c r="H38" s="1739"/>
      <c r="I38" s="1740"/>
      <c r="J38" s="401"/>
      <c r="K38" s="378"/>
    </row>
    <row r="39" spans="1:11" x14ac:dyDescent="0.25">
      <c r="A39" s="402" t="s">
        <v>734</v>
      </c>
      <c r="B39" s="403"/>
      <c r="C39" s="403"/>
      <c r="D39" s="403"/>
      <c r="E39" s="403"/>
      <c r="F39" s="404">
        <f>F37+F38</f>
        <v>0</v>
      </c>
      <c r="G39" s="1739"/>
      <c r="H39" s="1739"/>
      <c r="I39" s="1741"/>
      <c r="J39" s="378"/>
      <c r="K39" s="378"/>
    </row>
    <row r="40" spans="1:11" x14ac:dyDescent="0.25">
      <c r="A40" s="380"/>
      <c r="B40" s="377"/>
      <c r="C40" s="377"/>
      <c r="D40" s="377"/>
      <c r="E40" s="377"/>
      <c r="F40" s="377"/>
      <c r="G40" s="377"/>
      <c r="H40" s="377"/>
      <c r="I40" s="377"/>
      <c r="J40" s="378"/>
      <c r="K40" s="378"/>
    </row>
    <row r="41" spans="1:11" x14ac:dyDescent="0.25">
      <c r="A41" s="380" t="s">
        <v>11</v>
      </c>
      <c r="B41" s="377"/>
      <c r="C41" s="377"/>
      <c r="D41" s="377"/>
      <c r="E41" s="377"/>
      <c r="F41" s="377"/>
      <c r="G41" s="377"/>
      <c r="H41" s="377"/>
      <c r="I41" s="377"/>
      <c r="J41" s="378"/>
      <c r="K41" s="378"/>
    </row>
    <row r="42" spans="1:11" x14ac:dyDescent="0.25">
      <c r="A42" s="377" t="s">
        <v>1017</v>
      </c>
      <c r="B42" s="405"/>
      <c r="C42" s="405"/>
      <c r="D42" s="405"/>
      <c r="E42" s="405"/>
      <c r="F42" s="405"/>
      <c r="G42" s="405"/>
      <c r="H42" s="405"/>
      <c r="I42" s="405"/>
      <c r="J42" s="405"/>
      <c r="K42" s="378"/>
    </row>
    <row r="43" spans="1:11" x14ac:dyDescent="0.25">
      <c r="A43" s="377" t="s">
        <v>735</v>
      </c>
      <c r="B43" s="377"/>
      <c r="C43" s="377"/>
      <c r="D43" s="377"/>
      <c r="E43" s="377"/>
      <c r="F43" s="377"/>
      <c r="G43" s="377"/>
      <c r="H43" s="377"/>
      <c r="I43" s="377"/>
      <c r="J43" s="378"/>
      <c r="K43" s="378"/>
    </row>
    <row r="44" spans="1:11" x14ac:dyDescent="0.25">
      <c r="A44" s="377" t="s">
        <v>1092</v>
      </c>
      <c r="B44" s="377"/>
      <c r="C44" s="377"/>
      <c r="D44" s="377"/>
      <c r="E44" s="377"/>
      <c r="F44" s="377"/>
      <c r="G44" s="377"/>
      <c r="H44" s="377"/>
      <c r="I44" s="377"/>
      <c r="J44" s="378"/>
      <c r="K44" s="378"/>
    </row>
    <row r="45" spans="1:11" x14ac:dyDescent="0.25">
      <c r="A45" s="377" t="s">
        <v>421</v>
      </c>
      <c r="B45" s="377"/>
      <c r="C45" s="377"/>
      <c r="D45" s="377"/>
      <c r="E45" s="377"/>
      <c r="F45" s="377"/>
      <c r="G45" s="377"/>
      <c r="H45" s="377"/>
      <c r="I45" s="377"/>
      <c r="J45" s="378"/>
      <c r="K45" s="378"/>
    </row>
    <row r="46" spans="1:11" ht="20.25" customHeight="1" x14ac:dyDescent="0.25">
      <c r="A46" s="406" t="s">
        <v>736</v>
      </c>
      <c r="B46" s="407"/>
      <c r="C46" s="407"/>
      <c r="D46" s="407"/>
      <c r="E46" s="407"/>
      <c r="F46" s="407"/>
      <c r="G46" s="407"/>
      <c r="H46" s="407"/>
      <c r="I46" s="377"/>
      <c r="J46" s="378"/>
      <c r="K46" s="378"/>
    </row>
    <row r="47" spans="1:11" ht="15.75" customHeight="1" x14ac:dyDescent="0.25">
      <c r="A47" s="377" t="s">
        <v>866</v>
      </c>
      <c r="B47" s="378"/>
      <c r="C47" s="378"/>
      <c r="D47" s="378"/>
      <c r="E47" s="378"/>
      <c r="F47" s="378"/>
      <c r="G47" s="378"/>
      <c r="H47" s="378"/>
      <c r="I47" s="1069"/>
      <c r="J47" s="378"/>
      <c r="K47" s="378"/>
    </row>
    <row r="48" spans="1:11" x14ac:dyDescent="0.25">
      <c r="A48" s="1731"/>
      <c r="B48" s="1731"/>
      <c r="C48" s="1731"/>
      <c r="D48" s="1731"/>
      <c r="E48" s="1731"/>
      <c r="F48" s="1731"/>
      <c r="G48" s="1731"/>
      <c r="H48" s="1731"/>
      <c r="I48" s="1731"/>
      <c r="J48" s="1731"/>
      <c r="K48" s="378"/>
    </row>
    <row r="49" spans="1:11" x14ac:dyDescent="0.25">
      <c r="A49" s="377"/>
      <c r="B49" s="377"/>
      <c r="C49" s="377"/>
      <c r="D49" s="377"/>
      <c r="E49" s="377"/>
      <c r="F49" s="377"/>
      <c r="G49" s="377"/>
      <c r="H49" s="377"/>
      <c r="I49" s="377"/>
      <c r="J49" s="378"/>
      <c r="K49" s="378"/>
    </row>
    <row r="50" spans="1:11" x14ac:dyDescent="0.25">
      <c r="A50" s="377"/>
      <c r="B50" s="377"/>
      <c r="C50" s="377"/>
      <c r="D50" s="377"/>
      <c r="E50" s="377"/>
      <c r="F50" s="377"/>
      <c r="G50" s="377"/>
      <c r="H50" s="377"/>
      <c r="I50" s="377"/>
      <c r="J50" s="378"/>
      <c r="K50" s="378"/>
    </row>
    <row r="51" spans="1:11" x14ac:dyDescent="0.25">
      <c r="A51" s="377"/>
      <c r="B51" s="377"/>
      <c r="C51" s="377"/>
      <c r="D51" s="377"/>
      <c r="E51" s="377"/>
      <c r="F51" s="377"/>
      <c r="G51" s="377"/>
      <c r="H51" s="377"/>
      <c r="I51" s="377"/>
      <c r="J51" s="378"/>
      <c r="K51" s="378"/>
    </row>
    <row r="52" spans="1:11" x14ac:dyDescent="0.25">
      <c r="A52" s="377"/>
      <c r="B52" s="377"/>
      <c r="C52" s="377"/>
      <c r="D52" s="377"/>
      <c r="E52" s="377"/>
      <c r="F52" s="377"/>
      <c r="G52" s="377"/>
      <c r="H52" s="377"/>
      <c r="I52" s="377"/>
      <c r="J52" s="378"/>
      <c r="K52" s="378"/>
    </row>
    <row r="53" spans="1:11" ht="24.75" customHeight="1" x14ac:dyDescent="0.25">
      <c r="A53" s="1732"/>
      <c r="B53" s="1732"/>
      <c r="C53" s="1732"/>
      <c r="D53" s="1732"/>
      <c r="E53" s="1732"/>
      <c r="F53" s="1732"/>
      <c r="G53" s="1732"/>
      <c r="H53" s="1732"/>
      <c r="I53" s="1732"/>
      <c r="J53" s="378"/>
      <c r="K53" s="378"/>
    </row>
    <row r="54" spans="1:11" ht="24.75" customHeight="1" x14ac:dyDescent="0.25">
      <c r="A54" s="1732"/>
      <c r="B54" s="1732"/>
      <c r="C54" s="1732"/>
      <c r="D54" s="1732"/>
      <c r="E54" s="1732"/>
      <c r="F54" s="1732"/>
      <c r="G54" s="1732"/>
      <c r="H54" s="1732"/>
      <c r="I54" s="1732"/>
    </row>
  </sheetData>
  <mergeCells count="12">
    <mergeCell ref="A48:J48"/>
    <mergeCell ref="A53:I54"/>
    <mergeCell ref="B26:F27"/>
    <mergeCell ref="B32:F32"/>
    <mergeCell ref="G38:H39"/>
    <mergeCell ref="I38:I39"/>
    <mergeCell ref="B21:F21"/>
    <mergeCell ref="A9:I9"/>
    <mergeCell ref="A10:I10"/>
    <mergeCell ref="A11:I11"/>
    <mergeCell ref="A13:I13"/>
    <mergeCell ref="A15:I15"/>
  </mergeCells>
  <dataValidations count="1">
    <dataValidation allowBlank="1" showInputMessage="1" showErrorMessage="1" promptTitle="Date Format" prompt="E.g:  &quot;August 1, 2011&quot;" sqref="WVM983042 JA7 SW7 ACS7 AMO7 AWK7 BGG7 BQC7 BZY7 CJU7 CTQ7 DDM7 DNI7 DXE7 EHA7 EQW7 FAS7 FKO7 FUK7 GEG7 GOC7 GXY7 HHU7 HRQ7 IBM7 ILI7 IVE7 JFA7 JOW7 JYS7 KIO7 KSK7 LCG7 LMC7 LVY7 MFU7 MPQ7 MZM7 NJI7 NTE7 ODA7 OMW7 OWS7 PGO7 PQK7 QAG7 QKC7 QTY7 RDU7 RNQ7 RXM7 SHI7 SRE7 TBA7 TKW7 TUS7 UEO7 UOK7 UYG7 VIC7 VRY7 WBU7 WLQ7 WVM7 E65538 JA65538 SW65538 ACS65538 AMO65538 AWK65538 BGG65538 BQC65538 BZY65538 CJU65538 CTQ65538 DDM65538 DNI65538 DXE65538 EHA65538 EQW65538 FAS65538 FKO65538 FUK65538 GEG65538 GOC65538 GXY65538 HHU65538 HRQ65538 IBM65538 ILI65538 IVE65538 JFA65538 JOW65538 JYS65538 KIO65538 KSK65538 LCG65538 LMC65538 LVY65538 MFU65538 MPQ65538 MZM65538 NJI65538 NTE65538 ODA65538 OMW65538 OWS65538 PGO65538 PQK65538 QAG65538 QKC65538 QTY65538 RDU65538 RNQ65538 RXM65538 SHI65538 SRE65538 TBA65538 TKW65538 TUS65538 UEO65538 UOK65538 UYG65538 VIC65538 VRY65538 WBU65538 WLQ65538 WVM65538 E131074 JA131074 SW131074 ACS131074 AMO131074 AWK131074 BGG131074 BQC131074 BZY131074 CJU131074 CTQ131074 DDM131074 DNI131074 DXE131074 EHA131074 EQW131074 FAS131074 FKO131074 FUK131074 GEG131074 GOC131074 GXY131074 HHU131074 HRQ131074 IBM131074 ILI131074 IVE131074 JFA131074 JOW131074 JYS131074 KIO131074 KSK131074 LCG131074 LMC131074 LVY131074 MFU131074 MPQ131074 MZM131074 NJI131074 NTE131074 ODA131074 OMW131074 OWS131074 PGO131074 PQK131074 QAG131074 QKC131074 QTY131074 RDU131074 RNQ131074 RXM131074 SHI131074 SRE131074 TBA131074 TKW131074 TUS131074 UEO131074 UOK131074 UYG131074 VIC131074 VRY131074 WBU131074 WLQ131074 WVM131074 E196610 JA196610 SW196610 ACS196610 AMO196610 AWK196610 BGG196610 BQC196610 BZY196610 CJU196610 CTQ196610 DDM196610 DNI196610 DXE196610 EHA196610 EQW196610 FAS196610 FKO196610 FUK196610 GEG196610 GOC196610 GXY196610 HHU196610 HRQ196610 IBM196610 ILI196610 IVE196610 JFA196610 JOW196610 JYS196610 KIO196610 KSK196610 LCG196610 LMC196610 LVY196610 MFU196610 MPQ196610 MZM196610 NJI196610 NTE196610 ODA196610 OMW196610 OWS196610 PGO196610 PQK196610 QAG196610 QKC196610 QTY196610 RDU196610 RNQ196610 RXM196610 SHI196610 SRE196610 TBA196610 TKW196610 TUS196610 UEO196610 UOK196610 UYG196610 VIC196610 VRY196610 WBU196610 WLQ196610 WVM196610 E262146 JA262146 SW262146 ACS262146 AMO262146 AWK262146 BGG262146 BQC262146 BZY262146 CJU262146 CTQ262146 DDM262146 DNI262146 DXE262146 EHA262146 EQW262146 FAS262146 FKO262146 FUK262146 GEG262146 GOC262146 GXY262146 HHU262146 HRQ262146 IBM262146 ILI262146 IVE262146 JFA262146 JOW262146 JYS262146 KIO262146 KSK262146 LCG262146 LMC262146 LVY262146 MFU262146 MPQ262146 MZM262146 NJI262146 NTE262146 ODA262146 OMW262146 OWS262146 PGO262146 PQK262146 QAG262146 QKC262146 QTY262146 RDU262146 RNQ262146 RXM262146 SHI262146 SRE262146 TBA262146 TKW262146 TUS262146 UEO262146 UOK262146 UYG262146 VIC262146 VRY262146 WBU262146 WLQ262146 WVM262146 E327682 JA327682 SW327682 ACS327682 AMO327682 AWK327682 BGG327682 BQC327682 BZY327682 CJU327682 CTQ327682 DDM327682 DNI327682 DXE327682 EHA327682 EQW327682 FAS327682 FKO327682 FUK327682 GEG327682 GOC327682 GXY327682 HHU327682 HRQ327682 IBM327682 ILI327682 IVE327682 JFA327682 JOW327682 JYS327682 KIO327682 KSK327682 LCG327682 LMC327682 LVY327682 MFU327682 MPQ327682 MZM327682 NJI327682 NTE327682 ODA327682 OMW327682 OWS327682 PGO327682 PQK327682 QAG327682 QKC327682 QTY327682 RDU327682 RNQ327682 RXM327682 SHI327682 SRE327682 TBA327682 TKW327682 TUS327682 UEO327682 UOK327682 UYG327682 VIC327682 VRY327682 WBU327682 WLQ327682 WVM327682 E393218 JA393218 SW393218 ACS393218 AMO393218 AWK393218 BGG393218 BQC393218 BZY393218 CJU393218 CTQ393218 DDM393218 DNI393218 DXE393218 EHA393218 EQW393218 FAS393218 FKO393218 FUK393218 GEG393218 GOC393218 GXY393218 HHU393218 HRQ393218 IBM393218 ILI393218 IVE393218 JFA393218 JOW393218 JYS393218 KIO393218 KSK393218 LCG393218 LMC393218 LVY393218 MFU393218 MPQ393218 MZM393218 NJI393218 NTE393218 ODA393218 OMW393218 OWS393218 PGO393218 PQK393218 QAG393218 QKC393218 QTY393218 RDU393218 RNQ393218 RXM393218 SHI393218 SRE393218 TBA393218 TKW393218 TUS393218 UEO393218 UOK393218 UYG393218 VIC393218 VRY393218 WBU393218 WLQ393218 WVM393218 E458754 JA458754 SW458754 ACS458754 AMO458754 AWK458754 BGG458754 BQC458754 BZY458754 CJU458754 CTQ458754 DDM458754 DNI458754 DXE458754 EHA458754 EQW458754 FAS458754 FKO458754 FUK458754 GEG458754 GOC458754 GXY458754 HHU458754 HRQ458754 IBM458754 ILI458754 IVE458754 JFA458754 JOW458754 JYS458754 KIO458754 KSK458754 LCG458754 LMC458754 LVY458754 MFU458754 MPQ458754 MZM458754 NJI458754 NTE458754 ODA458754 OMW458754 OWS458754 PGO458754 PQK458754 QAG458754 QKC458754 QTY458754 RDU458754 RNQ458754 RXM458754 SHI458754 SRE458754 TBA458754 TKW458754 TUS458754 UEO458754 UOK458754 UYG458754 VIC458754 VRY458754 WBU458754 WLQ458754 WVM458754 E524290 JA524290 SW524290 ACS524290 AMO524290 AWK524290 BGG524290 BQC524290 BZY524290 CJU524290 CTQ524290 DDM524290 DNI524290 DXE524290 EHA524290 EQW524290 FAS524290 FKO524290 FUK524290 GEG524290 GOC524290 GXY524290 HHU524290 HRQ524290 IBM524290 ILI524290 IVE524290 JFA524290 JOW524290 JYS524290 KIO524290 KSK524290 LCG524290 LMC524290 LVY524290 MFU524290 MPQ524290 MZM524290 NJI524290 NTE524290 ODA524290 OMW524290 OWS524290 PGO524290 PQK524290 QAG524290 QKC524290 QTY524290 RDU524290 RNQ524290 RXM524290 SHI524290 SRE524290 TBA524290 TKW524290 TUS524290 UEO524290 UOK524290 UYG524290 VIC524290 VRY524290 WBU524290 WLQ524290 WVM524290 E589826 JA589826 SW589826 ACS589826 AMO589826 AWK589826 BGG589826 BQC589826 BZY589826 CJU589826 CTQ589826 DDM589826 DNI589826 DXE589826 EHA589826 EQW589826 FAS589826 FKO589826 FUK589826 GEG589826 GOC589826 GXY589826 HHU589826 HRQ589826 IBM589826 ILI589826 IVE589826 JFA589826 JOW589826 JYS589826 KIO589826 KSK589826 LCG589826 LMC589826 LVY589826 MFU589826 MPQ589826 MZM589826 NJI589826 NTE589826 ODA589826 OMW589826 OWS589826 PGO589826 PQK589826 QAG589826 QKC589826 QTY589826 RDU589826 RNQ589826 RXM589826 SHI589826 SRE589826 TBA589826 TKW589826 TUS589826 UEO589826 UOK589826 UYG589826 VIC589826 VRY589826 WBU589826 WLQ589826 WVM589826 E655362 JA655362 SW655362 ACS655362 AMO655362 AWK655362 BGG655362 BQC655362 BZY655362 CJU655362 CTQ655362 DDM655362 DNI655362 DXE655362 EHA655362 EQW655362 FAS655362 FKO655362 FUK655362 GEG655362 GOC655362 GXY655362 HHU655362 HRQ655362 IBM655362 ILI655362 IVE655362 JFA655362 JOW655362 JYS655362 KIO655362 KSK655362 LCG655362 LMC655362 LVY655362 MFU655362 MPQ655362 MZM655362 NJI655362 NTE655362 ODA655362 OMW655362 OWS655362 PGO655362 PQK655362 QAG655362 QKC655362 QTY655362 RDU655362 RNQ655362 RXM655362 SHI655362 SRE655362 TBA655362 TKW655362 TUS655362 UEO655362 UOK655362 UYG655362 VIC655362 VRY655362 WBU655362 WLQ655362 WVM655362 E720898 JA720898 SW720898 ACS720898 AMO720898 AWK720898 BGG720898 BQC720898 BZY720898 CJU720898 CTQ720898 DDM720898 DNI720898 DXE720898 EHA720898 EQW720898 FAS720898 FKO720898 FUK720898 GEG720898 GOC720898 GXY720898 HHU720898 HRQ720898 IBM720898 ILI720898 IVE720898 JFA720898 JOW720898 JYS720898 KIO720898 KSK720898 LCG720898 LMC720898 LVY720898 MFU720898 MPQ720898 MZM720898 NJI720898 NTE720898 ODA720898 OMW720898 OWS720898 PGO720898 PQK720898 QAG720898 QKC720898 QTY720898 RDU720898 RNQ720898 RXM720898 SHI720898 SRE720898 TBA720898 TKW720898 TUS720898 UEO720898 UOK720898 UYG720898 VIC720898 VRY720898 WBU720898 WLQ720898 WVM720898 E786434 JA786434 SW786434 ACS786434 AMO786434 AWK786434 BGG786434 BQC786434 BZY786434 CJU786434 CTQ786434 DDM786434 DNI786434 DXE786434 EHA786434 EQW786434 FAS786434 FKO786434 FUK786434 GEG786434 GOC786434 GXY786434 HHU786434 HRQ786434 IBM786434 ILI786434 IVE786434 JFA786434 JOW786434 JYS786434 KIO786434 KSK786434 LCG786434 LMC786434 LVY786434 MFU786434 MPQ786434 MZM786434 NJI786434 NTE786434 ODA786434 OMW786434 OWS786434 PGO786434 PQK786434 QAG786434 QKC786434 QTY786434 RDU786434 RNQ786434 RXM786434 SHI786434 SRE786434 TBA786434 TKW786434 TUS786434 UEO786434 UOK786434 UYG786434 VIC786434 VRY786434 WBU786434 WLQ786434 WVM786434 E851970 JA851970 SW851970 ACS851970 AMO851970 AWK851970 BGG851970 BQC851970 BZY851970 CJU851970 CTQ851970 DDM851970 DNI851970 DXE851970 EHA851970 EQW851970 FAS851970 FKO851970 FUK851970 GEG851970 GOC851970 GXY851970 HHU851970 HRQ851970 IBM851970 ILI851970 IVE851970 JFA851970 JOW851970 JYS851970 KIO851970 KSK851970 LCG851970 LMC851970 LVY851970 MFU851970 MPQ851970 MZM851970 NJI851970 NTE851970 ODA851970 OMW851970 OWS851970 PGO851970 PQK851970 QAG851970 QKC851970 QTY851970 RDU851970 RNQ851970 RXM851970 SHI851970 SRE851970 TBA851970 TKW851970 TUS851970 UEO851970 UOK851970 UYG851970 VIC851970 VRY851970 WBU851970 WLQ851970 WVM851970 E917506 JA917506 SW917506 ACS917506 AMO917506 AWK917506 BGG917506 BQC917506 BZY917506 CJU917506 CTQ917506 DDM917506 DNI917506 DXE917506 EHA917506 EQW917506 FAS917506 FKO917506 FUK917506 GEG917506 GOC917506 GXY917506 HHU917506 HRQ917506 IBM917506 ILI917506 IVE917506 JFA917506 JOW917506 JYS917506 KIO917506 KSK917506 LCG917506 LMC917506 LVY917506 MFU917506 MPQ917506 MZM917506 NJI917506 NTE917506 ODA917506 OMW917506 OWS917506 PGO917506 PQK917506 QAG917506 QKC917506 QTY917506 RDU917506 RNQ917506 RXM917506 SHI917506 SRE917506 TBA917506 TKW917506 TUS917506 UEO917506 UOK917506 UYG917506 VIC917506 VRY917506 WBU917506 WLQ917506 WVM917506 E983042 JA983042 SW983042 ACS983042 AMO983042 AWK983042 BGG983042 BQC983042 BZY983042 CJU983042 CTQ983042 DDM983042 DNI983042 DXE983042 EHA983042 EQW983042 FAS983042 FKO983042 FUK983042 GEG983042 GOC983042 GXY983042 HHU983042 HRQ983042 IBM983042 ILI983042 IVE983042 JFA983042 JOW983042 JYS983042 KIO983042 KSK983042 LCG983042 LMC983042 LVY983042 MFU983042 MPQ983042 MZM983042 NJI983042 NTE983042 ODA983042 OMW983042 OWS983042 PGO983042 PQK983042 QAG983042 QKC983042 QTY983042 RDU983042 RNQ983042 RXM983042 SHI983042 SRE983042 TBA983042 TKW983042 TUS983042 UEO983042 UOK983042 UYG983042 VIC983042 VRY983042 WBU983042 WLQ983042"/>
  </dataValidations>
  <pageMargins left="0.7" right="0.7" top="0.75" bottom="0.75" header="0.3" footer="0.3"/>
  <pageSetup scale="58" orientation="portrait" r:id="rId1"/>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5">
    <tabColor rgb="FFFFC000"/>
    <pageSetUpPr fitToPage="1"/>
  </sheetPr>
  <dimension ref="A1:N55"/>
  <sheetViews>
    <sheetView showGridLines="0" zoomScaleNormal="100" workbookViewId="0">
      <selection activeCell="A9" sqref="A9:K9"/>
    </sheetView>
  </sheetViews>
  <sheetFormatPr defaultRowHeight="15" x14ac:dyDescent="0.25"/>
  <cols>
    <col min="1" max="1" width="51.7109375" style="375" customWidth="1"/>
    <col min="2" max="2" width="11" style="375" customWidth="1"/>
    <col min="3" max="7" width="13.7109375" style="375" customWidth="1"/>
    <col min="8" max="8" width="12.7109375" style="375" customWidth="1"/>
    <col min="9" max="9" width="8.5703125" style="375" customWidth="1"/>
    <col min="10" max="10" width="13" style="375" customWidth="1"/>
    <col min="11" max="11" width="11.5703125" style="375" customWidth="1"/>
    <col min="12" max="12" width="9.28515625" style="375" bestFit="1" customWidth="1"/>
    <col min="13" max="258" width="9.140625" style="375"/>
    <col min="259" max="259" width="51.7109375" style="375" customWidth="1"/>
    <col min="260" max="265" width="9.140625" style="375"/>
    <col min="266" max="266" width="11.28515625" style="375" customWidth="1"/>
    <col min="267" max="514" width="9.140625" style="375"/>
    <col min="515" max="515" width="51.7109375" style="375" customWidth="1"/>
    <col min="516" max="521" width="9.140625" style="375"/>
    <col min="522" max="522" width="11.28515625" style="375" customWidth="1"/>
    <col min="523" max="770" width="9.140625" style="375"/>
    <col min="771" max="771" width="51.7109375" style="375" customWidth="1"/>
    <col min="772" max="777" width="9.140625" style="375"/>
    <col min="778" max="778" width="11.28515625" style="375" customWidth="1"/>
    <col min="779" max="1026" width="9.140625" style="375"/>
    <col min="1027" max="1027" width="51.7109375" style="375" customWidth="1"/>
    <col min="1028" max="1033" width="9.140625" style="375"/>
    <col min="1034" max="1034" width="11.28515625" style="375" customWidth="1"/>
    <col min="1035" max="1282" width="9.140625" style="375"/>
    <col min="1283" max="1283" width="51.7109375" style="375" customWidth="1"/>
    <col min="1284" max="1289" width="9.140625" style="375"/>
    <col min="1290" max="1290" width="11.28515625" style="375" customWidth="1"/>
    <col min="1291" max="1538" width="9.140625" style="375"/>
    <col min="1539" max="1539" width="51.7109375" style="375" customWidth="1"/>
    <col min="1540" max="1545" width="9.140625" style="375"/>
    <col min="1546" max="1546" width="11.28515625" style="375" customWidth="1"/>
    <col min="1547" max="1794" width="9.140625" style="375"/>
    <col min="1795" max="1795" width="51.7109375" style="375" customWidth="1"/>
    <col min="1796" max="1801" width="9.140625" style="375"/>
    <col min="1802" max="1802" width="11.28515625" style="375" customWidth="1"/>
    <col min="1803" max="2050" width="9.140625" style="375"/>
    <col min="2051" max="2051" width="51.7109375" style="375" customWidth="1"/>
    <col min="2052" max="2057" width="9.140625" style="375"/>
    <col min="2058" max="2058" width="11.28515625" style="375" customWidth="1"/>
    <col min="2059" max="2306" width="9.140625" style="375"/>
    <col min="2307" max="2307" width="51.7109375" style="375" customWidth="1"/>
    <col min="2308" max="2313" width="9.140625" style="375"/>
    <col min="2314" max="2314" width="11.28515625" style="375" customWidth="1"/>
    <col min="2315" max="2562" width="9.140625" style="375"/>
    <col min="2563" max="2563" width="51.7109375" style="375" customWidth="1"/>
    <col min="2564" max="2569" width="9.140625" style="375"/>
    <col min="2570" max="2570" width="11.28515625" style="375" customWidth="1"/>
    <col min="2571" max="2818" width="9.140625" style="375"/>
    <col min="2819" max="2819" width="51.7109375" style="375" customWidth="1"/>
    <col min="2820" max="2825" width="9.140625" style="375"/>
    <col min="2826" max="2826" width="11.28515625" style="375" customWidth="1"/>
    <col min="2827" max="3074" width="9.140625" style="375"/>
    <col min="3075" max="3075" width="51.7109375" style="375" customWidth="1"/>
    <col min="3076" max="3081" width="9.140625" style="375"/>
    <col min="3082" max="3082" width="11.28515625" style="375" customWidth="1"/>
    <col min="3083" max="3330" width="9.140625" style="375"/>
    <col min="3331" max="3331" width="51.7109375" style="375" customWidth="1"/>
    <col min="3332" max="3337" width="9.140625" style="375"/>
    <col min="3338" max="3338" width="11.28515625" style="375" customWidth="1"/>
    <col min="3339" max="3586" width="9.140625" style="375"/>
    <col min="3587" max="3587" width="51.7109375" style="375" customWidth="1"/>
    <col min="3588" max="3593" width="9.140625" style="375"/>
    <col min="3594" max="3594" width="11.28515625" style="375" customWidth="1"/>
    <col min="3595" max="3842" width="9.140625" style="375"/>
    <col min="3843" max="3843" width="51.7109375" style="375" customWidth="1"/>
    <col min="3844" max="3849" width="9.140625" style="375"/>
    <col min="3850" max="3850" width="11.28515625" style="375" customWidth="1"/>
    <col min="3851" max="4098" width="9.140625" style="375"/>
    <col min="4099" max="4099" width="51.7109375" style="375" customWidth="1"/>
    <col min="4100" max="4105" width="9.140625" style="375"/>
    <col min="4106" max="4106" width="11.28515625" style="375" customWidth="1"/>
    <col min="4107" max="4354" width="9.140625" style="375"/>
    <col min="4355" max="4355" width="51.7109375" style="375" customWidth="1"/>
    <col min="4356" max="4361" width="9.140625" style="375"/>
    <col min="4362" max="4362" width="11.28515625" style="375" customWidth="1"/>
    <col min="4363" max="4610" width="9.140625" style="375"/>
    <col min="4611" max="4611" width="51.7109375" style="375" customWidth="1"/>
    <col min="4612" max="4617" width="9.140625" style="375"/>
    <col min="4618" max="4618" width="11.28515625" style="375" customWidth="1"/>
    <col min="4619" max="4866" width="9.140625" style="375"/>
    <col min="4867" max="4867" width="51.7109375" style="375" customWidth="1"/>
    <col min="4868" max="4873" width="9.140625" style="375"/>
    <col min="4874" max="4874" width="11.28515625" style="375" customWidth="1"/>
    <col min="4875" max="5122" width="9.140625" style="375"/>
    <col min="5123" max="5123" width="51.7109375" style="375" customWidth="1"/>
    <col min="5124" max="5129" width="9.140625" style="375"/>
    <col min="5130" max="5130" width="11.28515625" style="375" customWidth="1"/>
    <col min="5131" max="5378" width="9.140625" style="375"/>
    <col min="5379" max="5379" width="51.7109375" style="375" customWidth="1"/>
    <col min="5380" max="5385" width="9.140625" style="375"/>
    <col min="5386" max="5386" width="11.28515625" style="375" customWidth="1"/>
    <col min="5387" max="5634" width="9.140625" style="375"/>
    <col min="5635" max="5635" width="51.7109375" style="375" customWidth="1"/>
    <col min="5636" max="5641" width="9.140625" style="375"/>
    <col min="5642" max="5642" width="11.28515625" style="375" customWidth="1"/>
    <col min="5643" max="5890" width="9.140625" style="375"/>
    <col min="5891" max="5891" width="51.7109375" style="375" customWidth="1"/>
    <col min="5892" max="5897" width="9.140625" style="375"/>
    <col min="5898" max="5898" width="11.28515625" style="375" customWidth="1"/>
    <col min="5899" max="6146" width="9.140625" style="375"/>
    <col min="6147" max="6147" width="51.7109375" style="375" customWidth="1"/>
    <col min="6148" max="6153" width="9.140625" style="375"/>
    <col min="6154" max="6154" width="11.28515625" style="375" customWidth="1"/>
    <col min="6155" max="6402" width="9.140625" style="375"/>
    <col min="6403" max="6403" width="51.7109375" style="375" customWidth="1"/>
    <col min="6404" max="6409" width="9.140625" style="375"/>
    <col min="6410" max="6410" width="11.28515625" style="375" customWidth="1"/>
    <col min="6411" max="6658" width="9.140625" style="375"/>
    <col min="6659" max="6659" width="51.7109375" style="375" customWidth="1"/>
    <col min="6660" max="6665" width="9.140625" style="375"/>
    <col min="6666" max="6666" width="11.28515625" style="375" customWidth="1"/>
    <col min="6667" max="6914" width="9.140625" style="375"/>
    <col min="6915" max="6915" width="51.7109375" style="375" customWidth="1"/>
    <col min="6916" max="6921" width="9.140625" style="375"/>
    <col min="6922" max="6922" width="11.28515625" style="375" customWidth="1"/>
    <col min="6923" max="7170" width="9.140625" style="375"/>
    <col min="7171" max="7171" width="51.7109375" style="375" customWidth="1"/>
    <col min="7172" max="7177" width="9.140625" style="375"/>
    <col min="7178" max="7178" width="11.28515625" style="375" customWidth="1"/>
    <col min="7179" max="7426" width="9.140625" style="375"/>
    <col min="7427" max="7427" width="51.7109375" style="375" customWidth="1"/>
    <col min="7428" max="7433" width="9.140625" style="375"/>
    <col min="7434" max="7434" width="11.28515625" style="375" customWidth="1"/>
    <col min="7435" max="7682" width="9.140625" style="375"/>
    <col min="7683" max="7683" width="51.7109375" style="375" customWidth="1"/>
    <col min="7684" max="7689" width="9.140625" style="375"/>
    <col min="7690" max="7690" width="11.28515625" style="375" customWidth="1"/>
    <col min="7691" max="7938" width="9.140625" style="375"/>
    <col min="7939" max="7939" width="51.7109375" style="375" customWidth="1"/>
    <col min="7940" max="7945" width="9.140625" style="375"/>
    <col min="7946" max="7946" width="11.28515625" style="375" customWidth="1"/>
    <col min="7947" max="8194" width="9.140625" style="375"/>
    <col min="8195" max="8195" width="51.7109375" style="375" customWidth="1"/>
    <col min="8196" max="8201" width="9.140625" style="375"/>
    <col min="8202" max="8202" width="11.28515625" style="375" customWidth="1"/>
    <col min="8203" max="8450" width="9.140625" style="375"/>
    <col min="8451" max="8451" width="51.7109375" style="375" customWidth="1"/>
    <col min="8452" max="8457" width="9.140625" style="375"/>
    <col min="8458" max="8458" width="11.28515625" style="375" customWidth="1"/>
    <col min="8459" max="8706" width="9.140625" style="375"/>
    <col min="8707" max="8707" width="51.7109375" style="375" customWidth="1"/>
    <col min="8708" max="8713" width="9.140625" style="375"/>
    <col min="8714" max="8714" width="11.28515625" style="375" customWidth="1"/>
    <col min="8715" max="8962" width="9.140625" style="375"/>
    <col min="8963" max="8963" width="51.7109375" style="375" customWidth="1"/>
    <col min="8964" max="8969" width="9.140625" style="375"/>
    <col min="8970" max="8970" width="11.28515625" style="375" customWidth="1"/>
    <col min="8971" max="9218" width="9.140625" style="375"/>
    <col min="9219" max="9219" width="51.7109375" style="375" customWidth="1"/>
    <col min="9220" max="9225" width="9.140625" style="375"/>
    <col min="9226" max="9226" width="11.28515625" style="375" customWidth="1"/>
    <col min="9227" max="9474" width="9.140625" style="375"/>
    <col min="9475" max="9475" width="51.7109375" style="375" customWidth="1"/>
    <col min="9476" max="9481" width="9.140625" style="375"/>
    <col min="9482" max="9482" width="11.28515625" style="375" customWidth="1"/>
    <col min="9483" max="9730" width="9.140625" style="375"/>
    <col min="9731" max="9731" width="51.7109375" style="375" customWidth="1"/>
    <col min="9732" max="9737" width="9.140625" style="375"/>
    <col min="9738" max="9738" width="11.28515625" style="375" customWidth="1"/>
    <col min="9739" max="9986" width="9.140625" style="375"/>
    <col min="9987" max="9987" width="51.7109375" style="375" customWidth="1"/>
    <col min="9988" max="9993" width="9.140625" style="375"/>
    <col min="9994" max="9994" width="11.28515625" style="375" customWidth="1"/>
    <col min="9995" max="10242" width="9.140625" style="375"/>
    <col min="10243" max="10243" width="51.7109375" style="375" customWidth="1"/>
    <col min="10244" max="10249" width="9.140625" style="375"/>
    <col min="10250" max="10250" width="11.28515625" style="375" customWidth="1"/>
    <col min="10251" max="10498" width="9.140625" style="375"/>
    <col min="10499" max="10499" width="51.7109375" style="375" customWidth="1"/>
    <col min="10500" max="10505" width="9.140625" style="375"/>
    <col min="10506" max="10506" width="11.28515625" style="375" customWidth="1"/>
    <col min="10507" max="10754" width="9.140625" style="375"/>
    <col min="10755" max="10755" width="51.7109375" style="375" customWidth="1"/>
    <col min="10756" max="10761" width="9.140625" style="375"/>
    <col min="10762" max="10762" width="11.28515625" style="375" customWidth="1"/>
    <col min="10763" max="11010" width="9.140625" style="375"/>
    <col min="11011" max="11011" width="51.7109375" style="375" customWidth="1"/>
    <col min="11012" max="11017" width="9.140625" style="375"/>
    <col min="11018" max="11018" width="11.28515625" style="375" customWidth="1"/>
    <col min="11019" max="11266" width="9.140625" style="375"/>
    <col min="11267" max="11267" width="51.7109375" style="375" customWidth="1"/>
    <col min="11268" max="11273" width="9.140625" style="375"/>
    <col min="11274" max="11274" width="11.28515625" style="375" customWidth="1"/>
    <col min="11275" max="11522" width="9.140625" style="375"/>
    <col min="11523" max="11523" width="51.7109375" style="375" customWidth="1"/>
    <col min="11524" max="11529" width="9.140625" style="375"/>
    <col min="11530" max="11530" width="11.28515625" style="375" customWidth="1"/>
    <col min="11531" max="11778" width="9.140625" style="375"/>
    <col min="11779" max="11779" width="51.7109375" style="375" customWidth="1"/>
    <col min="11780" max="11785" width="9.140625" style="375"/>
    <col min="11786" max="11786" width="11.28515625" style="375" customWidth="1"/>
    <col min="11787" max="12034" width="9.140625" style="375"/>
    <col min="12035" max="12035" width="51.7109375" style="375" customWidth="1"/>
    <col min="12036" max="12041" width="9.140625" style="375"/>
    <col min="12042" max="12042" width="11.28515625" style="375" customWidth="1"/>
    <col min="12043" max="12290" width="9.140625" style="375"/>
    <col min="12291" max="12291" width="51.7109375" style="375" customWidth="1"/>
    <col min="12292" max="12297" width="9.140625" style="375"/>
    <col min="12298" max="12298" width="11.28515625" style="375" customWidth="1"/>
    <col min="12299" max="12546" width="9.140625" style="375"/>
    <col min="12547" max="12547" width="51.7109375" style="375" customWidth="1"/>
    <col min="12548" max="12553" width="9.140625" style="375"/>
    <col min="12554" max="12554" width="11.28515625" style="375" customWidth="1"/>
    <col min="12555" max="12802" width="9.140625" style="375"/>
    <col min="12803" max="12803" width="51.7109375" style="375" customWidth="1"/>
    <col min="12804" max="12809" width="9.140625" style="375"/>
    <col min="12810" max="12810" width="11.28515625" style="375" customWidth="1"/>
    <col min="12811" max="13058" width="9.140625" style="375"/>
    <col min="13059" max="13059" width="51.7109375" style="375" customWidth="1"/>
    <col min="13060" max="13065" width="9.140625" style="375"/>
    <col min="13066" max="13066" width="11.28515625" style="375" customWidth="1"/>
    <col min="13067" max="13314" width="9.140625" style="375"/>
    <col min="13315" max="13315" width="51.7109375" style="375" customWidth="1"/>
    <col min="13316" max="13321" width="9.140625" style="375"/>
    <col min="13322" max="13322" width="11.28515625" style="375" customWidth="1"/>
    <col min="13323" max="13570" width="9.140625" style="375"/>
    <col min="13571" max="13571" width="51.7109375" style="375" customWidth="1"/>
    <col min="13572" max="13577" width="9.140625" style="375"/>
    <col min="13578" max="13578" width="11.28515625" style="375" customWidth="1"/>
    <col min="13579" max="13826" width="9.140625" style="375"/>
    <col min="13827" max="13827" width="51.7109375" style="375" customWidth="1"/>
    <col min="13828" max="13833" width="9.140625" style="375"/>
    <col min="13834" max="13834" width="11.28515625" style="375" customWidth="1"/>
    <col min="13835" max="14082" width="9.140625" style="375"/>
    <col min="14083" max="14083" width="51.7109375" style="375" customWidth="1"/>
    <col min="14084" max="14089" width="9.140625" style="375"/>
    <col min="14090" max="14090" width="11.28515625" style="375" customWidth="1"/>
    <col min="14091" max="14338" width="9.140625" style="375"/>
    <col min="14339" max="14339" width="51.7109375" style="375" customWidth="1"/>
    <col min="14340" max="14345" width="9.140625" style="375"/>
    <col min="14346" max="14346" width="11.28515625" style="375" customWidth="1"/>
    <col min="14347" max="14594" width="9.140625" style="375"/>
    <col min="14595" max="14595" width="51.7109375" style="375" customWidth="1"/>
    <col min="14596" max="14601" width="9.140625" style="375"/>
    <col min="14602" max="14602" width="11.28515625" style="375" customWidth="1"/>
    <col min="14603" max="14850" width="9.140625" style="375"/>
    <col min="14851" max="14851" width="51.7109375" style="375" customWidth="1"/>
    <col min="14852" max="14857" width="9.140625" style="375"/>
    <col min="14858" max="14858" width="11.28515625" style="375" customWidth="1"/>
    <col min="14859" max="15106" width="9.140625" style="375"/>
    <col min="15107" max="15107" width="51.7109375" style="375" customWidth="1"/>
    <col min="15108" max="15113" width="9.140625" style="375"/>
    <col min="15114" max="15114" width="11.28515625" style="375" customWidth="1"/>
    <col min="15115" max="15362" width="9.140625" style="375"/>
    <col min="15363" max="15363" width="51.7109375" style="375" customWidth="1"/>
    <col min="15364" max="15369" width="9.140625" style="375"/>
    <col min="15370" max="15370" width="11.28515625" style="375" customWidth="1"/>
    <col min="15371" max="15618" width="9.140625" style="375"/>
    <col min="15619" max="15619" width="51.7109375" style="375" customWidth="1"/>
    <col min="15620" max="15625" width="9.140625" style="375"/>
    <col min="15626" max="15626" width="11.28515625" style="375" customWidth="1"/>
    <col min="15627" max="15874" width="9.140625" style="375"/>
    <col min="15875" max="15875" width="51.7109375" style="375" customWidth="1"/>
    <col min="15876" max="15881" width="9.140625" style="375"/>
    <col min="15882" max="15882" width="11.28515625" style="375" customWidth="1"/>
    <col min="15883" max="16130" width="9.140625" style="375"/>
    <col min="16131" max="16131" width="51.7109375" style="375" customWidth="1"/>
    <col min="16132" max="16137" width="9.140625" style="375"/>
    <col min="16138" max="16138" width="11.28515625" style="375" customWidth="1"/>
    <col min="16139" max="16384" width="9.140625" style="375"/>
  </cols>
  <sheetData>
    <row r="1" spans="1:14" x14ac:dyDescent="0.25">
      <c r="A1" s="52"/>
      <c r="B1" s="155"/>
      <c r="C1" s="155"/>
      <c r="D1" s="155"/>
      <c r="E1" s="155"/>
      <c r="F1" s="155"/>
      <c r="G1" s="155"/>
      <c r="H1" s="155"/>
      <c r="I1" s="52"/>
      <c r="J1" s="152" t="s">
        <v>301</v>
      </c>
      <c r="K1" s="1092" t="str">
        <f>EBNUMBER</f>
        <v>EB-2016-0066</v>
      </c>
    </row>
    <row r="2" spans="1:14" x14ac:dyDescent="0.25">
      <c r="A2" s="52"/>
      <c r="B2" s="155"/>
      <c r="C2" s="155"/>
      <c r="D2" s="155"/>
      <c r="E2" s="155"/>
      <c r="F2" s="155"/>
      <c r="G2" s="155"/>
      <c r="H2" s="155"/>
      <c r="I2" s="52"/>
      <c r="J2" s="152" t="s">
        <v>302</v>
      </c>
      <c r="K2" s="51"/>
    </row>
    <row r="3" spans="1:14" x14ac:dyDescent="0.25">
      <c r="A3" s="52"/>
      <c r="B3" s="155"/>
      <c r="C3" s="155"/>
      <c r="D3" s="155"/>
      <c r="E3" s="155"/>
      <c r="F3" s="155"/>
      <c r="G3" s="155"/>
      <c r="H3" s="155"/>
      <c r="I3" s="52"/>
      <c r="J3" s="152" t="s">
        <v>303</v>
      </c>
      <c r="K3" s="51"/>
    </row>
    <row r="4" spans="1:14" x14ac:dyDescent="0.25">
      <c r="A4" s="52"/>
      <c r="B4" s="155"/>
      <c r="C4" s="155"/>
      <c r="D4" s="155"/>
      <c r="E4" s="155"/>
      <c r="F4" s="155"/>
      <c r="G4" s="155"/>
      <c r="H4" s="155"/>
      <c r="I4" s="52"/>
      <c r="J4" s="152" t="s">
        <v>304</v>
      </c>
      <c r="K4" s="51"/>
    </row>
    <row r="5" spans="1:14" x14ac:dyDescent="0.25">
      <c r="A5" s="52"/>
      <c r="B5" s="155"/>
      <c r="C5" s="155"/>
      <c r="D5" s="155"/>
      <c r="E5" s="155"/>
      <c r="F5" s="155"/>
      <c r="G5" s="155"/>
      <c r="H5" s="155"/>
      <c r="I5" s="52"/>
      <c r="J5" s="152" t="s">
        <v>305</v>
      </c>
      <c r="K5" s="1093"/>
    </row>
    <row r="6" spans="1:14" x14ac:dyDescent="0.25">
      <c r="A6" s="52"/>
      <c r="B6" s="155"/>
      <c r="C6" s="155"/>
      <c r="D6" s="155"/>
      <c r="E6" s="155"/>
      <c r="F6" s="155"/>
      <c r="G6" s="155"/>
      <c r="H6" s="155"/>
      <c r="I6" s="52"/>
      <c r="J6" s="152"/>
      <c r="K6" s="1092"/>
    </row>
    <row r="7" spans="1:14" x14ac:dyDescent="0.25">
      <c r="A7" s="52"/>
      <c r="B7" s="155"/>
      <c r="C7" s="155"/>
      <c r="D7" s="155"/>
      <c r="E7" s="155"/>
      <c r="F7" s="155"/>
      <c r="G7" s="155"/>
      <c r="H7" s="155"/>
      <c r="I7" s="52"/>
      <c r="J7" s="152" t="s">
        <v>306</v>
      </c>
      <c r="K7" s="1093"/>
    </row>
    <row r="8" spans="1:14" x14ac:dyDescent="0.25">
      <c r="A8" s="52"/>
      <c r="B8" s="52"/>
      <c r="C8" s="52"/>
      <c r="D8" s="52"/>
      <c r="E8" s="52"/>
      <c r="F8" s="52"/>
      <c r="G8" s="52"/>
      <c r="H8" s="52"/>
      <c r="I8" s="52"/>
      <c r="J8" s="52"/>
      <c r="K8" s="52"/>
    </row>
    <row r="9" spans="1:14" ht="18" x14ac:dyDescent="0.25">
      <c r="A9" s="1591" t="s">
        <v>1449</v>
      </c>
      <c r="B9" s="1728"/>
      <c r="C9" s="1728"/>
      <c r="D9" s="1728"/>
      <c r="E9" s="1728"/>
      <c r="F9" s="1728"/>
      <c r="G9" s="1728"/>
      <c r="H9" s="1728"/>
      <c r="I9" s="1728"/>
      <c r="J9" s="1728"/>
      <c r="K9" s="1728"/>
    </row>
    <row r="10" spans="1:14" ht="18" x14ac:dyDescent="0.25">
      <c r="A10" s="1591" t="s">
        <v>512</v>
      </c>
      <c r="B10" s="1729"/>
      <c r="C10" s="1729"/>
      <c r="D10" s="1729"/>
      <c r="E10" s="1729"/>
      <c r="F10" s="1729"/>
      <c r="G10" s="1729"/>
      <c r="H10" s="1729"/>
      <c r="I10" s="1729"/>
      <c r="J10" s="1729"/>
      <c r="K10" s="1729"/>
    </row>
    <row r="11" spans="1:14" ht="18" x14ac:dyDescent="0.25">
      <c r="A11" s="1591" t="s">
        <v>513</v>
      </c>
      <c r="B11" s="1729"/>
      <c r="C11" s="1729"/>
      <c r="D11" s="1729"/>
      <c r="E11" s="1729"/>
      <c r="F11" s="1729"/>
      <c r="G11" s="1729"/>
      <c r="H11" s="1729"/>
      <c r="I11" s="1729"/>
      <c r="J11" s="1729"/>
      <c r="K11" s="1729"/>
    </row>
    <row r="12" spans="1:14" x14ac:dyDescent="0.25">
      <c r="A12" s="52"/>
      <c r="B12" s="52"/>
      <c r="C12" s="52"/>
      <c r="D12" s="52"/>
      <c r="E12" s="52"/>
      <c r="F12" s="52"/>
      <c r="G12" s="52"/>
      <c r="H12" s="52"/>
      <c r="I12" s="52"/>
      <c r="J12" s="52"/>
      <c r="K12" s="52"/>
    </row>
    <row r="13" spans="1:14" s="376" customFormat="1" x14ac:dyDescent="0.25">
      <c r="A13" s="1742" t="s">
        <v>1118</v>
      </c>
      <c r="B13" s="1742"/>
      <c r="C13" s="1742"/>
      <c r="D13" s="1742"/>
      <c r="E13" s="1742"/>
      <c r="F13" s="1742"/>
      <c r="G13" s="1742"/>
      <c r="H13" s="1742"/>
      <c r="I13" s="1742"/>
      <c r="J13" s="1742"/>
      <c r="K13" s="1742"/>
      <c r="L13" s="333"/>
      <c r="M13" s="333"/>
      <c r="N13" s="333"/>
    </row>
    <row r="14" spans="1:14" x14ac:dyDescent="0.25">
      <c r="A14" s="1742"/>
      <c r="B14" s="1742"/>
      <c r="C14" s="1742"/>
      <c r="D14" s="1742"/>
      <c r="E14" s="1742"/>
      <c r="F14" s="1742"/>
      <c r="G14" s="1742"/>
      <c r="H14" s="1742"/>
      <c r="I14" s="1742"/>
      <c r="J14" s="1742"/>
      <c r="K14" s="1742"/>
      <c r="L14" s="378"/>
      <c r="M14" s="378"/>
    </row>
    <row r="15" spans="1:14" x14ac:dyDescent="0.25">
      <c r="A15" s="1730"/>
      <c r="B15" s="1730"/>
      <c r="C15" s="1730"/>
      <c r="D15" s="1730"/>
      <c r="E15" s="1730"/>
      <c r="F15" s="1730"/>
      <c r="G15" s="1730"/>
      <c r="H15" s="1730"/>
      <c r="I15" s="1730"/>
      <c r="J15" s="1730"/>
      <c r="K15" s="1730"/>
      <c r="L15" s="378"/>
      <c r="M15" s="378"/>
    </row>
    <row r="16" spans="1:14" x14ac:dyDescent="0.25">
      <c r="A16" s="377"/>
      <c r="B16" s="377"/>
      <c r="C16" s="377"/>
      <c r="D16" s="377"/>
      <c r="E16" s="377"/>
      <c r="F16" s="377"/>
      <c r="G16" s="377"/>
      <c r="H16" s="377"/>
      <c r="I16" s="377"/>
      <c r="J16" s="377"/>
      <c r="K16" s="377"/>
      <c r="L16" s="378"/>
      <c r="M16" s="378"/>
    </row>
    <row r="17" spans="1:9" ht="39" x14ac:dyDescent="0.25">
      <c r="A17" s="377"/>
      <c r="B17" s="379" t="s">
        <v>1089</v>
      </c>
      <c r="C17" s="379">
        <v>2012</v>
      </c>
      <c r="D17" s="379">
        <v>2013</v>
      </c>
      <c r="E17" s="379">
        <v>2014</v>
      </c>
      <c r="F17" s="379">
        <v>2015</v>
      </c>
      <c r="G17" s="379">
        <v>2016</v>
      </c>
      <c r="H17" s="379" t="s">
        <v>1090</v>
      </c>
      <c r="I17" s="378"/>
    </row>
    <row r="18" spans="1:9" ht="25.5" x14ac:dyDescent="0.25">
      <c r="A18" s="380" t="s">
        <v>103</v>
      </c>
      <c r="B18" s="381" t="s">
        <v>104</v>
      </c>
      <c r="C18" s="381" t="s">
        <v>104</v>
      </c>
      <c r="D18" s="381" t="s">
        <v>104</v>
      </c>
      <c r="E18" s="381" t="s">
        <v>104</v>
      </c>
      <c r="F18" s="382" t="s">
        <v>1104</v>
      </c>
      <c r="G18" s="381" t="s">
        <v>105</v>
      </c>
      <c r="H18" s="382" t="s">
        <v>105</v>
      </c>
      <c r="I18" s="378"/>
    </row>
    <row r="19" spans="1:9" x14ac:dyDescent="0.25">
      <c r="A19" s="380"/>
      <c r="B19" s="381" t="s">
        <v>86</v>
      </c>
      <c r="C19" s="381" t="s">
        <v>413</v>
      </c>
      <c r="D19" s="381" t="s">
        <v>413</v>
      </c>
      <c r="E19" s="381" t="s">
        <v>413</v>
      </c>
      <c r="F19" s="381" t="s">
        <v>413</v>
      </c>
      <c r="G19" s="381" t="s">
        <v>86</v>
      </c>
      <c r="H19" s="381" t="s">
        <v>86</v>
      </c>
      <c r="I19" s="378"/>
    </row>
    <row r="20" spans="1:9" x14ac:dyDescent="0.25">
      <c r="A20" s="377"/>
      <c r="B20" s="408"/>
      <c r="C20" s="384" t="s">
        <v>170</v>
      </c>
      <c r="D20" s="384" t="s">
        <v>170</v>
      </c>
      <c r="E20" s="384" t="s">
        <v>170</v>
      </c>
      <c r="F20" s="384"/>
      <c r="G20" s="384" t="s">
        <v>170</v>
      </c>
      <c r="H20" s="384"/>
      <c r="I20" s="378"/>
    </row>
    <row r="21" spans="1:9" x14ac:dyDescent="0.25">
      <c r="A21" s="380" t="s">
        <v>514</v>
      </c>
      <c r="B21" s="1725"/>
      <c r="C21" s="1726"/>
      <c r="D21" s="1726"/>
      <c r="E21" s="1726"/>
      <c r="F21" s="1726"/>
      <c r="G21" s="1726"/>
      <c r="H21" s="1727"/>
      <c r="I21" s="378"/>
    </row>
    <row r="22" spans="1:9" x14ac:dyDescent="0.25">
      <c r="A22" s="383" t="s">
        <v>415</v>
      </c>
      <c r="B22" s="409"/>
      <c r="C22" s="386"/>
      <c r="D22" s="389">
        <f>+C25</f>
        <v>0</v>
      </c>
      <c r="E22" s="389">
        <f>+D25</f>
        <v>0</v>
      </c>
      <c r="F22" s="389">
        <f>+D25</f>
        <v>0</v>
      </c>
      <c r="G22" s="389">
        <f>+E25</f>
        <v>0</v>
      </c>
      <c r="H22" s="385"/>
      <c r="I22" s="378"/>
    </row>
    <row r="23" spans="1:9" x14ac:dyDescent="0.25">
      <c r="A23" s="383" t="s">
        <v>730</v>
      </c>
      <c r="B23" s="409"/>
      <c r="C23" s="386"/>
      <c r="D23" s="386"/>
      <c r="E23" s="386"/>
      <c r="F23" s="386"/>
      <c r="G23" s="410"/>
      <c r="H23" s="385"/>
      <c r="I23" s="378"/>
    </row>
    <row r="24" spans="1:9" x14ac:dyDescent="0.25">
      <c r="A24" s="383" t="s">
        <v>731</v>
      </c>
      <c r="B24" s="409"/>
      <c r="C24" s="386"/>
      <c r="D24" s="386"/>
      <c r="E24" s="386"/>
      <c r="F24" s="386"/>
      <c r="G24" s="410"/>
      <c r="H24" s="385"/>
      <c r="I24" s="378"/>
    </row>
    <row r="25" spans="1:9" x14ac:dyDescent="0.25">
      <c r="A25" s="388" t="s">
        <v>416</v>
      </c>
      <c r="B25" s="409"/>
      <c r="C25" s="389">
        <f>C22+C23+C24</f>
        <v>0</v>
      </c>
      <c r="D25" s="389">
        <f>D22+D23+D24</f>
        <v>0</v>
      </c>
      <c r="E25" s="389">
        <f>E22+E23+E24</f>
        <v>0</v>
      </c>
      <c r="F25" s="389">
        <f>F22+F23+F24</f>
        <v>0</v>
      </c>
      <c r="G25" s="389">
        <f>G22+G23+G24</f>
        <v>0</v>
      </c>
      <c r="H25" s="385"/>
      <c r="I25" s="378"/>
    </row>
    <row r="26" spans="1:9" x14ac:dyDescent="0.25">
      <c r="A26" s="377"/>
      <c r="B26" s="1733"/>
      <c r="C26" s="1734"/>
      <c r="D26" s="1734"/>
      <c r="E26" s="1734"/>
      <c r="F26" s="1734"/>
      <c r="G26" s="1734"/>
      <c r="H26" s="1735"/>
      <c r="I26" s="378"/>
    </row>
    <row r="27" spans="1:9" x14ac:dyDescent="0.25">
      <c r="A27" s="390" t="s">
        <v>515</v>
      </c>
      <c r="B27" s="1736"/>
      <c r="C27" s="1737"/>
      <c r="D27" s="1737"/>
      <c r="E27" s="1737"/>
      <c r="F27" s="1737"/>
      <c r="G27" s="1737"/>
      <c r="H27" s="1738"/>
      <c r="I27" s="378"/>
    </row>
    <row r="28" spans="1:9" x14ac:dyDescent="0.25">
      <c r="A28" s="383" t="s">
        <v>417</v>
      </c>
      <c r="B28" s="385"/>
      <c r="C28" s="391"/>
      <c r="D28" s="389">
        <f>+C31</f>
        <v>0</v>
      </c>
      <c r="E28" s="389">
        <f>+D31</f>
        <v>0</v>
      </c>
      <c r="F28" s="389">
        <f>+D31</f>
        <v>0</v>
      </c>
      <c r="G28" s="389">
        <f>+E31</f>
        <v>0</v>
      </c>
      <c r="H28" s="385"/>
      <c r="I28" s="378"/>
    </row>
    <row r="29" spans="1:9" x14ac:dyDescent="0.25">
      <c r="A29" s="383" t="s">
        <v>730</v>
      </c>
      <c r="B29" s="385"/>
      <c r="C29" s="391"/>
      <c r="D29" s="391"/>
      <c r="E29" s="391"/>
      <c r="F29" s="391"/>
      <c r="G29" s="410"/>
      <c r="H29" s="385"/>
      <c r="I29" s="378"/>
    </row>
    <row r="30" spans="1:9" x14ac:dyDescent="0.25">
      <c r="A30" s="383" t="s">
        <v>731</v>
      </c>
      <c r="B30" s="385"/>
      <c r="C30" s="391"/>
      <c r="D30" s="391"/>
      <c r="E30" s="391"/>
      <c r="F30" s="391"/>
      <c r="G30" s="410"/>
      <c r="H30" s="385"/>
      <c r="I30" s="378"/>
    </row>
    <row r="31" spans="1:9" x14ac:dyDescent="0.25">
      <c r="A31" s="388" t="s">
        <v>418</v>
      </c>
      <c r="B31" s="385"/>
      <c r="C31" s="389">
        <f>SUM(C28:C30)</f>
        <v>0</v>
      </c>
      <c r="D31" s="389">
        <f>SUM(D28:D30)</f>
        <v>0</v>
      </c>
      <c r="E31" s="389">
        <f>SUM(E28:E30)</f>
        <v>0</v>
      </c>
      <c r="F31" s="389">
        <f>SUM(F28:F30)</f>
        <v>0</v>
      </c>
      <c r="G31" s="389">
        <f>SUM(G28:G30)</f>
        <v>0</v>
      </c>
      <c r="H31" s="385"/>
      <c r="I31" s="378"/>
    </row>
    <row r="32" spans="1:9" x14ac:dyDescent="0.25">
      <c r="A32" s="377"/>
      <c r="B32" s="1725"/>
      <c r="C32" s="1726"/>
      <c r="D32" s="1726"/>
      <c r="E32" s="1726"/>
      <c r="F32" s="1726"/>
      <c r="G32" s="1726"/>
      <c r="H32" s="1727"/>
      <c r="I32" s="378"/>
    </row>
    <row r="33" spans="1:13" ht="26.25" x14ac:dyDescent="0.25">
      <c r="A33" s="392" t="s">
        <v>737</v>
      </c>
      <c r="B33" s="385"/>
      <c r="C33" s="393">
        <f>C25-C31</f>
        <v>0</v>
      </c>
      <c r="D33" s="393">
        <f>D25-D31</f>
        <v>0</v>
      </c>
      <c r="E33" s="393">
        <f>E25-E31</f>
        <v>0</v>
      </c>
      <c r="F33" s="393">
        <f>F25-F31</f>
        <v>0</v>
      </c>
      <c r="G33" s="393">
        <f>G25-G31</f>
        <v>0</v>
      </c>
      <c r="H33" s="385"/>
      <c r="I33" s="378"/>
    </row>
    <row r="34" spans="1:13" x14ac:dyDescent="0.25">
      <c r="A34" s="380"/>
      <c r="B34" s="377"/>
      <c r="C34" s="377"/>
      <c r="D34" s="394"/>
      <c r="E34" s="394"/>
      <c r="F34" s="394"/>
      <c r="G34" s="394"/>
      <c r="H34" s="394"/>
      <c r="I34" s="394"/>
      <c r="J34" s="394"/>
      <c r="K34" s="377"/>
      <c r="L34" s="378"/>
      <c r="M34" s="378"/>
    </row>
    <row r="35" spans="1:13" x14ac:dyDescent="0.25">
      <c r="A35" s="380"/>
      <c r="B35" s="377"/>
      <c r="C35" s="377"/>
      <c r="D35" s="394"/>
      <c r="E35" s="394"/>
      <c r="F35" s="394"/>
      <c r="G35" s="394"/>
      <c r="H35" s="394"/>
      <c r="I35" s="394"/>
      <c r="J35" s="394"/>
      <c r="K35" s="377"/>
      <c r="L35" s="378"/>
      <c r="M35" s="378"/>
    </row>
    <row r="36" spans="1:13" x14ac:dyDescent="0.25">
      <c r="A36" s="380" t="s">
        <v>732</v>
      </c>
      <c r="B36" s="377"/>
      <c r="C36" s="377"/>
      <c r="D36" s="394"/>
      <c r="E36" s="394"/>
      <c r="F36" s="394"/>
      <c r="G36" s="394"/>
      <c r="H36" s="394"/>
      <c r="I36" s="394"/>
      <c r="J36" s="394"/>
      <c r="K36" s="377"/>
      <c r="L36" s="378"/>
      <c r="M36" s="378"/>
    </row>
    <row r="37" spans="1:13" s="400" customFormat="1" x14ac:dyDescent="0.25">
      <c r="A37" s="395" t="s">
        <v>738</v>
      </c>
      <c r="B37" s="396"/>
      <c r="C37" s="396"/>
      <c r="D37" s="396"/>
      <c r="E37" s="396"/>
      <c r="F37" s="396"/>
      <c r="G37" s="396"/>
      <c r="H37" s="397">
        <f>IF(ISERROR(G33), 0, G33)</f>
        <v>0</v>
      </c>
      <c r="I37" s="377"/>
      <c r="J37" s="398" t="s">
        <v>420</v>
      </c>
      <c r="K37" s="399"/>
      <c r="L37" s="378"/>
      <c r="M37" s="378"/>
    </row>
    <row r="38" spans="1:13" s="400" customFormat="1" ht="26.25" x14ac:dyDescent="0.25">
      <c r="A38" s="395" t="s">
        <v>739</v>
      </c>
      <c r="B38" s="396"/>
      <c r="C38" s="396"/>
      <c r="D38" s="396"/>
      <c r="E38" s="396"/>
      <c r="F38" s="396"/>
      <c r="G38" s="396"/>
      <c r="H38" s="397">
        <f>G33*K37*K38</f>
        <v>0</v>
      </c>
      <c r="I38" s="1739" t="s">
        <v>733</v>
      </c>
      <c r="J38" s="1739"/>
      <c r="K38" s="1740"/>
      <c r="L38" s="401"/>
      <c r="M38" s="378"/>
    </row>
    <row r="39" spans="1:13" x14ac:dyDescent="0.25">
      <c r="A39" s="402" t="s">
        <v>734</v>
      </c>
      <c r="B39" s="403"/>
      <c r="C39" s="403"/>
      <c r="D39" s="403"/>
      <c r="E39" s="403"/>
      <c r="F39" s="403"/>
      <c r="G39" s="403"/>
      <c r="H39" s="404">
        <f>H37+H38</f>
        <v>0</v>
      </c>
      <c r="I39" s="1739"/>
      <c r="J39" s="1739"/>
      <c r="K39" s="1741"/>
      <c r="L39" s="378"/>
      <c r="M39" s="378"/>
    </row>
    <row r="40" spans="1:13" x14ac:dyDescent="0.25">
      <c r="A40" s="380"/>
      <c r="B40" s="377"/>
      <c r="C40" s="377"/>
      <c r="D40" s="377"/>
      <c r="E40" s="377"/>
      <c r="F40" s="377"/>
      <c r="G40" s="377"/>
      <c r="H40" s="411"/>
      <c r="I40" s="377"/>
      <c r="J40" s="377"/>
      <c r="K40" s="377"/>
      <c r="L40" s="378"/>
      <c r="M40" s="378"/>
    </row>
    <row r="41" spans="1:13" x14ac:dyDescent="0.25">
      <c r="A41" s="380" t="s">
        <v>11</v>
      </c>
      <c r="B41" s="377"/>
      <c r="C41" s="377"/>
      <c r="D41" s="377"/>
      <c r="E41" s="377"/>
      <c r="F41" s="377"/>
      <c r="G41" s="377"/>
      <c r="H41" s="377"/>
      <c r="I41" s="377"/>
      <c r="J41" s="377"/>
      <c r="K41" s="377"/>
      <c r="L41" s="378"/>
      <c r="M41" s="378"/>
    </row>
    <row r="42" spans="1:13" ht="27.75" customHeight="1" x14ac:dyDescent="0.25">
      <c r="A42" s="1743" t="s">
        <v>516</v>
      </c>
      <c r="B42" s="1743"/>
      <c r="C42" s="1743"/>
      <c r="D42" s="1743"/>
      <c r="E42" s="1743"/>
      <c r="F42" s="1743"/>
      <c r="G42" s="1743"/>
      <c r="H42" s="1743"/>
      <c r="I42" s="1743"/>
      <c r="J42" s="1743"/>
      <c r="K42" s="1743"/>
      <c r="L42" s="1743"/>
      <c r="M42" s="378"/>
    </row>
    <row r="43" spans="1:13" x14ac:dyDescent="0.25">
      <c r="A43" s="377" t="s">
        <v>740</v>
      </c>
      <c r="B43" s="377"/>
      <c r="C43" s="377"/>
      <c r="D43" s="377"/>
      <c r="E43" s="377"/>
      <c r="F43" s="377"/>
      <c r="G43" s="377"/>
      <c r="H43" s="377"/>
      <c r="I43" s="377"/>
      <c r="J43" s="377"/>
      <c r="K43" s="377"/>
      <c r="L43" s="378"/>
      <c r="M43" s="378"/>
    </row>
    <row r="44" spans="1:13" x14ac:dyDescent="0.25">
      <c r="A44" s="377" t="s">
        <v>1093</v>
      </c>
      <c r="B44" s="377"/>
      <c r="C44" s="377"/>
      <c r="D44" s="377"/>
      <c r="E44" s="377"/>
      <c r="F44" s="377"/>
      <c r="G44" s="377"/>
      <c r="H44" s="377"/>
      <c r="I44" s="377"/>
      <c r="J44" s="377"/>
      <c r="K44" s="377"/>
      <c r="L44" s="378"/>
      <c r="M44" s="378"/>
    </row>
    <row r="45" spans="1:13" x14ac:dyDescent="0.25">
      <c r="A45" s="377" t="s">
        <v>421</v>
      </c>
      <c r="B45" s="377"/>
      <c r="C45" s="377"/>
      <c r="D45" s="377"/>
      <c r="E45" s="377"/>
      <c r="F45" s="377"/>
      <c r="G45" s="377"/>
      <c r="H45" s="377"/>
      <c r="I45" s="377"/>
      <c r="J45" s="377"/>
      <c r="K45" s="377"/>
      <c r="L45" s="378"/>
      <c r="M45" s="378"/>
    </row>
    <row r="46" spans="1:13" x14ac:dyDescent="0.25">
      <c r="A46" s="1732" t="s">
        <v>741</v>
      </c>
      <c r="B46" s="1732"/>
      <c r="C46" s="1732"/>
      <c r="D46" s="1732"/>
      <c r="E46" s="1732"/>
      <c r="F46" s="1732"/>
      <c r="G46" s="1732"/>
      <c r="H46" s="1732"/>
      <c r="I46" s="1732"/>
      <c r="J46" s="1732"/>
      <c r="K46" s="377"/>
      <c r="L46" s="378"/>
      <c r="M46" s="378"/>
    </row>
    <row r="47" spans="1:13" x14ac:dyDescent="0.25">
      <c r="A47" s="377" t="s">
        <v>866</v>
      </c>
      <c r="B47" s="378"/>
      <c r="C47" s="378"/>
      <c r="D47" s="378"/>
      <c r="E47" s="378"/>
      <c r="F47" s="378"/>
      <c r="G47" s="378"/>
      <c r="H47" s="378"/>
      <c r="I47" s="378"/>
      <c r="J47" s="378"/>
      <c r="K47" s="377"/>
      <c r="L47" s="378"/>
      <c r="M47" s="378"/>
    </row>
    <row r="48" spans="1:13" x14ac:dyDescent="0.25">
      <c r="A48" s="377" t="s">
        <v>1106</v>
      </c>
      <c r="B48" s="377"/>
      <c r="C48" s="377"/>
      <c r="D48" s="377"/>
      <c r="E48" s="377"/>
      <c r="F48" s="377"/>
      <c r="G48" s="377"/>
      <c r="H48" s="377"/>
      <c r="I48" s="377"/>
      <c r="J48" s="377"/>
      <c r="K48" s="377"/>
      <c r="L48" s="378"/>
      <c r="M48" s="378"/>
    </row>
    <row r="49" spans="1:13" x14ac:dyDescent="0.25">
      <c r="A49" s="377"/>
      <c r="B49" s="377"/>
      <c r="C49" s="377"/>
      <c r="D49" s="377"/>
      <c r="E49" s="377"/>
      <c r="F49" s="377"/>
      <c r="G49" s="377"/>
      <c r="H49" s="377"/>
      <c r="I49" s="377"/>
      <c r="J49" s="377"/>
      <c r="K49" s="377"/>
      <c r="L49" s="378"/>
      <c r="M49" s="378"/>
    </row>
    <row r="50" spans="1:13" x14ac:dyDescent="0.25">
      <c r="A50" s="377"/>
      <c r="B50" s="377"/>
      <c r="C50" s="377"/>
      <c r="D50" s="377"/>
      <c r="E50" s="377"/>
      <c r="F50" s="377"/>
      <c r="G50" s="377"/>
      <c r="H50" s="377"/>
      <c r="I50" s="377"/>
      <c r="J50" s="377"/>
      <c r="K50" s="377"/>
      <c r="L50" s="378"/>
      <c r="M50" s="378"/>
    </row>
    <row r="51" spans="1:13" x14ac:dyDescent="0.25">
      <c r="A51" s="377"/>
      <c r="B51" s="377"/>
      <c r="C51" s="377"/>
      <c r="D51" s="377"/>
      <c r="E51" s="377"/>
      <c r="F51" s="377"/>
      <c r="G51" s="377"/>
      <c r="H51" s="377"/>
      <c r="I51" s="377"/>
      <c r="J51" s="377"/>
      <c r="K51" s="377"/>
      <c r="L51" s="378"/>
      <c r="M51" s="378"/>
    </row>
    <row r="52" spans="1:13" x14ac:dyDescent="0.25">
      <c r="A52" s="377"/>
      <c r="B52" s="377"/>
      <c r="C52" s="377"/>
      <c r="D52" s="377"/>
      <c r="E52" s="377"/>
      <c r="F52" s="377"/>
      <c r="G52" s="377"/>
      <c r="H52" s="377"/>
      <c r="I52" s="377"/>
      <c r="J52" s="377"/>
      <c r="K52" s="377"/>
      <c r="L52" s="378"/>
      <c r="M52" s="378"/>
    </row>
    <row r="53" spans="1:13" x14ac:dyDescent="0.25">
      <c r="A53" s="377"/>
      <c r="B53" s="377"/>
      <c r="C53" s="377"/>
      <c r="D53" s="377"/>
      <c r="E53" s="377"/>
      <c r="F53" s="377"/>
      <c r="G53" s="377"/>
      <c r="H53" s="377"/>
      <c r="I53" s="377"/>
      <c r="J53" s="377"/>
      <c r="K53" s="377"/>
      <c r="L53" s="378"/>
      <c r="M53" s="378"/>
    </row>
    <row r="54" spans="1:13" x14ac:dyDescent="0.25">
      <c r="A54" s="377"/>
      <c r="B54" s="377"/>
      <c r="C54" s="377"/>
      <c r="D54" s="377"/>
      <c r="E54" s="377"/>
      <c r="F54" s="377"/>
      <c r="G54" s="377"/>
      <c r="H54" s="377"/>
      <c r="I54" s="377"/>
      <c r="J54" s="377"/>
      <c r="K54" s="377"/>
      <c r="L54" s="378"/>
      <c r="M54" s="378"/>
    </row>
    <row r="55" spans="1:13" x14ac:dyDescent="0.25">
      <c r="A55" s="377"/>
      <c r="B55" s="378"/>
      <c r="C55" s="378"/>
      <c r="D55" s="378"/>
      <c r="E55" s="378"/>
      <c r="F55" s="378"/>
      <c r="G55" s="378"/>
      <c r="H55" s="378"/>
      <c r="I55" s="378"/>
      <c r="J55" s="378"/>
      <c r="K55" s="378"/>
      <c r="L55" s="378"/>
      <c r="M55" s="378"/>
    </row>
  </sheetData>
  <mergeCells count="12">
    <mergeCell ref="A46:J46"/>
    <mergeCell ref="A42:L42"/>
    <mergeCell ref="B32:H32"/>
    <mergeCell ref="B26:H27"/>
    <mergeCell ref="B21:H21"/>
    <mergeCell ref="I38:J39"/>
    <mergeCell ref="K38:K39"/>
    <mergeCell ref="A9:K9"/>
    <mergeCell ref="A10:K10"/>
    <mergeCell ref="A11:K11"/>
    <mergeCell ref="A15:K15"/>
    <mergeCell ref="A13:K14"/>
  </mergeCells>
  <dataValidations count="1">
    <dataValidation allowBlank="1" showInputMessage="1" showErrorMessage="1" promptTitle="Date Format" prompt="E.g:  &quot;August 1, 2011&quot;" sqref="WVO983044 JC7 SY7 ACU7 AMQ7 AWM7 BGI7 BQE7 CAA7 CJW7 CTS7 DDO7 DNK7 DXG7 EHC7 EQY7 FAU7 FKQ7 FUM7 GEI7 GOE7 GYA7 HHW7 HRS7 IBO7 ILK7 IVG7 JFC7 JOY7 JYU7 KIQ7 KSM7 LCI7 LME7 LWA7 MFW7 MPS7 MZO7 NJK7 NTG7 ODC7 OMY7 OWU7 PGQ7 PQM7 QAI7 QKE7 QUA7 RDW7 RNS7 RXO7 SHK7 SRG7 TBC7 TKY7 TUU7 UEQ7 UOM7 UYI7 VIE7 VSA7 WBW7 WLS7 WVO7 G65540 JC65540 SY65540 ACU65540 AMQ65540 AWM65540 BGI65540 BQE65540 CAA65540 CJW65540 CTS65540 DDO65540 DNK65540 DXG65540 EHC65540 EQY65540 FAU65540 FKQ65540 FUM65540 GEI65540 GOE65540 GYA65540 HHW65540 HRS65540 IBO65540 ILK65540 IVG65540 JFC65540 JOY65540 JYU65540 KIQ65540 KSM65540 LCI65540 LME65540 LWA65540 MFW65540 MPS65540 MZO65540 NJK65540 NTG65540 ODC65540 OMY65540 OWU65540 PGQ65540 PQM65540 QAI65540 QKE65540 QUA65540 RDW65540 RNS65540 RXO65540 SHK65540 SRG65540 TBC65540 TKY65540 TUU65540 UEQ65540 UOM65540 UYI65540 VIE65540 VSA65540 WBW65540 WLS65540 WVO65540 G131076 JC131076 SY131076 ACU131076 AMQ131076 AWM131076 BGI131076 BQE131076 CAA131076 CJW131076 CTS131076 DDO131076 DNK131076 DXG131076 EHC131076 EQY131076 FAU131076 FKQ131076 FUM131076 GEI131076 GOE131076 GYA131076 HHW131076 HRS131076 IBO131076 ILK131076 IVG131076 JFC131076 JOY131076 JYU131076 KIQ131076 KSM131076 LCI131076 LME131076 LWA131076 MFW131076 MPS131076 MZO131076 NJK131076 NTG131076 ODC131076 OMY131076 OWU131076 PGQ131076 PQM131076 QAI131076 QKE131076 QUA131076 RDW131076 RNS131076 RXO131076 SHK131076 SRG131076 TBC131076 TKY131076 TUU131076 UEQ131076 UOM131076 UYI131076 VIE131076 VSA131076 WBW131076 WLS131076 WVO131076 G196612 JC196612 SY196612 ACU196612 AMQ196612 AWM196612 BGI196612 BQE196612 CAA196612 CJW196612 CTS196612 DDO196612 DNK196612 DXG196612 EHC196612 EQY196612 FAU196612 FKQ196612 FUM196612 GEI196612 GOE196612 GYA196612 HHW196612 HRS196612 IBO196612 ILK196612 IVG196612 JFC196612 JOY196612 JYU196612 KIQ196612 KSM196612 LCI196612 LME196612 LWA196612 MFW196612 MPS196612 MZO196612 NJK196612 NTG196612 ODC196612 OMY196612 OWU196612 PGQ196612 PQM196612 QAI196612 QKE196612 QUA196612 RDW196612 RNS196612 RXO196612 SHK196612 SRG196612 TBC196612 TKY196612 TUU196612 UEQ196612 UOM196612 UYI196612 VIE196612 VSA196612 WBW196612 WLS196612 WVO196612 G262148 JC262148 SY262148 ACU262148 AMQ262148 AWM262148 BGI262148 BQE262148 CAA262148 CJW262148 CTS262148 DDO262148 DNK262148 DXG262148 EHC262148 EQY262148 FAU262148 FKQ262148 FUM262148 GEI262148 GOE262148 GYA262148 HHW262148 HRS262148 IBO262148 ILK262148 IVG262148 JFC262148 JOY262148 JYU262148 KIQ262148 KSM262148 LCI262148 LME262148 LWA262148 MFW262148 MPS262148 MZO262148 NJK262148 NTG262148 ODC262148 OMY262148 OWU262148 PGQ262148 PQM262148 QAI262148 QKE262148 QUA262148 RDW262148 RNS262148 RXO262148 SHK262148 SRG262148 TBC262148 TKY262148 TUU262148 UEQ262148 UOM262148 UYI262148 VIE262148 VSA262148 WBW262148 WLS262148 WVO262148 G327684 JC327684 SY327684 ACU327684 AMQ327684 AWM327684 BGI327684 BQE327684 CAA327684 CJW327684 CTS327684 DDO327684 DNK327684 DXG327684 EHC327684 EQY327684 FAU327684 FKQ327684 FUM327684 GEI327684 GOE327684 GYA327684 HHW327684 HRS327684 IBO327684 ILK327684 IVG327684 JFC327684 JOY327684 JYU327684 KIQ327684 KSM327684 LCI327684 LME327684 LWA327684 MFW327684 MPS327684 MZO327684 NJK327684 NTG327684 ODC327684 OMY327684 OWU327684 PGQ327684 PQM327684 QAI327684 QKE327684 QUA327684 RDW327684 RNS327684 RXO327684 SHK327684 SRG327684 TBC327684 TKY327684 TUU327684 UEQ327684 UOM327684 UYI327684 VIE327684 VSA327684 WBW327684 WLS327684 WVO327684 G393220 JC393220 SY393220 ACU393220 AMQ393220 AWM393220 BGI393220 BQE393220 CAA393220 CJW393220 CTS393220 DDO393220 DNK393220 DXG393220 EHC393220 EQY393220 FAU393220 FKQ393220 FUM393220 GEI393220 GOE393220 GYA393220 HHW393220 HRS393220 IBO393220 ILK393220 IVG393220 JFC393220 JOY393220 JYU393220 KIQ393220 KSM393220 LCI393220 LME393220 LWA393220 MFW393220 MPS393220 MZO393220 NJK393220 NTG393220 ODC393220 OMY393220 OWU393220 PGQ393220 PQM393220 QAI393220 QKE393220 QUA393220 RDW393220 RNS393220 RXO393220 SHK393220 SRG393220 TBC393220 TKY393220 TUU393220 UEQ393220 UOM393220 UYI393220 VIE393220 VSA393220 WBW393220 WLS393220 WVO393220 G458756 JC458756 SY458756 ACU458756 AMQ458756 AWM458756 BGI458756 BQE458756 CAA458756 CJW458756 CTS458756 DDO458756 DNK458756 DXG458756 EHC458756 EQY458756 FAU458756 FKQ458756 FUM458756 GEI458756 GOE458756 GYA458756 HHW458756 HRS458756 IBO458756 ILK458756 IVG458756 JFC458756 JOY458756 JYU458756 KIQ458756 KSM458756 LCI458756 LME458756 LWA458756 MFW458756 MPS458756 MZO458756 NJK458756 NTG458756 ODC458756 OMY458756 OWU458756 PGQ458756 PQM458756 QAI458756 QKE458756 QUA458756 RDW458756 RNS458756 RXO458756 SHK458756 SRG458756 TBC458756 TKY458756 TUU458756 UEQ458756 UOM458756 UYI458756 VIE458756 VSA458756 WBW458756 WLS458756 WVO458756 G524292 JC524292 SY524292 ACU524292 AMQ524292 AWM524292 BGI524292 BQE524292 CAA524292 CJW524292 CTS524292 DDO524292 DNK524292 DXG524292 EHC524292 EQY524292 FAU524292 FKQ524292 FUM524292 GEI524292 GOE524292 GYA524292 HHW524292 HRS524292 IBO524292 ILK524292 IVG524292 JFC524292 JOY524292 JYU524292 KIQ524292 KSM524292 LCI524292 LME524292 LWA524292 MFW524292 MPS524292 MZO524292 NJK524292 NTG524292 ODC524292 OMY524292 OWU524292 PGQ524292 PQM524292 QAI524292 QKE524292 QUA524292 RDW524292 RNS524292 RXO524292 SHK524292 SRG524292 TBC524292 TKY524292 TUU524292 UEQ524292 UOM524292 UYI524292 VIE524292 VSA524292 WBW524292 WLS524292 WVO524292 G589828 JC589828 SY589828 ACU589828 AMQ589828 AWM589828 BGI589828 BQE589828 CAA589828 CJW589828 CTS589828 DDO589828 DNK589828 DXG589828 EHC589828 EQY589828 FAU589828 FKQ589828 FUM589828 GEI589828 GOE589828 GYA589828 HHW589828 HRS589828 IBO589828 ILK589828 IVG589828 JFC589828 JOY589828 JYU589828 KIQ589828 KSM589828 LCI589828 LME589828 LWA589828 MFW589828 MPS589828 MZO589828 NJK589828 NTG589828 ODC589828 OMY589828 OWU589828 PGQ589828 PQM589828 QAI589828 QKE589828 QUA589828 RDW589828 RNS589828 RXO589828 SHK589828 SRG589828 TBC589828 TKY589828 TUU589828 UEQ589828 UOM589828 UYI589828 VIE589828 VSA589828 WBW589828 WLS589828 WVO589828 G655364 JC655364 SY655364 ACU655364 AMQ655364 AWM655364 BGI655364 BQE655364 CAA655364 CJW655364 CTS655364 DDO655364 DNK655364 DXG655364 EHC655364 EQY655364 FAU655364 FKQ655364 FUM655364 GEI655364 GOE655364 GYA655364 HHW655364 HRS655364 IBO655364 ILK655364 IVG655364 JFC655364 JOY655364 JYU655364 KIQ655364 KSM655364 LCI655364 LME655364 LWA655364 MFW655364 MPS655364 MZO655364 NJK655364 NTG655364 ODC655364 OMY655364 OWU655364 PGQ655364 PQM655364 QAI655364 QKE655364 QUA655364 RDW655364 RNS655364 RXO655364 SHK655364 SRG655364 TBC655364 TKY655364 TUU655364 UEQ655364 UOM655364 UYI655364 VIE655364 VSA655364 WBW655364 WLS655364 WVO655364 G720900 JC720900 SY720900 ACU720900 AMQ720900 AWM720900 BGI720900 BQE720900 CAA720900 CJW720900 CTS720900 DDO720900 DNK720900 DXG720900 EHC720900 EQY720900 FAU720900 FKQ720900 FUM720900 GEI720900 GOE720900 GYA720900 HHW720900 HRS720900 IBO720900 ILK720900 IVG720900 JFC720900 JOY720900 JYU720900 KIQ720900 KSM720900 LCI720900 LME720900 LWA720900 MFW720900 MPS720900 MZO720900 NJK720900 NTG720900 ODC720900 OMY720900 OWU720900 PGQ720900 PQM720900 QAI720900 QKE720900 QUA720900 RDW720900 RNS720900 RXO720900 SHK720900 SRG720900 TBC720900 TKY720900 TUU720900 UEQ720900 UOM720900 UYI720900 VIE720900 VSA720900 WBW720900 WLS720900 WVO720900 G786436 JC786436 SY786436 ACU786436 AMQ786436 AWM786436 BGI786436 BQE786436 CAA786436 CJW786436 CTS786436 DDO786436 DNK786436 DXG786436 EHC786436 EQY786436 FAU786436 FKQ786436 FUM786436 GEI786436 GOE786436 GYA786436 HHW786436 HRS786436 IBO786436 ILK786436 IVG786436 JFC786436 JOY786436 JYU786436 KIQ786436 KSM786436 LCI786436 LME786436 LWA786436 MFW786436 MPS786436 MZO786436 NJK786436 NTG786436 ODC786436 OMY786436 OWU786436 PGQ786436 PQM786436 QAI786436 QKE786436 QUA786436 RDW786436 RNS786436 RXO786436 SHK786436 SRG786436 TBC786436 TKY786436 TUU786436 UEQ786436 UOM786436 UYI786436 VIE786436 VSA786436 WBW786436 WLS786436 WVO786436 G851972 JC851972 SY851972 ACU851972 AMQ851972 AWM851972 BGI851972 BQE851972 CAA851972 CJW851972 CTS851972 DDO851972 DNK851972 DXG851972 EHC851972 EQY851972 FAU851972 FKQ851972 FUM851972 GEI851972 GOE851972 GYA851972 HHW851972 HRS851972 IBO851972 ILK851972 IVG851972 JFC851972 JOY851972 JYU851972 KIQ851972 KSM851972 LCI851972 LME851972 LWA851972 MFW851972 MPS851972 MZO851972 NJK851972 NTG851972 ODC851972 OMY851972 OWU851972 PGQ851972 PQM851972 QAI851972 QKE851972 QUA851972 RDW851972 RNS851972 RXO851972 SHK851972 SRG851972 TBC851972 TKY851972 TUU851972 UEQ851972 UOM851972 UYI851972 VIE851972 VSA851972 WBW851972 WLS851972 WVO851972 G917508 JC917508 SY917508 ACU917508 AMQ917508 AWM917508 BGI917508 BQE917508 CAA917508 CJW917508 CTS917508 DDO917508 DNK917508 DXG917508 EHC917508 EQY917508 FAU917508 FKQ917508 FUM917508 GEI917508 GOE917508 GYA917508 HHW917508 HRS917508 IBO917508 ILK917508 IVG917508 JFC917508 JOY917508 JYU917508 KIQ917508 KSM917508 LCI917508 LME917508 LWA917508 MFW917508 MPS917508 MZO917508 NJK917508 NTG917508 ODC917508 OMY917508 OWU917508 PGQ917508 PQM917508 QAI917508 QKE917508 QUA917508 RDW917508 RNS917508 RXO917508 SHK917508 SRG917508 TBC917508 TKY917508 TUU917508 UEQ917508 UOM917508 UYI917508 VIE917508 VSA917508 WBW917508 WLS917508 WVO917508 G983044 JC983044 SY983044 ACU983044 AMQ983044 AWM983044 BGI983044 BQE983044 CAA983044 CJW983044 CTS983044 DDO983044 DNK983044 DXG983044 EHC983044 EQY983044 FAU983044 FKQ983044 FUM983044 GEI983044 GOE983044 GYA983044 HHW983044 HRS983044 IBO983044 ILK983044 IVG983044 JFC983044 JOY983044 JYU983044 KIQ983044 KSM983044 LCI983044 LME983044 LWA983044 MFW983044 MPS983044 MZO983044 NJK983044 NTG983044 ODC983044 OMY983044 OWU983044 PGQ983044 PQM983044 QAI983044 QKE983044 QUA983044 RDW983044 RNS983044 RXO983044 SHK983044 SRG983044 TBC983044 TKY983044 TUU983044 UEQ983044 UOM983044 UYI983044 VIE983044 VSA983044 WBW983044 WLS983044"/>
  </dataValidations>
  <pageMargins left="0.7" right="0.7" top="0.75" bottom="0.75" header="0.3" footer="0.3"/>
  <pageSetup scale="58" orientation="portrait" verticalDpi="200" r:id="rId1"/>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3">
    <tabColor rgb="FFFFC000"/>
    <pageSetUpPr fitToPage="1"/>
  </sheetPr>
  <dimension ref="A1:M55"/>
  <sheetViews>
    <sheetView showGridLines="0" zoomScaleNormal="100" workbookViewId="0">
      <selection activeCell="A9" sqref="A9:J9"/>
    </sheetView>
  </sheetViews>
  <sheetFormatPr defaultRowHeight="15" x14ac:dyDescent="0.25"/>
  <cols>
    <col min="1" max="1" width="51.7109375" style="375" customWidth="1"/>
    <col min="2" max="2" width="11" style="375" customWidth="1"/>
    <col min="3" max="6" width="13.7109375" style="375" customWidth="1"/>
    <col min="7" max="7" width="12.7109375" style="375" customWidth="1"/>
    <col min="8" max="8" width="9.42578125" style="375" customWidth="1"/>
    <col min="9" max="9" width="13.7109375" style="375" customWidth="1"/>
    <col min="10" max="10" width="12.42578125" style="375" customWidth="1"/>
    <col min="11" max="11" width="9.28515625" style="375" bestFit="1" customWidth="1"/>
    <col min="12" max="257" width="9.140625" style="375"/>
    <col min="258" max="258" width="51.7109375" style="375" customWidth="1"/>
    <col min="259" max="264" width="9.140625" style="375"/>
    <col min="265" max="265" width="11.28515625" style="375" customWidth="1"/>
    <col min="266" max="513" width="9.140625" style="375"/>
    <col min="514" max="514" width="51.7109375" style="375" customWidth="1"/>
    <col min="515" max="520" width="9.140625" style="375"/>
    <col min="521" max="521" width="11.28515625" style="375" customWidth="1"/>
    <col min="522" max="769" width="9.140625" style="375"/>
    <col min="770" max="770" width="51.7109375" style="375" customWidth="1"/>
    <col min="771" max="776" width="9.140625" style="375"/>
    <col min="777" max="777" width="11.28515625" style="375" customWidth="1"/>
    <col min="778" max="1025" width="9.140625" style="375"/>
    <col min="1026" max="1026" width="51.7109375" style="375" customWidth="1"/>
    <col min="1027" max="1032" width="9.140625" style="375"/>
    <col min="1033" max="1033" width="11.28515625" style="375" customWidth="1"/>
    <col min="1034" max="1281" width="9.140625" style="375"/>
    <col min="1282" max="1282" width="51.7109375" style="375" customWidth="1"/>
    <col min="1283" max="1288" width="9.140625" style="375"/>
    <col min="1289" max="1289" width="11.28515625" style="375" customWidth="1"/>
    <col min="1290" max="1537" width="9.140625" style="375"/>
    <col min="1538" max="1538" width="51.7109375" style="375" customWidth="1"/>
    <col min="1539" max="1544" width="9.140625" style="375"/>
    <col min="1545" max="1545" width="11.28515625" style="375" customWidth="1"/>
    <col min="1546" max="1793" width="9.140625" style="375"/>
    <col min="1794" max="1794" width="51.7109375" style="375" customWidth="1"/>
    <col min="1795" max="1800" width="9.140625" style="375"/>
    <col min="1801" max="1801" width="11.28515625" style="375" customWidth="1"/>
    <col min="1802" max="2049" width="9.140625" style="375"/>
    <col min="2050" max="2050" width="51.7109375" style="375" customWidth="1"/>
    <col min="2051" max="2056" width="9.140625" style="375"/>
    <col min="2057" max="2057" width="11.28515625" style="375" customWidth="1"/>
    <col min="2058" max="2305" width="9.140625" style="375"/>
    <col min="2306" max="2306" width="51.7109375" style="375" customWidth="1"/>
    <col min="2307" max="2312" width="9.140625" style="375"/>
    <col min="2313" max="2313" width="11.28515625" style="375" customWidth="1"/>
    <col min="2314" max="2561" width="9.140625" style="375"/>
    <col min="2562" max="2562" width="51.7109375" style="375" customWidth="1"/>
    <col min="2563" max="2568" width="9.140625" style="375"/>
    <col min="2569" max="2569" width="11.28515625" style="375" customWidth="1"/>
    <col min="2570" max="2817" width="9.140625" style="375"/>
    <col min="2818" max="2818" width="51.7109375" style="375" customWidth="1"/>
    <col min="2819" max="2824" width="9.140625" style="375"/>
    <col min="2825" max="2825" width="11.28515625" style="375" customWidth="1"/>
    <col min="2826" max="3073" width="9.140625" style="375"/>
    <col min="3074" max="3074" width="51.7109375" style="375" customWidth="1"/>
    <col min="3075" max="3080" width="9.140625" style="375"/>
    <col min="3081" max="3081" width="11.28515625" style="375" customWidth="1"/>
    <col min="3082" max="3329" width="9.140625" style="375"/>
    <col min="3330" max="3330" width="51.7109375" style="375" customWidth="1"/>
    <col min="3331" max="3336" width="9.140625" style="375"/>
    <col min="3337" max="3337" width="11.28515625" style="375" customWidth="1"/>
    <col min="3338" max="3585" width="9.140625" style="375"/>
    <col min="3586" max="3586" width="51.7109375" style="375" customWidth="1"/>
    <col min="3587" max="3592" width="9.140625" style="375"/>
    <col min="3593" max="3593" width="11.28515625" style="375" customWidth="1"/>
    <col min="3594" max="3841" width="9.140625" style="375"/>
    <col min="3842" max="3842" width="51.7109375" style="375" customWidth="1"/>
    <col min="3843" max="3848" width="9.140625" style="375"/>
    <col min="3849" max="3849" width="11.28515625" style="375" customWidth="1"/>
    <col min="3850" max="4097" width="9.140625" style="375"/>
    <col min="4098" max="4098" width="51.7109375" style="375" customWidth="1"/>
    <col min="4099" max="4104" width="9.140625" style="375"/>
    <col min="4105" max="4105" width="11.28515625" style="375" customWidth="1"/>
    <col min="4106" max="4353" width="9.140625" style="375"/>
    <col min="4354" max="4354" width="51.7109375" style="375" customWidth="1"/>
    <col min="4355" max="4360" width="9.140625" style="375"/>
    <col min="4361" max="4361" width="11.28515625" style="375" customWidth="1"/>
    <col min="4362" max="4609" width="9.140625" style="375"/>
    <col min="4610" max="4610" width="51.7109375" style="375" customWidth="1"/>
    <col min="4611" max="4616" width="9.140625" style="375"/>
    <col min="4617" max="4617" width="11.28515625" style="375" customWidth="1"/>
    <col min="4618" max="4865" width="9.140625" style="375"/>
    <col min="4866" max="4866" width="51.7109375" style="375" customWidth="1"/>
    <col min="4867" max="4872" width="9.140625" style="375"/>
    <col min="4873" max="4873" width="11.28515625" style="375" customWidth="1"/>
    <col min="4874" max="5121" width="9.140625" style="375"/>
    <col min="5122" max="5122" width="51.7109375" style="375" customWidth="1"/>
    <col min="5123" max="5128" width="9.140625" style="375"/>
    <col min="5129" max="5129" width="11.28515625" style="375" customWidth="1"/>
    <col min="5130" max="5377" width="9.140625" style="375"/>
    <col min="5378" max="5378" width="51.7109375" style="375" customWidth="1"/>
    <col min="5379" max="5384" width="9.140625" style="375"/>
    <col min="5385" max="5385" width="11.28515625" style="375" customWidth="1"/>
    <col min="5386" max="5633" width="9.140625" style="375"/>
    <col min="5634" max="5634" width="51.7109375" style="375" customWidth="1"/>
    <col min="5635" max="5640" width="9.140625" style="375"/>
    <col min="5641" max="5641" width="11.28515625" style="375" customWidth="1"/>
    <col min="5642" max="5889" width="9.140625" style="375"/>
    <col min="5890" max="5890" width="51.7109375" style="375" customWidth="1"/>
    <col min="5891" max="5896" width="9.140625" style="375"/>
    <col min="5897" max="5897" width="11.28515625" style="375" customWidth="1"/>
    <col min="5898" max="6145" width="9.140625" style="375"/>
    <col min="6146" max="6146" width="51.7109375" style="375" customWidth="1"/>
    <col min="6147" max="6152" width="9.140625" style="375"/>
    <col min="6153" max="6153" width="11.28515625" style="375" customWidth="1"/>
    <col min="6154" max="6401" width="9.140625" style="375"/>
    <col min="6402" max="6402" width="51.7109375" style="375" customWidth="1"/>
    <col min="6403" max="6408" width="9.140625" style="375"/>
    <col min="6409" max="6409" width="11.28515625" style="375" customWidth="1"/>
    <col min="6410" max="6657" width="9.140625" style="375"/>
    <col min="6658" max="6658" width="51.7109375" style="375" customWidth="1"/>
    <col min="6659" max="6664" width="9.140625" style="375"/>
    <col min="6665" max="6665" width="11.28515625" style="375" customWidth="1"/>
    <col min="6666" max="6913" width="9.140625" style="375"/>
    <col min="6914" max="6914" width="51.7109375" style="375" customWidth="1"/>
    <col min="6915" max="6920" width="9.140625" style="375"/>
    <col min="6921" max="6921" width="11.28515625" style="375" customWidth="1"/>
    <col min="6922" max="7169" width="9.140625" style="375"/>
    <col min="7170" max="7170" width="51.7109375" style="375" customWidth="1"/>
    <col min="7171" max="7176" width="9.140625" style="375"/>
    <col min="7177" max="7177" width="11.28515625" style="375" customWidth="1"/>
    <col min="7178" max="7425" width="9.140625" style="375"/>
    <col min="7426" max="7426" width="51.7109375" style="375" customWidth="1"/>
    <col min="7427" max="7432" width="9.140625" style="375"/>
    <col min="7433" max="7433" width="11.28515625" style="375" customWidth="1"/>
    <col min="7434" max="7681" width="9.140625" style="375"/>
    <col min="7682" max="7682" width="51.7109375" style="375" customWidth="1"/>
    <col min="7683" max="7688" width="9.140625" style="375"/>
    <col min="7689" max="7689" width="11.28515625" style="375" customWidth="1"/>
    <col min="7690" max="7937" width="9.140625" style="375"/>
    <col min="7938" max="7938" width="51.7109375" style="375" customWidth="1"/>
    <col min="7939" max="7944" width="9.140625" style="375"/>
    <col min="7945" max="7945" width="11.28515625" style="375" customWidth="1"/>
    <col min="7946" max="8193" width="9.140625" style="375"/>
    <col min="8194" max="8194" width="51.7109375" style="375" customWidth="1"/>
    <col min="8195" max="8200" width="9.140625" style="375"/>
    <col min="8201" max="8201" width="11.28515625" style="375" customWidth="1"/>
    <col min="8202" max="8449" width="9.140625" style="375"/>
    <col min="8450" max="8450" width="51.7109375" style="375" customWidth="1"/>
    <col min="8451" max="8456" width="9.140625" style="375"/>
    <col min="8457" max="8457" width="11.28515625" style="375" customWidth="1"/>
    <col min="8458" max="8705" width="9.140625" style="375"/>
    <col min="8706" max="8706" width="51.7109375" style="375" customWidth="1"/>
    <col min="8707" max="8712" width="9.140625" style="375"/>
    <col min="8713" max="8713" width="11.28515625" style="375" customWidth="1"/>
    <col min="8714" max="8961" width="9.140625" style="375"/>
    <col min="8962" max="8962" width="51.7109375" style="375" customWidth="1"/>
    <col min="8963" max="8968" width="9.140625" style="375"/>
    <col min="8969" max="8969" width="11.28515625" style="375" customWidth="1"/>
    <col min="8970" max="9217" width="9.140625" style="375"/>
    <col min="9218" max="9218" width="51.7109375" style="375" customWidth="1"/>
    <col min="9219" max="9224" width="9.140625" style="375"/>
    <col min="9225" max="9225" width="11.28515625" style="375" customWidth="1"/>
    <col min="9226" max="9473" width="9.140625" style="375"/>
    <col min="9474" max="9474" width="51.7109375" style="375" customWidth="1"/>
    <col min="9475" max="9480" width="9.140625" style="375"/>
    <col min="9481" max="9481" width="11.28515625" style="375" customWidth="1"/>
    <col min="9482" max="9729" width="9.140625" style="375"/>
    <col min="9730" max="9730" width="51.7109375" style="375" customWidth="1"/>
    <col min="9731" max="9736" width="9.140625" style="375"/>
    <col min="9737" max="9737" width="11.28515625" style="375" customWidth="1"/>
    <col min="9738" max="9985" width="9.140625" style="375"/>
    <col min="9986" max="9986" width="51.7109375" style="375" customWidth="1"/>
    <col min="9987" max="9992" width="9.140625" style="375"/>
    <col min="9993" max="9993" width="11.28515625" style="375" customWidth="1"/>
    <col min="9994" max="10241" width="9.140625" style="375"/>
    <col min="10242" max="10242" width="51.7109375" style="375" customWidth="1"/>
    <col min="10243" max="10248" width="9.140625" style="375"/>
    <col min="10249" max="10249" width="11.28515625" style="375" customWidth="1"/>
    <col min="10250" max="10497" width="9.140625" style="375"/>
    <col min="10498" max="10498" width="51.7109375" style="375" customWidth="1"/>
    <col min="10499" max="10504" width="9.140625" style="375"/>
    <col min="10505" max="10505" width="11.28515625" style="375" customWidth="1"/>
    <col min="10506" max="10753" width="9.140625" style="375"/>
    <col min="10754" max="10754" width="51.7109375" style="375" customWidth="1"/>
    <col min="10755" max="10760" width="9.140625" style="375"/>
    <col min="10761" max="10761" width="11.28515625" style="375" customWidth="1"/>
    <col min="10762" max="11009" width="9.140625" style="375"/>
    <col min="11010" max="11010" width="51.7109375" style="375" customWidth="1"/>
    <col min="11011" max="11016" width="9.140625" style="375"/>
    <col min="11017" max="11017" width="11.28515625" style="375" customWidth="1"/>
    <col min="11018" max="11265" width="9.140625" style="375"/>
    <col min="11266" max="11266" width="51.7109375" style="375" customWidth="1"/>
    <col min="11267" max="11272" width="9.140625" style="375"/>
    <col min="11273" max="11273" width="11.28515625" style="375" customWidth="1"/>
    <col min="11274" max="11521" width="9.140625" style="375"/>
    <col min="11522" max="11522" width="51.7109375" style="375" customWidth="1"/>
    <col min="11523" max="11528" width="9.140625" style="375"/>
    <col min="11529" max="11529" width="11.28515625" style="375" customWidth="1"/>
    <col min="11530" max="11777" width="9.140625" style="375"/>
    <col min="11778" max="11778" width="51.7109375" style="375" customWidth="1"/>
    <col min="11779" max="11784" width="9.140625" style="375"/>
    <col min="11785" max="11785" width="11.28515625" style="375" customWidth="1"/>
    <col min="11786" max="12033" width="9.140625" style="375"/>
    <col min="12034" max="12034" width="51.7109375" style="375" customWidth="1"/>
    <col min="12035" max="12040" width="9.140625" style="375"/>
    <col min="12041" max="12041" width="11.28515625" style="375" customWidth="1"/>
    <col min="12042" max="12289" width="9.140625" style="375"/>
    <col min="12290" max="12290" width="51.7109375" style="375" customWidth="1"/>
    <col min="12291" max="12296" width="9.140625" style="375"/>
    <col min="12297" max="12297" width="11.28515625" style="375" customWidth="1"/>
    <col min="12298" max="12545" width="9.140625" style="375"/>
    <col min="12546" max="12546" width="51.7109375" style="375" customWidth="1"/>
    <col min="12547" max="12552" width="9.140625" style="375"/>
    <col min="12553" max="12553" width="11.28515625" style="375" customWidth="1"/>
    <col min="12554" max="12801" width="9.140625" style="375"/>
    <col min="12802" max="12802" width="51.7109375" style="375" customWidth="1"/>
    <col min="12803" max="12808" width="9.140625" style="375"/>
    <col min="12809" max="12809" width="11.28515625" style="375" customWidth="1"/>
    <col min="12810" max="13057" width="9.140625" style="375"/>
    <col min="13058" max="13058" width="51.7109375" style="375" customWidth="1"/>
    <col min="13059" max="13064" width="9.140625" style="375"/>
    <col min="13065" max="13065" width="11.28515625" style="375" customWidth="1"/>
    <col min="13066" max="13313" width="9.140625" style="375"/>
    <col min="13314" max="13314" width="51.7109375" style="375" customWidth="1"/>
    <col min="13315" max="13320" width="9.140625" style="375"/>
    <col min="13321" max="13321" width="11.28515625" style="375" customWidth="1"/>
    <col min="13322" max="13569" width="9.140625" style="375"/>
    <col min="13570" max="13570" width="51.7109375" style="375" customWidth="1"/>
    <col min="13571" max="13576" width="9.140625" style="375"/>
    <col min="13577" max="13577" width="11.28515625" style="375" customWidth="1"/>
    <col min="13578" max="13825" width="9.140625" style="375"/>
    <col min="13826" max="13826" width="51.7109375" style="375" customWidth="1"/>
    <col min="13827" max="13832" width="9.140625" style="375"/>
    <col min="13833" max="13833" width="11.28515625" style="375" customWidth="1"/>
    <col min="13834" max="14081" width="9.140625" style="375"/>
    <col min="14082" max="14082" width="51.7109375" style="375" customWidth="1"/>
    <col min="14083" max="14088" width="9.140625" style="375"/>
    <col min="14089" max="14089" width="11.28515625" style="375" customWidth="1"/>
    <col min="14090" max="14337" width="9.140625" style="375"/>
    <col min="14338" max="14338" width="51.7109375" style="375" customWidth="1"/>
    <col min="14339" max="14344" width="9.140625" style="375"/>
    <col min="14345" max="14345" width="11.28515625" style="375" customWidth="1"/>
    <col min="14346" max="14593" width="9.140625" style="375"/>
    <col min="14594" max="14594" width="51.7109375" style="375" customWidth="1"/>
    <col min="14595" max="14600" width="9.140625" style="375"/>
    <col min="14601" max="14601" width="11.28515625" style="375" customWidth="1"/>
    <col min="14602" max="14849" width="9.140625" style="375"/>
    <col min="14850" max="14850" width="51.7109375" style="375" customWidth="1"/>
    <col min="14851" max="14856" width="9.140625" style="375"/>
    <col min="14857" max="14857" width="11.28515625" style="375" customWidth="1"/>
    <col min="14858" max="15105" width="9.140625" style="375"/>
    <col min="15106" max="15106" width="51.7109375" style="375" customWidth="1"/>
    <col min="15107" max="15112" width="9.140625" style="375"/>
    <col min="15113" max="15113" width="11.28515625" style="375" customWidth="1"/>
    <col min="15114" max="15361" width="9.140625" style="375"/>
    <col min="15362" max="15362" width="51.7109375" style="375" customWidth="1"/>
    <col min="15363" max="15368" width="9.140625" style="375"/>
    <col min="15369" max="15369" width="11.28515625" style="375" customWidth="1"/>
    <col min="15370" max="15617" width="9.140625" style="375"/>
    <col min="15618" max="15618" width="51.7109375" style="375" customWidth="1"/>
    <col min="15619" max="15624" width="9.140625" style="375"/>
    <col min="15625" max="15625" width="11.28515625" style="375" customWidth="1"/>
    <col min="15626" max="15873" width="9.140625" style="375"/>
    <col min="15874" max="15874" width="51.7109375" style="375" customWidth="1"/>
    <col min="15875" max="15880" width="9.140625" style="375"/>
    <col min="15881" max="15881" width="11.28515625" style="375" customWidth="1"/>
    <col min="15882" max="16129" width="9.140625" style="375"/>
    <col min="16130" max="16130" width="51.7109375" style="375" customWidth="1"/>
    <col min="16131" max="16136" width="9.140625" style="375"/>
    <col min="16137" max="16137" width="11.28515625" style="375" customWidth="1"/>
    <col min="16138" max="16384" width="9.140625" style="375"/>
  </cols>
  <sheetData>
    <row r="1" spans="1:13" x14ac:dyDescent="0.25">
      <c r="A1" s="52"/>
      <c r="B1" s="155"/>
      <c r="C1" s="155"/>
      <c r="D1" s="155"/>
      <c r="E1" s="155"/>
      <c r="F1" s="155"/>
      <c r="G1" s="155"/>
      <c r="H1" s="52"/>
      <c r="I1" s="152" t="s">
        <v>301</v>
      </c>
      <c r="J1" s="1092" t="str">
        <f>EBNUMBER</f>
        <v>EB-2016-0066</v>
      </c>
    </row>
    <row r="2" spans="1:13" x14ac:dyDescent="0.25">
      <c r="A2" s="52"/>
      <c r="B2" s="155"/>
      <c r="C2" s="155"/>
      <c r="D2" s="155"/>
      <c r="E2" s="155"/>
      <c r="F2" s="155"/>
      <c r="G2" s="155"/>
      <c r="H2" s="52"/>
      <c r="I2" s="152" t="s">
        <v>302</v>
      </c>
      <c r="J2" s="51"/>
    </row>
    <row r="3" spans="1:13" x14ac:dyDescent="0.25">
      <c r="A3" s="52"/>
      <c r="B3" s="155"/>
      <c r="C3" s="155"/>
      <c r="D3" s="155"/>
      <c r="E3" s="155"/>
      <c r="F3" s="155"/>
      <c r="G3" s="155"/>
      <c r="H3" s="52"/>
      <c r="I3" s="152" t="s">
        <v>303</v>
      </c>
      <c r="J3" s="51"/>
    </row>
    <row r="4" spans="1:13" x14ac:dyDescent="0.25">
      <c r="A4" s="52"/>
      <c r="B4" s="155"/>
      <c r="C4" s="155"/>
      <c r="D4" s="155"/>
      <c r="E4" s="155"/>
      <c r="F4" s="155"/>
      <c r="G4" s="155"/>
      <c r="H4" s="52"/>
      <c r="I4" s="152" t="s">
        <v>304</v>
      </c>
      <c r="J4" s="51"/>
    </row>
    <row r="5" spans="1:13" x14ac:dyDescent="0.25">
      <c r="A5" s="52"/>
      <c r="B5" s="155"/>
      <c r="C5" s="155"/>
      <c r="D5" s="155"/>
      <c r="E5" s="155"/>
      <c r="F5" s="155"/>
      <c r="G5" s="155"/>
      <c r="H5" s="52"/>
      <c r="I5" s="152" t="s">
        <v>305</v>
      </c>
      <c r="J5" s="1093"/>
    </row>
    <row r="6" spans="1:13" x14ac:dyDescent="0.25">
      <c r="A6" s="52"/>
      <c r="B6" s="155"/>
      <c r="C6" s="155"/>
      <c r="D6" s="155"/>
      <c r="E6" s="155"/>
      <c r="F6" s="155"/>
      <c r="G6" s="155"/>
      <c r="H6" s="52"/>
      <c r="I6" s="152"/>
      <c r="J6" s="1092"/>
    </row>
    <row r="7" spans="1:13" x14ac:dyDescent="0.25">
      <c r="A7" s="52"/>
      <c r="B7" s="155"/>
      <c r="C7" s="155"/>
      <c r="D7" s="155"/>
      <c r="E7" s="155"/>
      <c r="F7" s="155"/>
      <c r="G7" s="155"/>
      <c r="H7" s="52"/>
      <c r="I7" s="152" t="s">
        <v>306</v>
      </c>
      <c r="J7" s="1093"/>
    </row>
    <row r="8" spans="1:13" x14ac:dyDescent="0.25">
      <c r="A8" s="52"/>
      <c r="B8" s="52"/>
      <c r="C8" s="52"/>
      <c r="D8" s="52"/>
      <c r="E8" s="52"/>
      <c r="F8" s="52"/>
      <c r="G8" s="52"/>
      <c r="H8" s="52"/>
      <c r="I8" s="52"/>
      <c r="J8" s="52"/>
    </row>
    <row r="9" spans="1:13" ht="18" x14ac:dyDescent="0.25">
      <c r="A9" s="1591" t="s">
        <v>1450</v>
      </c>
      <c r="B9" s="1728"/>
      <c r="C9" s="1728"/>
      <c r="D9" s="1728"/>
      <c r="E9" s="1728"/>
      <c r="F9" s="1728"/>
      <c r="G9" s="1728"/>
      <c r="H9" s="1728"/>
      <c r="I9" s="1728"/>
      <c r="J9" s="1728"/>
    </row>
    <row r="10" spans="1:13" ht="18" x14ac:dyDescent="0.25">
      <c r="A10" s="1591" t="s">
        <v>512</v>
      </c>
      <c r="B10" s="1729"/>
      <c r="C10" s="1729"/>
      <c r="D10" s="1729"/>
      <c r="E10" s="1729"/>
      <c r="F10" s="1729"/>
      <c r="G10" s="1729"/>
      <c r="H10" s="1729"/>
      <c r="I10" s="1729"/>
      <c r="J10" s="1729"/>
    </row>
    <row r="11" spans="1:13" ht="18" x14ac:dyDescent="0.25">
      <c r="A11" s="1591" t="s">
        <v>517</v>
      </c>
      <c r="B11" s="1729"/>
      <c r="C11" s="1729"/>
      <c r="D11" s="1729"/>
      <c r="E11" s="1729"/>
      <c r="F11" s="1729"/>
      <c r="G11" s="1729"/>
      <c r="H11" s="1729"/>
      <c r="I11" s="1729"/>
      <c r="J11" s="1729"/>
    </row>
    <row r="12" spans="1:13" x14ac:dyDescent="0.25">
      <c r="A12" s="52"/>
      <c r="B12" s="52"/>
      <c r="C12" s="52"/>
      <c r="D12" s="52"/>
      <c r="E12" s="52"/>
      <c r="F12" s="52"/>
      <c r="G12" s="52"/>
      <c r="H12" s="52"/>
      <c r="I12" s="52"/>
      <c r="J12" s="52"/>
    </row>
    <row r="13" spans="1:13" s="376" customFormat="1" ht="36" customHeight="1" x14ac:dyDescent="0.25">
      <c r="A13" s="1742" t="s">
        <v>1119</v>
      </c>
      <c r="B13" s="1742"/>
      <c r="C13" s="1742"/>
      <c r="D13" s="1742"/>
      <c r="E13" s="1742"/>
      <c r="F13" s="1742"/>
      <c r="G13" s="1742"/>
      <c r="H13" s="1742"/>
      <c r="I13" s="1742"/>
      <c r="J13" s="1742"/>
      <c r="K13" s="333"/>
      <c r="L13" s="333"/>
      <c r="M13" s="333"/>
    </row>
    <row r="14" spans="1:13" x14ac:dyDescent="0.25">
      <c r="A14" s="377"/>
      <c r="B14" s="377"/>
      <c r="C14" s="377"/>
      <c r="D14" s="377"/>
      <c r="E14" s="377"/>
      <c r="F14" s="377"/>
      <c r="G14" s="377"/>
      <c r="H14" s="377"/>
      <c r="I14" s="377"/>
      <c r="J14" s="377"/>
      <c r="K14" s="378"/>
      <c r="L14" s="378"/>
    </row>
    <row r="15" spans="1:13" x14ac:dyDescent="0.25">
      <c r="A15" s="1730"/>
      <c r="B15" s="1730"/>
      <c r="C15" s="1730"/>
      <c r="D15" s="1730"/>
      <c r="E15" s="1730"/>
      <c r="F15" s="1730"/>
      <c r="G15" s="1730"/>
      <c r="H15" s="1730"/>
      <c r="I15" s="1730"/>
      <c r="J15" s="1730"/>
      <c r="K15" s="378"/>
      <c r="L15" s="378"/>
    </row>
    <row r="16" spans="1:13" x14ac:dyDescent="0.25">
      <c r="A16" s="377"/>
      <c r="B16" s="377"/>
      <c r="C16" s="377"/>
      <c r="D16" s="377"/>
      <c r="E16" s="377"/>
      <c r="F16" s="377"/>
      <c r="G16" s="377"/>
      <c r="H16" s="377"/>
      <c r="I16" s="377"/>
      <c r="J16" s="377"/>
      <c r="K16" s="378"/>
      <c r="L16" s="378"/>
    </row>
    <row r="17" spans="1:8" ht="39" x14ac:dyDescent="0.25">
      <c r="A17" s="377"/>
      <c r="B17" s="379" t="s">
        <v>1091</v>
      </c>
      <c r="C17" s="379">
        <v>2013</v>
      </c>
      <c r="D17" s="379">
        <v>2014</v>
      </c>
      <c r="E17" s="379">
        <v>2015</v>
      </c>
      <c r="F17" s="379">
        <v>2016</v>
      </c>
      <c r="G17" s="379" t="s">
        <v>1090</v>
      </c>
      <c r="H17" s="378"/>
    </row>
    <row r="18" spans="1:8" ht="25.5" x14ac:dyDescent="0.25">
      <c r="A18" s="380" t="s">
        <v>103</v>
      </c>
      <c r="B18" s="381" t="s">
        <v>104</v>
      </c>
      <c r="C18" s="381" t="s">
        <v>104</v>
      </c>
      <c r="D18" s="381" t="s">
        <v>104</v>
      </c>
      <c r="E18" s="382" t="s">
        <v>1105</v>
      </c>
      <c r="F18" s="381" t="s">
        <v>105</v>
      </c>
      <c r="G18" s="382" t="s">
        <v>105</v>
      </c>
      <c r="H18" s="378"/>
    </row>
    <row r="19" spans="1:8" x14ac:dyDescent="0.25">
      <c r="A19" s="380"/>
      <c r="B19" s="381" t="s">
        <v>413</v>
      </c>
      <c r="C19" s="381" t="s">
        <v>413</v>
      </c>
      <c r="D19" s="381" t="s">
        <v>413</v>
      </c>
      <c r="E19" s="381" t="s">
        <v>413</v>
      </c>
      <c r="F19" s="381" t="s">
        <v>86</v>
      </c>
      <c r="G19" s="381" t="s">
        <v>86</v>
      </c>
      <c r="H19" s="378"/>
    </row>
    <row r="20" spans="1:8" x14ac:dyDescent="0.25">
      <c r="A20" s="377"/>
      <c r="B20" s="1114"/>
      <c r="C20" s="384" t="s">
        <v>170</v>
      </c>
      <c r="D20" s="384" t="s">
        <v>170</v>
      </c>
      <c r="E20" s="384"/>
      <c r="F20" s="384" t="s">
        <v>170</v>
      </c>
      <c r="G20" s="384"/>
      <c r="H20" s="378"/>
    </row>
    <row r="21" spans="1:8" x14ac:dyDescent="0.25">
      <c r="A21" s="380" t="s">
        <v>514</v>
      </c>
      <c r="B21" s="1726"/>
      <c r="C21" s="1726"/>
      <c r="D21" s="1726"/>
      <c r="E21" s="1726"/>
      <c r="F21" s="1726"/>
      <c r="G21" s="1727"/>
      <c r="H21" s="378"/>
    </row>
    <row r="22" spans="1:8" x14ac:dyDescent="0.25">
      <c r="A22" s="383" t="s">
        <v>415</v>
      </c>
      <c r="B22" s="409"/>
      <c r="C22" s="386"/>
      <c r="D22" s="389">
        <f>+C25</f>
        <v>0</v>
      </c>
      <c r="E22" s="389">
        <f>+D25</f>
        <v>0</v>
      </c>
      <c r="F22" s="389">
        <f>+D25</f>
        <v>0</v>
      </c>
      <c r="G22" s="385"/>
      <c r="H22" s="378"/>
    </row>
    <row r="23" spans="1:8" x14ac:dyDescent="0.25">
      <c r="A23" s="383" t="s">
        <v>730</v>
      </c>
      <c r="B23" s="409"/>
      <c r="C23" s="386"/>
      <c r="D23" s="386"/>
      <c r="E23" s="386"/>
      <c r="F23" s="410"/>
      <c r="G23" s="385"/>
      <c r="H23" s="378"/>
    </row>
    <row r="24" spans="1:8" x14ac:dyDescent="0.25">
      <c r="A24" s="383" t="s">
        <v>731</v>
      </c>
      <c r="B24" s="409"/>
      <c r="C24" s="386"/>
      <c r="D24" s="386"/>
      <c r="E24" s="386"/>
      <c r="F24" s="410"/>
      <c r="G24" s="385"/>
      <c r="H24" s="378"/>
    </row>
    <row r="25" spans="1:8" x14ac:dyDescent="0.25">
      <c r="A25" s="388" t="s">
        <v>416</v>
      </c>
      <c r="B25" s="409"/>
      <c r="C25" s="389">
        <f>C22+C23+C24</f>
        <v>0</v>
      </c>
      <c r="D25" s="389">
        <f>D22+D23+D24</f>
        <v>0</v>
      </c>
      <c r="E25" s="389">
        <f>E22+E23+E24</f>
        <v>0</v>
      </c>
      <c r="F25" s="389">
        <f>F22+F23+F24</f>
        <v>0</v>
      </c>
      <c r="G25" s="385"/>
      <c r="H25" s="378"/>
    </row>
    <row r="26" spans="1:8" x14ac:dyDescent="0.25">
      <c r="A26" s="377"/>
      <c r="B26" s="1734"/>
      <c r="C26" s="1734"/>
      <c r="D26" s="1734"/>
      <c r="E26" s="1734"/>
      <c r="F26" s="1734"/>
      <c r="G26" s="1735"/>
      <c r="H26" s="378"/>
    </row>
    <row r="27" spans="1:8" x14ac:dyDescent="0.25">
      <c r="A27" s="390" t="s">
        <v>515</v>
      </c>
      <c r="B27" s="1737"/>
      <c r="C27" s="1737"/>
      <c r="D27" s="1737"/>
      <c r="E27" s="1737"/>
      <c r="F27" s="1737"/>
      <c r="G27" s="1738"/>
      <c r="H27" s="378"/>
    </row>
    <row r="28" spans="1:8" x14ac:dyDescent="0.25">
      <c r="A28" s="383" t="s">
        <v>417</v>
      </c>
      <c r="B28" s="385"/>
      <c r="C28" s="391"/>
      <c r="D28" s="389">
        <f>+C31</f>
        <v>0</v>
      </c>
      <c r="E28" s="389">
        <f>+D31</f>
        <v>0</v>
      </c>
      <c r="F28" s="389">
        <f>+D31</f>
        <v>0</v>
      </c>
      <c r="G28" s="385"/>
      <c r="H28" s="378"/>
    </row>
    <row r="29" spans="1:8" x14ac:dyDescent="0.25">
      <c r="A29" s="383" t="s">
        <v>730</v>
      </c>
      <c r="B29" s="385"/>
      <c r="C29" s="391"/>
      <c r="D29" s="391"/>
      <c r="E29" s="391"/>
      <c r="F29" s="410"/>
      <c r="G29" s="385"/>
      <c r="H29" s="378"/>
    </row>
    <row r="30" spans="1:8" x14ac:dyDescent="0.25">
      <c r="A30" s="383" t="s">
        <v>731</v>
      </c>
      <c r="B30" s="385"/>
      <c r="C30" s="391"/>
      <c r="D30" s="391"/>
      <c r="E30" s="391"/>
      <c r="F30" s="410"/>
      <c r="G30" s="385"/>
      <c r="H30" s="378"/>
    </row>
    <row r="31" spans="1:8" x14ac:dyDescent="0.25">
      <c r="A31" s="388" t="s">
        <v>418</v>
      </c>
      <c r="B31" s="385"/>
      <c r="C31" s="389">
        <f>SUM(C28:C30)</f>
        <v>0</v>
      </c>
      <c r="D31" s="389">
        <f>SUM(D28:D30)</f>
        <v>0</v>
      </c>
      <c r="E31" s="389">
        <f>SUM(E28:E30)</f>
        <v>0</v>
      </c>
      <c r="F31" s="389">
        <f>SUM(F28:F30)</f>
        <v>0</v>
      </c>
      <c r="G31" s="385"/>
      <c r="H31" s="378"/>
    </row>
    <row r="32" spans="1:8" x14ac:dyDescent="0.25">
      <c r="A32" s="377"/>
      <c r="B32" s="1726"/>
      <c r="C32" s="1726"/>
      <c r="D32" s="1726"/>
      <c r="E32" s="1726"/>
      <c r="F32" s="1726"/>
      <c r="G32" s="1727"/>
      <c r="H32" s="378"/>
    </row>
    <row r="33" spans="1:12" ht="26.25" x14ac:dyDescent="0.25">
      <c r="A33" s="392" t="s">
        <v>737</v>
      </c>
      <c r="B33" s="385"/>
      <c r="C33" s="393">
        <f>C25-C31</f>
        <v>0</v>
      </c>
      <c r="D33" s="393">
        <f>D25-D31</f>
        <v>0</v>
      </c>
      <c r="E33" s="393">
        <f>E25-E31</f>
        <v>0</v>
      </c>
      <c r="F33" s="393">
        <f>F25-F31</f>
        <v>0</v>
      </c>
      <c r="G33" s="385"/>
      <c r="H33" s="378"/>
    </row>
    <row r="34" spans="1:12" x14ac:dyDescent="0.25">
      <c r="A34" s="380"/>
      <c r="B34" s="377"/>
      <c r="C34" s="394"/>
      <c r="D34" s="394"/>
      <c r="E34" s="394"/>
      <c r="F34" s="394"/>
      <c r="G34" s="394"/>
      <c r="H34" s="394"/>
      <c r="I34" s="394"/>
      <c r="J34" s="377"/>
      <c r="K34" s="378"/>
      <c r="L34" s="378"/>
    </row>
    <row r="35" spans="1:12" x14ac:dyDescent="0.25">
      <c r="A35" s="380"/>
      <c r="B35" s="377"/>
      <c r="C35" s="394"/>
      <c r="D35" s="394"/>
      <c r="E35" s="394"/>
      <c r="F35" s="394"/>
      <c r="G35" s="394"/>
      <c r="H35" s="394"/>
      <c r="I35" s="394"/>
      <c r="J35" s="377"/>
      <c r="K35" s="378"/>
      <c r="L35" s="378"/>
    </row>
    <row r="36" spans="1:12" x14ac:dyDescent="0.25">
      <c r="A36" s="380" t="s">
        <v>732</v>
      </c>
      <c r="B36" s="377"/>
      <c r="C36" s="394"/>
      <c r="D36" s="394"/>
      <c r="E36" s="394"/>
      <c r="F36" s="394"/>
      <c r="G36" s="394"/>
      <c r="H36" s="394"/>
      <c r="I36" s="394"/>
      <c r="J36" s="377"/>
      <c r="K36" s="378"/>
      <c r="L36" s="378"/>
    </row>
    <row r="37" spans="1:12" s="400" customFormat="1" x14ac:dyDescent="0.25">
      <c r="A37" s="395" t="s">
        <v>738</v>
      </c>
      <c r="B37" s="396"/>
      <c r="C37" s="396"/>
      <c r="D37" s="396"/>
      <c r="E37" s="396"/>
      <c r="F37" s="396"/>
      <c r="G37" s="397">
        <f>IF(ISERROR(F33), 0, F33)</f>
        <v>0</v>
      </c>
      <c r="H37" s="377"/>
      <c r="I37" s="398" t="s">
        <v>420</v>
      </c>
      <c r="J37" s="399"/>
      <c r="K37" s="378"/>
      <c r="L37" s="378"/>
    </row>
    <row r="38" spans="1:12" s="400" customFormat="1" ht="26.25" x14ac:dyDescent="0.25">
      <c r="A38" s="395" t="s">
        <v>739</v>
      </c>
      <c r="B38" s="396"/>
      <c r="C38" s="396"/>
      <c r="D38" s="396"/>
      <c r="E38" s="396"/>
      <c r="F38" s="396"/>
      <c r="G38" s="397">
        <f>F33*J37*J38</f>
        <v>0</v>
      </c>
      <c r="H38" s="1739" t="s">
        <v>733</v>
      </c>
      <c r="I38" s="1739"/>
      <c r="J38" s="1740"/>
      <c r="K38" s="401"/>
      <c r="L38" s="378"/>
    </row>
    <row r="39" spans="1:12" x14ac:dyDescent="0.25">
      <c r="A39" s="402" t="s">
        <v>734</v>
      </c>
      <c r="B39" s="403"/>
      <c r="C39" s="403"/>
      <c r="D39" s="403"/>
      <c r="E39" s="403"/>
      <c r="F39" s="403"/>
      <c r="G39" s="404">
        <f>G37+G38</f>
        <v>0</v>
      </c>
      <c r="H39" s="1739"/>
      <c r="I39" s="1739"/>
      <c r="J39" s="1741"/>
      <c r="K39" s="378"/>
      <c r="L39" s="378"/>
    </row>
    <row r="40" spans="1:12" x14ac:dyDescent="0.25">
      <c r="A40" s="380"/>
      <c r="B40" s="377"/>
      <c r="C40" s="377"/>
      <c r="D40" s="377"/>
      <c r="E40" s="377"/>
      <c r="F40" s="377"/>
      <c r="G40" s="411"/>
      <c r="H40" s="377"/>
      <c r="I40" s="377"/>
      <c r="J40" s="377"/>
      <c r="K40" s="378"/>
      <c r="L40" s="378"/>
    </row>
    <row r="41" spans="1:12" x14ac:dyDescent="0.25">
      <c r="A41" s="380" t="s">
        <v>11</v>
      </c>
      <c r="B41" s="377"/>
      <c r="C41" s="377"/>
      <c r="D41" s="377"/>
      <c r="E41" s="377"/>
      <c r="F41" s="377"/>
      <c r="G41" s="377"/>
      <c r="H41" s="377"/>
      <c r="I41" s="377"/>
      <c r="J41" s="377"/>
      <c r="K41" s="378"/>
      <c r="L41" s="378"/>
    </row>
    <row r="42" spans="1:12" ht="27.75" customHeight="1" x14ac:dyDescent="0.25">
      <c r="A42" s="1743" t="s">
        <v>518</v>
      </c>
      <c r="B42" s="1743"/>
      <c r="C42" s="1743"/>
      <c r="D42" s="1743"/>
      <c r="E42" s="1743"/>
      <c r="F42" s="1743"/>
      <c r="G42" s="1743"/>
      <c r="H42" s="1743"/>
      <c r="I42" s="1743"/>
      <c r="J42" s="1743"/>
      <c r="K42" s="1743"/>
      <c r="L42" s="378"/>
    </row>
    <row r="43" spans="1:12" x14ac:dyDescent="0.25">
      <c r="A43" s="377" t="s">
        <v>740</v>
      </c>
      <c r="B43" s="377"/>
      <c r="C43" s="377"/>
      <c r="D43" s="377"/>
      <c r="E43" s="377"/>
      <c r="F43" s="377"/>
      <c r="G43" s="377"/>
      <c r="H43" s="377"/>
      <c r="I43" s="377"/>
      <c r="J43" s="377"/>
      <c r="K43" s="378"/>
      <c r="L43" s="378"/>
    </row>
    <row r="44" spans="1:12" x14ac:dyDescent="0.25">
      <c r="A44" s="377" t="s">
        <v>1093</v>
      </c>
      <c r="B44" s="377"/>
      <c r="C44" s="377"/>
      <c r="D44" s="377"/>
      <c r="E44" s="377"/>
      <c r="F44" s="377"/>
      <c r="G44" s="377"/>
      <c r="H44" s="377"/>
      <c r="I44" s="377"/>
      <c r="J44" s="377"/>
      <c r="K44" s="378"/>
      <c r="L44" s="378"/>
    </row>
    <row r="45" spans="1:12" x14ac:dyDescent="0.25">
      <c r="A45" s="377" t="s">
        <v>421</v>
      </c>
      <c r="B45" s="377"/>
      <c r="C45" s="377"/>
      <c r="D45" s="377"/>
      <c r="E45" s="377"/>
      <c r="F45" s="377"/>
      <c r="G45" s="377"/>
      <c r="H45" s="377"/>
      <c r="I45" s="377"/>
      <c r="J45" s="377"/>
      <c r="K45" s="378"/>
      <c r="L45" s="378"/>
    </row>
    <row r="46" spans="1:12" x14ac:dyDescent="0.25">
      <c r="A46" s="1732" t="s">
        <v>741</v>
      </c>
      <c r="B46" s="1732"/>
      <c r="C46" s="1732"/>
      <c r="D46" s="1732"/>
      <c r="E46" s="1732"/>
      <c r="F46" s="1732"/>
      <c r="G46" s="1732"/>
      <c r="H46" s="1732"/>
      <c r="I46" s="1732"/>
      <c r="J46" s="377"/>
      <c r="K46" s="378"/>
      <c r="L46" s="378"/>
    </row>
    <row r="47" spans="1:12" x14ac:dyDescent="0.25">
      <c r="A47" s="377" t="s">
        <v>866</v>
      </c>
      <c r="B47" s="378"/>
      <c r="C47" s="378"/>
      <c r="D47" s="378"/>
      <c r="E47" s="378"/>
      <c r="F47" s="378"/>
      <c r="G47" s="378"/>
      <c r="H47" s="378"/>
      <c r="I47" s="378"/>
      <c r="J47" s="377"/>
      <c r="K47" s="378"/>
      <c r="L47" s="378"/>
    </row>
    <row r="48" spans="1:12" x14ac:dyDescent="0.25">
      <c r="A48" s="377" t="s">
        <v>1106</v>
      </c>
      <c r="B48" s="377"/>
      <c r="C48" s="377"/>
      <c r="D48" s="377"/>
      <c r="E48" s="377"/>
      <c r="F48" s="377"/>
      <c r="G48" s="377"/>
      <c r="H48" s="377"/>
      <c r="I48" s="377"/>
      <c r="J48" s="377"/>
      <c r="K48" s="378"/>
      <c r="L48" s="378"/>
    </row>
    <row r="49" spans="1:12" x14ac:dyDescent="0.25">
      <c r="A49" s="377"/>
      <c r="B49" s="377"/>
      <c r="C49" s="377"/>
      <c r="D49" s="377"/>
      <c r="E49" s="377"/>
      <c r="F49" s="377"/>
      <c r="G49" s="377"/>
      <c r="H49" s="377"/>
      <c r="I49" s="377"/>
      <c r="J49" s="377"/>
      <c r="K49" s="378"/>
      <c r="L49" s="378"/>
    </row>
    <row r="50" spans="1:12" x14ac:dyDescent="0.25">
      <c r="A50" s="377"/>
      <c r="B50" s="377"/>
      <c r="C50" s="377"/>
      <c r="D50" s="377"/>
      <c r="E50" s="377"/>
      <c r="F50" s="377"/>
      <c r="G50" s="377"/>
      <c r="H50" s="377"/>
      <c r="I50" s="377"/>
      <c r="J50" s="377"/>
      <c r="K50" s="378"/>
      <c r="L50" s="378"/>
    </row>
    <row r="51" spans="1:12" x14ac:dyDescent="0.25">
      <c r="A51" s="377"/>
      <c r="B51" s="377"/>
      <c r="C51" s="377"/>
      <c r="D51" s="377"/>
      <c r="E51" s="377"/>
      <c r="F51" s="377"/>
      <c r="G51" s="377"/>
      <c r="H51" s="377"/>
      <c r="I51" s="377"/>
      <c r="J51" s="377"/>
      <c r="K51" s="378"/>
      <c r="L51" s="378"/>
    </row>
    <row r="52" spans="1:12" x14ac:dyDescent="0.25">
      <c r="A52" s="377"/>
      <c r="B52" s="377"/>
      <c r="C52" s="377"/>
      <c r="D52" s="377"/>
      <c r="E52" s="377"/>
      <c r="F52" s="377"/>
      <c r="G52" s="377"/>
      <c r="H52" s="377"/>
      <c r="I52" s="377"/>
      <c r="J52" s="377"/>
      <c r="K52" s="378"/>
      <c r="L52" s="378"/>
    </row>
    <row r="53" spans="1:12" x14ac:dyDescent="0.25">
      <c r="A53" s="377"/>
      <c r="B53" s="377"/>
      <c r="C53" s="377"/>
      <c r="D53" s="377"/>
      <c r="E53" s="377"/>
      <c r="F53" s="377"/>
      <c r="G53" s="377"/>
      <c r="H53" s="377"/>
      <c r="I53" s="377"/>
      <c r="J53" s="377"/>
      <c r="K53" s="378"/>
      <c r="L53" s="378"/>
    </row>
    <row r="54" spans="1:12" x14ac:dyDescent="0.25">
      <c r="A54" s="377"/>
      <c r="B54" s="377"/>
      <c r="C54" s="377"/>
      <c r="D54" s="377"/>
      <c r="E54" s="377"/>
      <c r="F54" s="377"/>
      <c r="G54" s="377"/>
      <c r="H54" s="377"/>
      <c r="I54" s="377"/>
      <c r="J54" s="377"/>
      <c r="K54" s="378"/>
      <c r="L54" s="378"/>
    </row>
    <row r="55" spans="1:12" x14ac:dyDescent="0.25">
      <c r="A55" s="377"/>
      <c r="B55" s="378"/>
      <c r="C55" s="378"/>
      <c r="D55" s="378"/>
      <c r="E55" s="378"/>
      <c r="F55" s="378"/>
      <c r="G55" s="378"/>
      <c r="H55" s="378"/>
      <c r="I55" s="378"/>
      <c r="J55" s="378"/>
      <c r="K55" s="378"/>
      <c r="L55" s="378"/>
    </row>
  </sheetData>
  <mergeCells count="12">
    <mergeCell ref="A46:I46"/>
    <mergeCell ref="B21:G21"/>
    <mergeCell ref="B26:G27"/>
    <mergeCell ref="B32:G32"/>
    <mergeCell ref="H38:I39"/>
    <mergeCell ref="J38:J39"/>
    <mergeCell ref="A42:K42"/>
    <mergeCell ref="A9:J9"/>
    <mergeCell ref="A10:J10"/>
    <mergeCell ref="A11:J11"/>
    <mergeCell ref="A13:J13"/>
    <mergeCell ref="A15:J15"/>
  </mergeCells>
  <dataValidations count="1">
    <dataValidation allowBlank="1" showInputMessage="1" showErrorMessage="1" promptTitle="Date Format" prompt="E.g:  &quot;August 1, 2011&quot;" sqref="WVN983044 JB7 SX7 ACT7 AMP7 AWL7 BGH7 BQD7 BZZ7 CJV7 CTR7 DDN7 DNJ7 DXF7 EHB7 EQX7 FAT7 FKP7 FUL7 GEH7 GOD7 GXZ7 HHV7 HRR7 IBN7 ILJ7 IVF7 JFB7 JOX7 JYT7 KIP7 KSL7 LCH7 LMD7 LVZ7 MFV7 MPR7 MZN7 NJJ7 NTF7 ODB7 OMX7 OWT7 PGP7 PQL7 QAH7 QKD7 QTZ7 RDV7 RNR7 RXN7 SHJ7 SRF7 TBB7 TKX7 TUT7 UEP7 UOL7 UYH7 VID7 VRZ7 WBV7 WLR7 WVN7 F65540 JB65540 SX65540 ACT65540 AMP65540 AWL65540 BGH65540 BQD65540 BZZ65540 CJV65540 CTR65540 DDN65540 DNJ65540 DXF65540 EHB65540 EQX65540 FAT65540 FKP65540 FUL65540 GEH65540 GOD65540 GXZ65540 HHV65540 HRR65540 IBN65540 ILJ65540 IVF65540 JFB65540 JOX65540 JYT65540 KIP65540 KSL65540 LCH65540 LMD65540 LVZ65540 MFV65540 MPR65540 MZN65540 NJJ65540 NTF65540 ODB65540 OMX65540 OWT65540 PGP65540 PQL65540 QAH65540 QKD65540 QTZ65540 RDV65540 RNR65540 RXN65540 SHJ65540 SRF65540 TBB65540 TKX65540 TUT65540 UEP65540 UOL65540 UYH65540 VID65540 VRZ65540 WBV65540 WLR65540 WVN65540 F131076 JB131076 SX131076 ACT131076 AMP131076 AWL131076 BGH131076 BQD131076 BZZ131076 CJV131076 CTR131076 DDN131076 DNJ131076 DXF131076 EHB131076 EQX131076 FAT131076 FKP131076 FUL131076 GEH131076 GOD131076 GXZ131076 HHV131076 HRR131076 IBN131076 ILJ131076 IVF131076 JFB131076 JOX131076 JYT131076 KIP131076 KSL131076 LCH131076 LMD131076 LVZ131076 MFV131076 MPR131076 MZN131076 NJJ131076 NTF131076 ODB131076 OMX131076 OWT131076 PGP131076 PQL131076 QAH131076 QKD131076 QTZ131076 RDV131076 RNR131076 RXN131076 SHJ131076 SRF131076 TBB131076 TKX131076 TUT131076 UEP131076 UOL131076 UYH131076 VID131076 VRZ131076 WBV131076 WLR131076 WVN131076 F196612 JB196612 SX196612 ACT196612 AMP196612 AWL196612 BGH196612 BQD196612 BZZ196612 CJV196612 CTR196612 DDN196612 DNJ196612 DXF196612 EHB196612 EQX196612 FAT196612 FKP196612 FUL196612 GEH196612 GOD196612 GXZ196612 HHV196612 HRR196612 IBN196612 ILJ196612 IVF196612 JFB196612 JOX196612 JYT196612 KIP196612 KSL196612 LCH196612 LMD196612 LVZ196612 MFV196612 MPR196612 MZN196612 NJJ196612 NTF196612 ODB196612 OMX196612 OWT196612 PGP196612 PQL196612 QAH196612 QKD196612 QTZ196612 RDV196612 RNR196612 RXN196612 SHJ196612 SRF196612 TBB196612 TKX196612 TUT196612 UEP196612 UOL196612 UYH196612 VID196612 VRZ196612 WBV196612 WLR196612 WVN196612 F262148 JB262148 SX262148 ACT262148 AMP262148 AWL262148 BGH262148 BQD262148 BZZ262148 CJV262148 CTR262148 DDN262148 DNJ262148 DXF262148 EHB262148 EQX262148 FAT262148 FKP262148 FUL262148 GEH262148 GOD262148 GXZ262148 HHV262148 HRR262148 IBN262148 ILJ262148 IVF262148 JFB262148 JOX262148 JYT262148 KIP262148 KSL262148 LCH262148 LMD262148 LVZ262148 MFV262148 MPR262148 MZN262148 NJJ262148 NTF262148 ODB262148 OMX262148 OWT262148 PGP262148 PQL262148 QAH262148 QKD262148 QTZ262148 RDV262148 RNR262148 RXN262148 SHJ262148 SRF262148 TBB262148 TKX262148 TUT262148 UEP262148 UOL262148 UYH262148 VID262148 VRZ262148 WBV262148 WLR262148 WVN262148 F327684 JB327684 SX327684 ACT327684 AMP327684 AWL327684 BGH327684 BQD327684 BZZ327684 CJV327684 CTR327684 DDN327684 DNJ327684 DXF327684 EHB327684 EQX327684 FAT327684 FKP327684 FUL327684 GEH327684 GOD327684 GXZ327684 HHV327684 HRR327684 IBN327684 ILJ327684 IVF327684 JFB327684 JOX327684 JYT327684 KIP327684 KSL327684 LCH327684 LMD327684 LVZ327684 MFV327684 MPR327684 MZN327684 NJJ327684 NTF327684 ODB327684 OMX327684 OWT327684 PGP327684 PQL327684 QAH327684 QKD327684 QTZ327684 RDV327684 RNR327684 RXN327684 SHJ327684 SRF327684 TBB327684 TKX327684 TUT327684 UEP327684 UOL327684 UYH327684 VID327684 VRZ327684 WBV327684 WLR327684 WVN327684 F393220 JB393220 SX393220 ACT393220 AMP393220 AWL393220 BGH393220 BQD393220 BZZ393220 CJV393220 CTR393220 DDN393220 DNJ393220 DXF393220 EHB393220 EQX393220 FAT393220 FKP393220 FUL393220 GEH393220 GOD393220 GXZ393220 HHV393220 HRR393220 IBN393220 ILJ393220 IVF393220 JFB393220 JOX393220 JYT393220 KIP393220 KSL393220 LCH393220 LMD393220 LVZ393220 MFV393220 MPR393220 MZN393220 NJJ393220 NTF393220 ODB393220 OMX393220 OWT393220 PGP393220 PQL393220 QAH393220 QKD393220 QTZ393220 RDV393220 RNR393220 RXN393220 SHJ393220 SRF393220 TBB393220 TKX393220 TUT393220 UEP393220 UOL393220 UYH393220 VID393220 VRZ393220 WBV393220 WLR393220 WVN393220 F458756 JB458756 SX458756 ACT458756 AMP458756 AWL458756 BGH458756 BQD458756 BZZ458756 CJV458756 CTR458756 DDN458756 DNJ458756 DXF458756 EHB458756 EQX458756 FAT458756 FKP458756 FUL458756 GEH458756 GOD458756 GXZ458756 HHV458756 HRR458756 IBN458756 ILJ458756 IVF458756 JFB458756 JOX458756 JYT458756 KIP458756 KSL458756 LCH458756 LMD458756 LVZ458756 MFV458756 MPR458756 MZN458756 NJJ458756 NTF458756 ODB458756 OMX458756 OWT458756 PGP458756 PQL458756 QAH458756 QKD458756 QTZ458756 RDV458756 RNR458756 RXN458756 SHJ458756 SRF458756 TBB458756 TKX458756 TUT458756 UEP458756 UOL458756 UYH458756 VID458756 VRZ458756 WBV458756 WLR458756 WVN458756 F524292 JB524292 SX524292 ACT524292 AMP524292 AWL524292 BGH524292 BQD524292 BZZ524292 CJV524292 CTR524292 DDN524292 DNJ524292 DXF524292 EHB524292 EQX524292 FAT524292 FKP524292 FUL524292 GEH524292 GOD524292 GXZ524292 HHV524292 HRR524292 IBN524292 ILJ524292 IVF524292 JFB524292 JOX524292 JYT524292 KIP524292 KSL524292 LCH524292 LMD524292 LVZ524292 MFV524292 MPR524292 MZN524292 NJJ524292 NTF524292 ODB524292 OMX524292 OWT524292 PGP524292 PQL524292 QAH524292 QKD524292 QTZ524292 RDV524292 RNR524292 RXN524292 SHJ524292 SRF524292 TBB524292 TKX524292 TUT524292 UEP524292 UOL524292 UYH524292 VID524292 VRZ524292 WBV524292 WLR524292 WVN524292 F589828 JB589828 SX589828 ACT589828 AMP589828 AWL589828 BGH589828 BQD589828 BZZ589828 CJV589828 CTR589828 DDN589828 DNJ589828 DXF589828 EHB589828 EQX589828 FAT589828 FKP589828 FUL589828 GEH589828 GOD589828 GXZ589828 HHV589828 HRR589828 IBN589828 ILJ589828 IVF589828 JFB589828 JOX589828 JYT589828 KIP589828 KSL589828 LCH589828 LMD589828 LVZ589828 MFV589828 MPR589828 MZN589828 NJJ589828 NTF589828 ODB589828 OMX589828 OWT589828 PGP589828 PQL589828 QAH589828 QKD589828 QTZ589828 RDV589828 RNR589828 RXN589828 SHJ589828 SRF589828 TBB589828 TKX589828 TUT589828 UEP589828 UOL589828 UYH589828 VID589828 VRZ589828 WBV589828 WLR589828 WVN589828 F655364 JB655364 SX655364 ACT655364 AMP655364 AWL655364 BGH655364 BQD655364 BZZ655364 CJV655364 CTR655364 DDN655364 DNJ655364 DXF655364 EHB655364 EQX655364 FAT655364 FKP655364 FUL655364 GEH655364 GOD655364 GXZ655364 HHV655364 HRR655364 IBN655364 ILJ655364 IVF655364 JFB655364 JOX655364 JYT655364 KIP655364 KSL655364 LCH655364 LMD655364 LVZ655364 MFV655364 MPR655364 MZN655364 NJJ655364 NTF655364 ODB655364 OMX655364 OWT655364 PGP655364 PQL655364 QAH655364 QKD655364 QTZ655364 RDV655364 RNR655364 RXN655364 SHJ655364 SRF655364 TBB655364 TKX655364 TUT655364 UEP655364 UOL655364 UYH655364 VID655364 VRZ655364 WBV655364 WLR655364 WVN655364 F720900 JB720900 SX720900 ACT720900 AMP720900 AWL720900 BGH720900 BQD720900 BZZ720900 CJV720900 CTR720900 DDN720900 DNJ720900 DXF720900 EHB720900 EQX720900 FAT720900 FKP720900 FUL720900 GEH720900 GOD720900 GXZ720900 HHV720900 HRR720900 IBN720900 ILJ720900 IVF720900 JFB720900 JOX720900 JYT720900 KIP720900 KSL720900 LCH720900 LMD720900 LVZ720900 MFV720900 MPR720900 MZN720900 NJJ720900 NTF720900 ODB720900 OMX720900 OWT720900 PGP720900 PQL720900 QAH720900 QKD720900 QTZ720900 RDV720900 RNR720900 RXN720900 SHJ720900 SRF720900 TBB720900 TKX720900 TUT720900 UEP720900 UOL720900 UYH720900 VID720900 VRZ720900 WBV720900 WLR720900 WVN720900 F786436 JB786436 SX786436 ACT786436 AMP786436 AWL786436 BGH786436 BQD786436 BZZ786436 CJV786436 CTR786436 DDN786436 DNJ786436 DXF786436 EHB786436 EQX786436 FAT786436 FKP786436 FUL786436 GEH786436 GOD786436 GXZ786436 HHV786436 HRR786436 IBN786436 ILJ786436 IVF786436 JFB786436 JOX786436 JYT786436 KIP786436 KSL786436 LCH786436 LMD786436 LVZ786436 MFV786436 MPR786436 MZN786436 NJJ786436 NTF786436 ODB786436 OMX786436 OWT786436 PGP786436 PQL786436 QAH786436 QKD786436 QTZ786436 RDV786436 RNR786436 RXN786436 SHJ786436 SRF786436 TBB786436 TKX786436 TUT786436 UEP786436 UOL786436 UYH786436 VID786436 VRZ786436 WBV786436 WLR786436 WVN786436 F851972 JB851972 SX851972 ACT851972 AMP851972 AWL851972 BGH851972 BQD851972 BZZ851972 CJV851972 CTR851972 DDN851972 DNJ851972 DXF851972 EHB851972 EQX851972 FAT851972 FKP851972 FUL851972 GEH851972 GOD851972 GXZ851972 HHV851972 HRR851972 IBN851972 ILJ851972 IVF851972 JFB851972 JOX851972 JYT851972 KIP851972 KSL851972 LCH851972 LMD851972 LVZ851972 MFV851972 MPR851972 MZN851972 NJJ851972 NTF851972 ODB851972 OMX851972 OWT851972 PGP851972 PQL851972 QAH851972 QKD851972 QTZ851972 RDV851972 RNR851972 RXN851972 SHJ851972 SRF851972 TBB851972 TKX851972 TUT851972 UEP851972 UOL851972 UYH851972 VID851972 VRZ851972 WBV851972 WLR851972 WVN851972 F917508 JB917508 SX917508 ACT917508 AMP917508 AWL917508 BGH917508 BQD917508 BZZ917508 CJV917508 CTR917508 DDN917508 DNJ917508 DXF917508 EHB917508 EQX917508 FAT917508 FKP917508 FUL917508 GEH917508 GOD917508 GXZ917508 HHV917508 HRR917508 IBN917508 ILJ917508 IVF917508 JFB917508 JOX917508 JYT917508 KIP917508 KSL917508 LCH917508 LMD917508 LVZ917508 MFV917508 MPR917508 MZN917508 NJJ917508 NTF917508 ODB917508 OMX917508 OWT917508 PGP917508 PQL917508 QAH917508 QKD917508 QTZ917508 RDV917508 RNR917508 RXN917508 SHJ917508 SRF917508 TBB917508 TKX917508 TUT917508 UEP917508 UOL917508 UYH917508 VID917508 VRZ917508 WBV917508 WLR917508 WVN917508 F983044 JB983044 SX983044 ACT983044 AMP983044 AWL983044 BGH983044 BQD983044 BZZ983044 CJV983044 CTR983044 DDN983044 DNJ983044 DXF983044 EHB983044 EQX983044 FAT983044 FKP983044 FUL983044 GEH983044 GOD983044 GXZ983044 HHV983044 HRR983044 IBN983044 ILJ983044 IVF983044 JFB983044 JOX983044 JYT983044 KIP983044 KSL983044 LCH983044 LMD983044 LVZ983044 MFV983044 MPR983044 MZN983044 NJJ983044 NTF983044 ODB983044 OMX983044 OWT983044 PGP983044 PQL983044 QAH983044 QKD983044 QTZ983044 RDV983044 RNR983044 RXN983044 SHJ983044 SRF983044 TBB983044 TKX983044 TUT983044 UEP983044 UOL983044 UYH983044 VID983044 VRZ983044 WBV983044 WLR983044"/>
  </dataValidations>
  <pageMargins left="0.7" right="0.7" top="0.75" bottom="0.75" header="0.3" footer="0.3"/>
  <pageSetup scale="58" orientation="portrait" verticalDpi="200" r:id="rId1"/>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7">
    <tabColor rgb="FF00B0F0"/>
    <pageSetUpPr fitToPage="1"/>
  </sheetPr>
  <dimension ref="A1:N102"/>
  <sheetViews>
    <sheetView showGridLines="0" zoomScaleNormal="100" workbookViewId="0">
      <selection activeCell="A9" sqref="A9:K9"/>
    </sheetView>
  </sheetViews>
  <sheetFormatPr defaultColWidth="8.85546875" defaultRowHeight="15" x14ac:dyDescent="0.25"/>
  <cols>
    <col min="1" max="1" width="30.42578125" style="415" customWidth="1"/>
    <col min="2" max="2" width="11.85546875" style="415" customWidth="1"/>
    <col min="3" max="11" width="16.7109375" style="415" customWidth="1"/>
    <col min="12" max="16384" width="8.85546875" style="415"/>
  </cols>
  <sheetData>
    <row r="1" spans="1:14" s="375" customFormat="1" x14ac:dyDescent="0.25">
      <c r="A1" s="52"/>
      <c r="B1" s="52"/>
      <c r="C1" s="52"/>
      <c r="D1" s="52"/>
      <c r="J1" s="60" t="s">
        <v>301</v>
      </c>
      <c r="K1" s="1092" t="str">
        <f>EBNUMBER</f>
        <v>EB-2016-0066</v>
      </c>
    </row>
    <row r="2" spans="1:14" s="375" customFormat="1" x14ac:dyDescent="0.25">
      <c r="A2" s="52"/>
      <c r="B2" s="52"/>
      <c r="C2" s="52"/>
      <c r="D2" s="52"/>
      <c r="J2" s="60" t="s">
        <v>302</v>
      </c>
      <c r="K2" s="62"/>
    </row>
    <row r="3" spans="1:14" s="375" customFormat="1" x14ac:dyDescent="0.25">
      <c r="A3" s="52"/>
      <c r="B3" s="52"/>
      <c r="C3" s="52"/>
      <c r="D3" s="52"/>
      <c r="J3" s="60" t="s">
        <v>303</v>
      </c>
      <c r="K3" s="62"/>
    </row>
    <row r="4" spans="1:14" s="375" customFormat="1" x14ac:dyDescent="0.25">
      <c r="A4" s="412"/>
      <c r="B4" s="52"/>
      <c r="C4" s="52"/>
      <c r="D4" s="52"/>
      <c r="J4" s="60" t="s">
        <v>304</v>
      </c>
      <c r="K4" s="62"/>
    </row>
    <row r="5" spans="1:14" s="375" customFormat="1" x14ac:dyDescent="0.25">
      <c r="A5" s="52"/>
      <c r="B5" s="52"/>
      <c r="C5" s="52"/>
      <c r="D5" s="52"/>
      <c r="J5" s="60" t="s">
        <v>305</v>
      </c>
      <c r="K5" s="63"/>
    </row>
    <row r="6" spans="1:14" s="375" customFormat="1" x14ac:dyDescent="0.25">
      <c r="A6" s="52"/>
      <c r="B6" s="52"/>
      <c r="C6" s="52"/>
      <c r="D6" s="52"/>
      <c r="J6" s="60"/>
      <c r="K6" s="61"/>
    </row>
    <row r="7" spans="1:14" s="375" customFormat="1" x14ac:dyDescent="0.25">
      <c r="A7" s="52"/>
      <c r="B7" s="52"/>
      <c r="C7" s="52"/>
      <c r="D7" s="52"/>
      <c r="J7" s="60" t="s">
        <v>306</v>
      </c>
      <c r="K7" s="63"/>
    </row>
    <row r="8" spans="1:14" s="375" customFormat="1" x14ac:dyDescent="0.25">
      <c r="A8" s="56"/>
      <c r="B8" s="56"/>
      <c r="C8" s="56"/>
      <c r="D8" s="56"/>
      <c r="E8" s="56"/>
      <c r="F8" s="56"/>
      <c r="G8" s="56"/>
      <c r="H8" s="56"/>
      <c r="I8" s="56"/>
      <c r="L8" s="413"/>
      <c r="M8" s="413"/>
      <c r="N8" s="413"/>
    </row>
    <row r="9" spans="1:14" s="375" customFormat="1" ht="18" x14ac:dyDescent="0.25">
      <c r="A9" s="1591" t="s">
        <v>511</v>
      </c>
      <c r="B9" s="1591"/>
      <c r="C9" s="1591"/>
      <c r="D9" s="1591"/>
      <c r="E9" s="1591"/>
      <c r="F9" s="1591"/>
      <c r="G9" s="1591"/>
      <c r="H9" s="1591"/>
      <c r="I9" s="1591"/>
      <c r="J9" s="1591"/>
      <c r="K9" s="1591"/>
      <c r="L9" s="413"/>
      <c r="M9" s="413"/>
      <c r="N9" s="413"/>
    </row>
    <row r="10" spans="1:14" s="375" customFormat="1" ht="18" x14ac:dyDescent="0.25">
      <c r="A10" s="1591" t="s">
        <v>981</v>
      </c>
      <c r="B10" s="1591"/>
      <c r="C10" s="1591"/>
      <c r="D10" s="1591"/>
      <c r="E10" s="1591"/>
      <c r="F10" s="1591"/>
      <c r="G10" s="1591"/>
      <c r="H10" s="1591"/>
      <c r="I10" s="1591"/>
      <c r="J10" s="1591"/>
      <c r="K10" s="1591"/>
      <c r="L10" s="413"/>
      <c r="M10" s="413"/>
      <c r="N10" s="413"/>
    </row>
    <row r="11" spans="1:14" s="375" customFormat="1" ht="18" x14ac:dyDescent="0.25">
      <c r="A11" s="414"/>
      <c r="B11" s="414"/>
      <c r="C11" s="414"/>
      <c r="D11" s="414"/>
      <c r="E11" s="414"/>
      <c r="F11" s="414"/>
      <c r="G11" s="414"/>
      <c r="H11" s="414"/>
      <c r="I11" s="414"/>
      <c r="J11" s="414"/>
      <c r="K11" s="414"/>
      <c r="L11" s="413"/>
      <c r="M11" s="413"/>
      <c r="N11" s="413"/>
    </row>
    <row r="12" spans="1:14" x14ac:dyDescent="0.25">
      <c r="A12" s="1744" t="s">
        <v>982</v>
      </c>
      <c r="B12" s="1744"/>
      <c r="C12" s="1744"/>
      <c r="D12" s="1744"/>
      <c r="E12" s="1744"/>
      <c r="F12" s="1744"/>
      <c r="G12" s="1744"/>
      <c r="H12" s="43"/>
      <c r="I12" s="43"/>
    </row>
    <row r="13" spans="1:14" x14ac:dyDescent="0.25">
      <c r="A13" s="1744" t="s">
        <v>635</v>
      </c>
      <c r="B13" s="1744"/>
      <c r="C13" s="1744"/>
      <c r="D13" s="1744"/>
      <c r="E13" s="1744"/>
      <c r="F13" s="1744"/>
      <c r="G13" s="1744"/>
      <c r="H13" s="43"/>
      <c r="I13" s="43"/>
    </row>
    <row r="14" spans="1:14" x14ac:dyDescent="0.25">
      <c r="A14" s="1745" t="s">
        <v>648</v>
      </c>
      <c r="B14" s="1745"/>
      <c r="C14" s="1745"/>
      <c r="D14" s="1745"/>
      <c r="E14" s="1745"/>
      <c r="F14" s="1745"/>
      <c r="G14" s="43"/>
      <c r="H14" s="43"/>
      <c r="I14" s="43"/>
    </row>
    <row r="15" spans="1:14" x14ac:dyDescent="0.25">
      <c r="A15" s="1745" t="s">
        <v>649</v>
      </c>
      <c r="B15" s="1745"/>
      <c r="C15" s="1745"/>
      <c r="D15" s="1745"/>
      <c r="E15" s="1745"/>
      <c r="F15" s="1745"/>
      <c r="G15" s="43"/>
      <c r="H15" s="43"/>
      <c r="I15" s="43"/>
    </row>
    <row r="16" spans="1:14" ht="15.75" x14ac:dyDescent="0.25">
      <c r="A16" s="92"/>
      <c r="B16" s="43"/>
      <c r="C16" s="43"/>
      <c r="D16" s="43"/>
      <c r="E16" s="43"/>
      <c r="F16" s="43"/>
      <c r="G16" s="43"/>
      <c r="H16" s="43"/>
      <c r="I16" s="43"/>
    </row>
    <row r="17" spans="1:11" ht="15" customHeight="1" x14ac:dyDescent="0.25">
      <c r="A17" s="1556" t="s">
        <v>877</v>
      </c>
      <c r="B17" s="1556"/>
      <c r="C17" s="1556"/>
      <c r="D17" s="1556"/>
      <c r="E17" s="1556"/>
      <c r="F17" s="1556"/>
      <c r="G17" s="1556"/>
      <c r="H17" s="1556"/>
      <c r="I17" s="1556"/>
      <c r="J17" s="1556"/>
    </row>
    <row r="18" spans="1:11" ht="15.75" customHeight="1" x14ac:dyDescent="0.25">
      <c r="A18" s="1556" t="s">
        <v>1028</v>
      </c>
      <c r="B18" s="1556"/>
      <c r="C18" s="1556"/>
      <c r="D18" s="1556"/>
      <c r="E18" s="1556"/>
      <c r="F18" s="1556"/>
      <c r="G18" s="1556"/>
      <c r="H18" s="1556"/>
      <c r="I18" s="1556"/>
    </row>
    <row r="19" spans="1:11" ht="15.75" customHeight="1" x14ac:dyDescent="0.25">
      <c r="A19" s="1043"/>
      <c r="B19" s="1043"/>
      <c r="C19" s="1043"/>
      <c r="D19" s="1043"/>
      <c r="E19" s="1043"/>
      <c r="F19" s="1043"/>
      <c r="G19" s="1043"/>
      <c r="H19" s="1043"/>
      <c r="I19" s="1043"/>
    </row>
    <row r="20" spans="1:11" ht="15.75" customHeight="1" x14ac:dyDescent="0.25">
      <c r="A20" s="416" t="s">
        <v>983</v>
      </c>
      <c r="B20" s="1043"/>
      <c r="C20" s="1043"/>
      <c r="D20" s="1043"/>
      <c r="E20" s="1043"/>
      <c r="F20" s="1043"/>
      <c r="G20" s="1043"/>
      <c r="H20" s="1043"/>
      <c r="I20" s="1043"/>
    </row>
    <row r="21" spans="1:11" x14ac:dyDescent="0.25">
      <c r="A21" s="417" t="s">
        <v>984</v>
      </c>
      <c r="G21" s="43"/>
      <c r="H21" s="43"/>
      <c r="I21" s="43"/>
    </row>
    <row r="22" spans="1:11" x14ac:dyDescent="0.25">
      <c r="A22" s="418" t="s">
        <v>985</v>
      </c>
      <c r="G22" s="43"/>
      <c r="H22" s="43"/>
      <c r="I22" s="43"/>
    </row>
    <row r="23" spans="1:11" x14ac:dyDescent="0.25">
      <c r="A23" s="417" t="s">
        <v>986</v>
      </c>
      <c r="G23" s="43"/>
      <c r="H23" s="43"/>
      <c r="I23" s="43"/>
    </row>
    <row r="24" spans="1:11" x14ac:dyDescent="0.25">
      <c r="A24" s="419" t="s">
        <v>987</v>
      </c>
      <c r="G24" s="43"/>
      <c r="H24" s="43"/>
      <c r="I24" s="43"/>
    </row>
    <row r="25" spans="1:11" ht="12.75" customHeight="1" x14ac:dyDescent="0.25">
      <c r="A25" s="419" t="s">
        <v>988</v>
      </c>
      <c r="G25" s="43"/>
      <c r="H25" s="43"/>
      <c r="I25" s="43"/>
    </row>
    <row r="26" spans="1:11" ht="12.75" customHeight="1" x14ac:dyDescent="0.25">
      <c r="A26" s="419"/>
      <c r="G26" s="43"/>
      <c r="H26" s="43"/>
      <c r="I26" s="43"/>
    </row>
    <row r="27" spans="1:11" x14ac:dyDescent="0.25">
      <c r="A27" s="1246" t="s">
        <v>1179</v>
      </c>
      <c r="G27" s="43"/>
      <c r="H27" s="43"/>
      <c r="I27" s="43"/>
    </row>
    <row r="28" spans="1:11" x14ac:dyDescent="0.25">
      <c r="A28" s="417" t="s">
        <v>989</v>
      </c>
      <c r="G28" s="43"/>
      <c r="H28" s="43"/>
      <c r="I28" s="43"/>
    </row>
    <row r="29" spans="1:11" x14ac:dyDescent="0.25">
      <c r="A29" s="420"/>
      <c r="G29" s="43"/>
      <c r="H29" s="43"/>
      <c r="I29" s="43"/>
    </row>
    <row r="30" spans="1:11" ht="18" x14ac:dyDescent="0.25">
      <c r="A30" s="421" t="s">
        <v>636</v>
      </c>
      <c r="B30" s="83"/>
      <c r="C30" s="83"/>
      <c r="D30" s="83"/>
      <c r="E30" s="83"/>
      <c r="F30" s="83"/>
      <c r="G30" s="422" t="s">
        <v>314</v>
      </c>
      <c r="I30" s="83"/>
    </row>
    <row r="31" spans="1:11" x14ac:dyDescent="0.25">
      <c r="A31" s="423" t="s">
        <v>637</v>
      </c>
      <c r="B31" s="83"/>
      <c r="C31" s="424">
        <f>D31-1</f>
        <v>2013</v>
      </c>
      <c r="D31" s="424">
        <f>E31-1</f>
        <v>2014</v>
      </c>
      <c r="E31" s="424">
        <f>F31-1</f>
        <v>2015</v>
      </c>
      <c r="F31" s="424">
        <f>G31-1</f>
        <v>2016</v>
      </c>
      <c r="G31" s="424">
        <f>TestYear</f>
        <v>2017</v>
      </c>
      <c r="H31" s="424">
        <f>G31+1</f>
        <v>2018</v>
      </c>
      <c r="I31" s="424">
        <f>H31+1</f>
        <v>2019</v>
      </c>
      <c r="J31" s="424">
        <f>I31+1</f>
        <v>2020</v>
      </c>
      <c r="K31" s="424">
        <f>J31+1</f>
        <v>2021</v>
      </c>
    </row>
    <row r="32" spans="1:11" x14ac:dyDescent="0.25">
      <c r="A32" s="60" t="s">
        <v>638</v>
      </c>
      <c r="B32" s="83"/>
      <c r="C32" s="83"/>
      <c r="D32" s="83"/>
      <c r="E32" s="83"/>
      <c r="F32" s="83"/>
      <c r="G32" s="83"/>
      <c r="H32" s="83"/>
      <c r="I32" s="83"/>
      <c r="J32" s="83"/>
      <c r="K32" s="83"/>
    </row>
    <row r="33" spans="1:11" x14ac:dyDescent="0.25">
      <c r="A33" s="425" t="s">
        <v>876</v>
      </c>
      <c r="B33" s="83"/>
      <c r="C33" s="83"/>
      <c r="D33" s="83"/>
      <c r="E33" s="83"/>
      <c r="F33" s="83"/>
      <c r="G33" s="83"/>
      <c r="H33" s="83"/>
      <c r="I33" s="83"/>
      <c r="J33" s="83"/>
      <c r="K33" s="83"/>
    </row>
    <row r="34" spans="1:11" x14ac:dyDescent="0.25">
      <c r="A34" s="83" t="s">
        <v>639</v>
      </c>
      <c r="B34" s="83"/>
      <c r="C34" s="426">
        <v>0</v>
      </c>
      <c r="D34" s="426">
        <v>0</v>
      </c>
      <c r="E34" s="426">
        <v>0</v>
      </c>
      <c r="F34" s="426">
        <v>0</v>
      </c>
      <c r="G34" s="426">
        <v>0</v>
      </c>
      <c r="H34" s="426">
        <v>0</v>
      </c>
      <c r="I34" s="426">
        <v>0</v>
      </c>
      <c r="J34" s="426">
        <v>0</v>
      </c>
      <c r="K34" s="426">
        <v>0</v>
      </c>
    </row>
    <row r="35" spans="1:11" x14ac:dyDescent="0.25">
      <c r="A35" s="83" t="s">
        <v>640</v>
      </c>
      <c r="B35" s="83"/>
      <c r="C35" s="426">
        <v>0</v>
      </c>
      <c r="D35" s="426">
        <v>0</v>
      </c>
      <c r="E35" s="426">
        <v>0</v>
      </c>
      <c r="F35" s="426">
        <v>0</v>
      </c>
      <c r="G35" s="426">
        <v>0</v>
      </c>
      <c r="H35" s="426">
        <v>0</v>
      </c>
      <c r="I35" s="426">
        <v>0</v>
      </c>
      <c r="J35" s="426">
        <v>0</v>
      </c>
      <c r="K35" s="426">
        <v>0</v>
      </c>
    </row>
    <row r="36" spans="1:11" x14ac:dyDescent="0.25">
      <c r="A36" s="83" t="s">
        <v>641</v>
      </c>
      <c r="B36" s="83"/>
      <c r="C36" s="426">
        <v>0</v>
      </c>
      <c r="D36" s="426">
        <v>0</v>
      </c>
      <c r="E36" s="426">
        <v>0</v>
      </c>
      <c r="F36" s="426">
        <v>0</v>
      </c>
      <c r="G36" s="426">
        <v>0</v>
      </c>
      <c r="H36" s="426">
        <v>0</v>
      </c>
      <c r="I36" s="426">
        <v>0</v>
      </c>
      <c r="J36" s="426">
        <v>0</v>
      </c>
      <c r="K36" s="426">
        <v>0</v>
      </c>
    </row>
    <row r="37" spans="1:11" x14ac:dyDescent="0.25">
      <c r="A37" s="83"/>
      <c r="B37" s="83"/>
      <c r="C37" s="83"/>
      <c r="D37" s="83"/>
      <c r="E37" s="83"/>
      <c r="F37" s="83"/>
      <c r="G37" s="83"/>
      <c r="H37" s="83"/>
      <c r="I37" s="83"/>
      <c r="J37" s="83"/>
      <c r="K37" s="83"/>
    </row>
    <row r="38" spans="1:11" x14ac:dyDescent="0.25">
      <c r="A38" s="60" t="s">
        <v>642</v>
      </c>
      <c r="B38" s="83"/>
      <c r="C38" s="83"/>
      <c r="D38" s="83"/>
      <c r="E38" s="83"/>
      <c r="F38" s="83"/>
      <c r="G38" s="83"/>
      <c r="H38" s="83"/>
      <c r="I38" s="83"/>
      <c r="J38" s="83"/>
      <c r="K38" s="83"/>
    </row>
    <row r="39" spans="1:11" x14ac:dyDescent="0.25">
      <c r="A39" s="425" t="s">
        <v>876</v>
      </c>
      <c r="B39" s="83"/>
      <c r="C39" s="83"/>
      <c r="D39" s="83"/>
      <c r="E39" s="83"/>
      <c r="F39" s="83"/>
      <c r="G39" s="83"/>
      <c r="H39" s="83"/>
      <c r="I39" s="83"/>
      <c r="J39" s="83"/>
      <c r="K39" s="83"/>
    </row>
    <row r="40" spans="1:11" x14ac:dyDescent="0.25">
      <c r="A40" s="83" t="s">
        <v>639</v>
      </c>
      <c r="B40" s="83"/>
      <c r="C40" s="426">
        <v>0</v>
      </c>
      <c r="D40" s="426">
        <v>0</v>
      </c>
      <c r="E40" s="426">
        <v>0</v>
      </c>
      <c r="F40" s="426">
        <v>0</v>
      </c>
      <c r="G40" s="426">
        <v>0</v>
      </c>
      <c r="H40" s="426">
        <v>0</v>
      </c>
      <c r="I40" s="426">
        <v>0</v>
      </c>
      <c r="J40" s="426">
        <v>0</v>
      </c>
      <c r="K40" s="426">
        <v>0</v>
      </c>
    </row>
    <row r="41" spans="1:11" x14ac:dyDescent="0.25">
      <c r="A41" s="83" t="s">
        <v>640</v>
      </c>
      <c r="B41" s="83"/>
      <c r="C41" s="426">
        <v>0</v>
      </c>
      <c r="D41" s="426">
        <v>0</v>
      </c>
      <c r="E41" s="426">
        <v>0</v>
      </c>
      <c r="F41" s="426">
        <v>0</v>
      </c>
      <c r="G41" s="426">
        <v>0</v>
      </c>
      <c r="H41" s="426">
        <v>0</v>
      </c>
      <c r="I41" s="426">
        <v>0</v>
      </c>
      <c r="J41" s="426">
        <v>0</v>
      </c>
      <c r="K41" s="426">
        <v>0</v>
      </c>
    </row>
    <row r="42" spans="1:11" x14ac:dyDescent="0.25">
      <c r="A42" s="83" t="s">
        <v>641</v>
      </c>
      <c r="B42" s="83"/>
      <c r="C42" s="426">
        <v>0</v>
      </c>
      <c r="D42" s="426">
        <v>0</v>
      </c>
      <c r="E42" s="426">
        <v>0</v>
      </c>
      <c r="F42" s="426">
        <v>0</v>
      </c>
      <c r="G42" s="426">
        <v>0</v>
      </c>
      <c r="H42" s="426">
        <v>0</v>
      </c>
      <c r="I42" s="426">
        <v>0</v>
      </c>
      <c r="J42" s="426">
        <v>0</v>
      </c>
      <c r="K42" s="426">
        <v>0</v>
      </c>
    </row>
    <row r="43" spans="1:11" x14ac:dyDescent="0.25">
      <c r="A43" s="83"/>
      <c r="B43" s="83"/>
      <c r="C43" s="83"/>
      <c r="D43" s="83"/>
      <c r="E43" s="83"/>
      <c r="F43" s="83"/>
      <c r="G43" s="83"/>
      <c r="H43" s="83"/>
      <c r="I43" s="83"/>
      <c r="J43" s="83"/>
      <c r="K43" s="83"/>
    </row>
    <row r="44" spans="1:11" x14ac:dyDescent="0.25">
      <c r="A44" s="60" t="s">
        <v>643</v>
      </c>
      <c r="B44" s="83"/>
      <c r="C44" s="83"/>
      <c r="D44" s="83"/>
      <c r="E44" s="83"/>
      <c r="F44" s="83"/>
      <c r="G44" s="83"/>
      <c r="H44" s="83"/>
      <c r="I44" s="83"/>
      <c r="J44" s="83"/>
      <c r="K44" s="83"/>
    </row>
    <row r="45" spans="1:11" x14ac:dyDescent="0.25">
      <c r="A45" s="425" t="s">
        <v>876</v>
      </c>
      <c r="B45" s="83"/>
      <c r="C45" s="83"/>
      <c r="D45" s="83"/>
      <c r="E45" s="83"/>
      <c r="F45" s="83"/>
      <c r="G45" s="83"/>
      <c r="H45" s="83"/>
      <c r="I45" s="83"/>
      <c r="J45" s="83"/>
      <c r="K45" s="83"/>
    </row>
    <row r="46" spans="1:11" x14ac:dyDescent="0.25">
      <c r="A46" s="83" t="s">
        <v>639</v>
      </c>
      <c r="B46" s="83"/>
      <c r="C46" s="426">
        <v>0</v>
      </c>
      <c r="D46" s="426">
        <v>0</v>
      </c>
      <c r="E46" s="426">
        <v>0</v>
      </c>
      <c r="F46" s="426">
        <v>0</v>
      </c>
      <c r="G46" s="426">
        <v>0</v>
      </c>
      <c r="H46" s="426">
        <v>0</v>
      </c>
      <c r="I46" s="426">
        <v>0</v>
      </c>
      <c r="J46" s="426">
        <v>0</v>
      </c>
      <c r="K46" s="426">
        <v>0</v>
      </c>
    </row>
    <row r="47" spans="1:11" x14ac:dyDescent="0.25">
      <c r="A47" s="83" t="s">
        <v>640</v>
      </c>
      <c r="B47" s="83"/>
      <c r="C47" s="426">
        <v>0</v>
      </c>
      <c r="D47" s="426">
        <v>0</v>
      </c>
      <c r="E47" s="426">
        <v>0</v>
      </c>
      <c r="F47" s="426">
        <v>0</v>
      </c>
      <c r="G47" s="426">
        <v>0</v>
      </c>
      <c r="H47" s="426">
        <v>0</v>
      </c>
      <c r="I47" s="426">
        <v>0</v>
      </c>
      <c r="J47" s="426">
        <v>0</v>
      </c>
      <c r="K47" s="426">
        <v>0</v>
      </c>
    </row>
    <row r="48" spans="1:11" x14ac:dyDescent="0.25">
      <c r="A48" s="83" t="s">
        <v>641</v>
      </c>
      <c r="B48" s="83"/>
      <c r="C48" s="426">
        <v>0</v>
      </c>
      <c r="D48" s="426">
        <v>0</v>
      </c>
      <c r="E48" s="426">
        <v>0</v>
      </c>
      <c r="F48" s="426">
        <v>0</v>
      </c>
      <c r="G48" s="426">
        <v>0</v>
      </c>
      <c r="H48" s="426">
        <v>0</v>
      </c>
      <c r="I48" s="426">
        <v>0</v>
      </c>
      <c r="J48" s="426">
        <v>0</v>
      </c>
      <c r="K48" s="426">
        <v>0</v>
      </c>
    </row>
    <row r="49" spans="1:12" x14ac:dyDescent="0.25">
      <c r="A49" s="83"/>
      <c r="B49" s="83"/>
      <c r="C49" s="83"/>
      <c r="D49" s="83"/>
      <c r="E49" s="83"/>
      <c r="F49" s="83"/>
      <c r="G49" s="83"/>
      <c r="H49" s="83"/>
      <c r="I49" s="83"/>
      <c r="J49" s="83"/>
      <c r="K49" s="83"/>
    </row>
    <row r="50" spans="1:12" x14ac:dyDescent="0.25">
      <c r="A50" s="60" t="s">
        <v>644</v>
      </c>
      <c r="B50" s="83"/>
      <c r="C50" s="83"/>
      <c r="D50" s="83"/>
      <c r="E50" s="83"/>
      <c r="F50" s="83"/>
      <c r="G50" s="83"/>
      <c r="H50" s="83"/>
      <c r="I50" s="83"/>
      <c r="J50" s="83"/>
      <c r="K50" s="83"/>
    </row>
    <row r="51" spans="1:12" x14ac:dyDescent="0.25">
      <c r="A51" s="425" t="s">
        <v>876</v>
      </c>
      <c r="B51" s="83"/>
      <c r="C51" s="83"/>
      <c r="D51" s="83"/>
      <c r="E51" s="83"/>
      <c r="F51" s="83"/>
      <c r="G51" s="83"/>
      <c r="H51" s="83"/>
      <c r="I51" s="83"/>
      <c r="J51" s="83"/>
      <c r="K51" s="83"/>
    </row>
    <row r="52" spans="1:12" x14ac:dyDescent="0.25">
      <c r="A52" s="83" t="s">
        <v>639</v>
      </c>
      <c r="B52" s="83"/>
      <c r="C52" s="426">
        <v>0</v>
      </c>
      <c r="D52" s="426">
        <v>0</v>
      </c>
      <c r="E52" s="426">
        <v>0</v>
      </c>
      <c r="F52" s="426">
        <v>0</v>
      </c>
      <c r="G52" s="426">
        <v>0</v>
      </c>
      <c r="H52" s="426">
        <v>0</v>
      </c>
      <c r="I52" s="426">
        <v>0</v>
      </c>
      <c r="J52" s="426">
        <v>0</v>
      </c>
      <c r="K52" s="426">
        <v>0</v>
      </c>
    </row>
    <row r="53" spans="1:12" x14ac:dyDescent="0.25">
      <c r="A53" s="83" t="s">
        <v>640</v>
      </c>
      <c r="B53" s="83"/>
      <c r="C53" s="426">
        <v>0</v>
      </c>
      <c r="D53" s="426">
        <v>0</v>
      </c>
      <c r="E53" s="426">
        <v>0</v>
      </c>
      <c r="F53" s="426">
        <v>0</v>
      </c>
      <c r="G53" s="426">
        <v>0</v>
      </c>
      <c r="H53" s="426">
        <v>0</v>
      </c>
      <c r="I53" s="426">
        <v>0</v>
      </c>
      <c r="J53" s="426">
        <v>0</v>
      </c>
      <c r="K53" s="426">
        <v>0</v>
      </c>
    </row>
    <row r="54" spans="1:12" x14ac:dyDescent="0.25">
      <c r="A54" s="83" t="s">
        <v>641</v>
      </c>
      <c r="B54" s="83"/>
      <c r="C54" s="426">
        <v>0</v>
      </c>
      <c r="D54" s="426">
        <v>0</v>
      </c>
      <c r="E54" s="426">
        <v>0</v>
      </c>
      <c r="F54" s="426">
        <v>0</v>
      </c>
      <c r="G54" s="426">
        <v>0</v>
      </c>
      <c r="H54" s="426">
        <v>0</v>
      </c>
      <c r="I54" s="426">
        <v>0</v>
      </c>
      <c r="J54" s="426">
        <v>0</v>
      </c>
      <c r="K54" s="426">
        <v>0</v>
      </c>
    </row>
    <row r="55" spans="1:12" x14ac:dyDescent="0.25">
      <c r="A55" s="83"/>
      <c r="B55" s="83"/>
      <c r="C55" s="83"/>
      <c r="D55" s="83"/>
      <c r="E55" s="83"/>
      <c r="F55" s="83"/>
      <c r="G55" s="83"/>
      <c r="H55" s="83"/>
      <c r="I55" s="83"/>
      <c r="J55" s="83"/>
      <c r="K55" s="83"/>
    </row>
    <row r="56" spans="1:12" x14ac:dyDescent="0.25">
      <c r="A56" s="60" t="s">
        <v>645</v>
      </c>
      <c r="B56" s="83"/>
      <c r="C56" s="83"/>
      <c r="D56" s="83"/>
      <c r="E56" s="83"/>
      <c r="F56" s="83"/>
      <c r="G56" s="83"/>
      <c r="H56" s="83"/>
      <c r="I56" s="83"/>
      <c r="J56" s="83"/>
      <c r="K56" s="83"/>
    </row>
    <row r="57" spans="1:12" x14ac:dyDescent="0.25">
      <c r="A57" s="425" t="s">
        <v>876</v>
      </c>
      <c r="B57" s="83"/>
      <c r="C57" s="83"/>
      <c r="D57" s="83"/>
      <c r="E57" s="83"/>
      <c r="F57" s="83"/>
      <c r="G57" s="83"/>
      <c r="H57" s="83"/>
      <c r="I57" s="83"/>
      <c r="J57" s="83"/>
      <c r="K57" s="83"/>
    </row>
    <row r="58" spans="1:12" x14ac:dyDescent="0.25">
      <c r="A58" s="83" t="s">
        <v>639</v>
      </c>
      <c r="B58" s="83"/>
      <c r="C58" s="426">
        <v>0</v>
      </c>
      <c r="D58" s="426">
        <v>0</v>
      </c>
      <c r="E58" s="426">
        <v>0</v>
      </c>
      <c r="F58" s="426">
        <v>0</v>
      </c>
      <c r="G58" s="426">
        <v>0</v>
      </c>
      <c r="H58" s="426">
        <v>0</v>
      </c>
      <c r="I58" s="426">
        <v>0</v>
      </c>
      <c r="J58" s="426">
        <v>0</v>
      </c>
      <c r="K58" s="426">
        <v>0</v>
      </c>
    </row>
    <row r="59" spans="1:12" x14ac:dyDescent="0.25">
      <c r="A59" s="83" t="s">
        <v>640</v>
      </c>
      <c r="B59" s="83"/>
      <c r="C59" s="426">
        <v>0</v>
      </c>
      <c r="D59" s="426">
        <v>0</v>
      </c>
      <c r="E59" s="426">
        <v>0</v>
      </c>
      <c r="F59" s="426">
        <v>0</v>
      </c>
      <c r="G59" s="426">
        <v>0</v>
      </c>
      <c r="H59" s="426">
        <v>0</v>
      </c>
      <c r="I59" s="426">
        <v>0</v>
      </c>
      <c r="J59" s="426">
        <v>0</v>
      </c>
      <c r="K59" s="426">
        <v>0</v>
      </c>
    </row>
    <row r="60" spans="1:12" x14ac:dyDescent="0.25">
      <c r="A60" s="83" t="s">
        <v>641</v>
      </c>
      <c r="B60" s="83"/>
      <c r="C60" s="426">
        <v>0</v>
      </c>
      <c r="D60" s="426">
        <v>0</v>
      </c>
      <c r="E60" s="426">
        <v>0</v>
      </c>
      <c r="F60" s="426">
        <v>0</v>
      </c>
      <c r="G60" s="426">
        <v>0</v>
      </c>
      <c r="H60" s="426">
        <v>0</v>
      </c>
      <c r="I60" s="426">
        <v>0</v>
      </c>
      <c r="J60" s="426">
        <v>0</v>
      </c>
      <c r="K60" s="426">
        <v>0</v>
      </c>
    </row>
    <row r="61" spans="1:12" x14ac:dyDescent="0.25">
      <c r="A61" s="83"/>
      <c r="B61" s="83"/>
      <c r="C61" s="427"/>
      <c r="D61" s="427"/>
      <c r="E61" s="427"/>
      <c r="F61" s="427"/>
      <c r="G61" s="427"/>
      <c r="H61" s="427"/>
      <c r="I61" s="427"/>
      <c r="J61" s="427"/>
      <c r="K61" s="427"/>
      <c r="L61" s="427"/>
    </row>
    <row r="62" spans="1:12" x14ac:dyDescent="0.25">
      <c r="A62" s="60" t="s">
        <v>872</v>
      </c>
      <c r="B62" s="60"/>
      <c r="C62" s="428">
        <f t="shared" ref="C62:F64" si="0">SUM(C58,C52,C46,C40,C34)</f>
        <v>0</v>
      </c>
      <c r="D62" s="428">
        <f t="shared" si="0"/>
        <v>0</v>
      </c>
      <c r="E62" s="428">
        <f t="shared" si="0"/>
        <v>0</v>
      </c>
      <c r="F62" s="428">
        <f t="shared" si="0"/>
        <v>0</v>
      </c>
      <c r="G62" s="428">
        <f>SUM(G58,G52,G46,G40,G34)</f>
        <v>0</v>
      </c>
      <c r="H62" s="428">
        <f t="shared" ref="H62:K64" si="1">SUM(H58,H52,H46,H40,H34)</f>
        <v>0</v>
      </c>
      <c r="I62" s="428">
        <f t="shared" si="1"/>
        <v>0</v>
      </c>
      <c r="J62" s="428">
        <f t="shared" si="1"/>
        <v>0</v>
      </c>
      <c r="K62" s="428">
        <f t="shared" si="1"/>
        <v>0</v>
      </c>
      <c r="L62" s="427"/>
    </row>
    <row r="63" spans="1:12" x14ac:dyDescent="0.25">
      <c r="A63" s="60" t="s">
        <v>873</v>
      </c>
      <c r="B63" s="60"/>
      <c r="C63" s="428">
        <f t="shared" si="0"/>
        <v>0</v>
      </c>
      <c r="D63" s="428">
        <f t="shared" si="0"/>
        <v>0</v>
      </c>
      <c r="E63" s="428">
        <f t="shared" si="0"/>
        <v>0</v>
      </c>
      <c r="F63" s="428">
        <f t="shared" si="0"/>
        <v>0</v>
      </c>
      <c r="G63" s="428">
        <f>SUM(G59,G53,G47,G41,G35)</f>
        <v>0</v>
      </c>
      <c r="H63" s="428">
        <f t="shared" si="1"/>
        <v>0</v>
      </c>
      <c r="I63" s="428">
        <f t="shared" si="1"/>
        <v>0</v>
      </c>
      <c r="J63" s="428">
        <f t="shared" si="1"/>
        <v>0</v>
      </c>
      <c r="K63" s="428">
        <f t="shared" si="1"/>
        <v>0</v>
      </c>
      <c r="L63" s="427"/>
    </row>
    <row r="64" spans="1:12" x14ac:dyDescent="0.25">
      <c r="A64" s="60" t="s">
        <v>874</v>
      </c>
      <c r="B64" s="429"/>
      <c r="C64" s="430">
        <f t="shared" si="0"/>
        <v>0</v>
      </c>
      <c r="D64" s="430">
        <f t="shared" si="0"/>
        <v>0</v>
      </c>
      <c r="E64" s="430">
        <f t="shared" si="0"/>
        <v>0</v>
      </c>
      <c r="F64" s="430">
        <f t="shared" si="0"/>
        <v>0</v>
      </c>
      <c r="G64" s="430">
        <f>SUM(G60,G54,G48,G42,G36)</f>
        <v>0</v>
      </c>
      <c r="H64" s="430">
        <f t="shared" si="1"/>
        <v>0</v>
      </c>
      <c r="I64" s="430">
        <f t="shared" si="1"/>
        <v>0</v>
      </c>
      <c r="J64" s="430">
        <f t="shared" si="1"/>
        <v>0</v>
      </c>
      <c r="K64" s="430">
        <f t="shared" si="1"/>
        <v>0</v>
      </c>
    </row>
    <row r="65" spans="1:11" ht="6" customHeight="1" x14ac:dyDescent="0.25">
      <c r="A65" s="431"/>
      <c r="B65" s="432"/>
      <c r="C65" s="433"/>
      <c r="D65" s="433"/>
      <c r="E65" s="433"/>
      <c r="F65" s="433"/>
      <c r="G65" s="433"/>
      <c r="H65" s="433"/>
      <c r="I65" s="431"/>
      <c r="J65" s="434"/>
      <c r="K65" s="433"/>
    </row>
    <row r="66" spans="1:11" x14ac:dyDescent="0.25">
      <c r="A66" s="121"/>
      <c r="B66" s="435"/>
      <c r="C66" s="195"/>
      <c r="D66" s="195"/>
      <c r="E66" s="195"/>
      <c r="F66" s="195"/>
      <c r="G66" s="195"/>
      <c r="H66" s="195"/>
      <c r="I66" s="121"/>
      <c r="J66" s="435"/>
      <c r="K66" s="195"/>
    </row>
    <row r="67" spans="1:11" ht="18" x14ac:dyDescent="0.25">
      <c r="A67" s="421" t="s">
        <v>646</v>
      </c>
      <c r="B67" s="83"/>
      <c r="C67" s="83"/>
      <c r="D67" s="83"/>
      <c r="E67" s="83"/>
      <c r="F67" s="83"/>
      <c r="G67" s="422" t="s">
        <v>314</v>
      </c>
      <c r="H67" s="83"/>
      <c r="I67" s="83"/>
      <c r="J67" s="83"/>
      <c r="K67" s="83"/>
    </row>
    <row r="68" spans="1:11" x14ac:dyDescent="0.25">
      <c r="A68" s="423" t="s">
        <v>647</v>
      </c>
      <c r="B68" s="83"/>
      <c r="C68" s="424">
        <f>D68-1</f>
        <v>2013</v>
      </c>
      <c r="D68" s="424">
        <f>E68-1</f>
        <v>2014</v>
      </c>
      <c r="E68" s="424">
        <f>F68-1</f>
        <v>2015</v>
      </c>
      <c r="F68" s="424">
        <f>G68-1</f>
        <v>2016</v>
      </c>
      <c r="G68" s="424">
        <f>TestYear</f>
        <v>2017</v>
      </c>
      <c r="H68" s="424">
        <f>G68+1</f>
        <v>2018</v>
      </c>
      <c r="I68" s="424">
        <f>H68+1</f>
        <v>2019</v>
      </c>
      <c r="J68" s="424">
        <f>I68+1</f>
        <v>2020</v>
      </c>
      <c r="K68" s="424">
        <f>J68+1</f>
        <v>2021</v>
      </c>
    </row>
    <row r="69" spans="1:11" x14ac:dyDescent="0.25">
      <c r="A69" s="60" t="s">
        <v>638</v>
      </c>
      <c r="B69" s="83"/>
      <c r="C69" s="83"/>
      <c r="D69" s="83"/>
      <c r="E69" s="83"/>
      <c r="F69" s="83"/>
      <c r="G69" s="83"/>
      <c r="H69" s="83"/>
      <c r="I69" s="83"/>
      <c r="J69" s="83"/>
      <c r="K69" s="83"/>
    </row>
    <row r="70" spans="1:11" x14ac:dyDescent="0.25">
      <c r="A70" s="425" t="s">
        <v>875</v>
      </c>
      <c r="B70" s="83"/>
      <c r="C70" s="83"/>
      <c r="D70" s="83"/>
      <c r="E70" s="83"/>
      <c r="F70" s="83"/>
      <c r="G70" s="83"/>
      <c r="H70" s="83"/>
      <c r="I70" s="83"/>
      <c r="J70" s="83"/>
      <c r="K70" s="83"/>
    </row>
    <row r="71" spans="1:11" x14ac:dyDescent="0.25">
      <c r="A71" s="83" t="s">
        <v>639</v>
      </c>
      <c r="B71" s="83"/>
      <c r="C71" s="426">
        <v>0</v>
      </c>
      <c r="D71" s="426">
        <v>0</v>
      </c>
      <c r="E71" s="426">
        <v>0</v>
      </c>
      <c r="F71" s="426">
        <v>0</v>
      </c>
      <c r="G71" s="426">
        <v>176493</v>
      </c>
      <c r="H71" s="426">
        <v>0</v>
      </c>
      <c r="I71" s="426">
        <v>0</v>
      </c>
      <c r="J71" s="426">
        <v>0</v>
      </c>
      <c r="K71" s="426">
        <v>0</v>
      </c>
    </row>
    <row r="72" spans="1:11" x14ac:dyDescent="0.25">
      <c r="A72" s="83" t="s">
        <v>640</v>
      </c>
      <c r="B72" s="83"/>
      <c r="C72" s="426">
        <v>0</v>
      </c>
      <c r="D72" s="426">
        <v>0</v>
      </c>
      <c r="E72" s="426">
        <v>0</v>
      </c>
      <c r="F72" s="426">
        <v>0</v>
      </c>
      <c r="G72" s="426">
        <v>0</v>
      </c>
      <c r="H72" s="426">
        <v>0</v>
      </c>
      <c r="I72" s="426">
        <v>0</v>
      </c>
      <c r="J72" s="426">
        <v>0</v>
      </c>
      <c r="K72" s="426">
        <v>0</v>
      </c>
    </row>
    <row r="73" spans="1:11" x14ac:dyDescent="0.25">
      <c r="A73" s="83" t="s">
        <v>641</v>
      </c>
      <c r="B73" s="83"/>
      <c r="C73" s="426">
        <v>0</v>
      </c>
      <c r="D73" s="426">
        <v>0</v>
      </c>
      <c r="E73" s="426">
        <v>0</v>
      </c>
      <c r="F73" s="426">
        <v>0</v>
      </c>
      <c r="G73" s="426">
        <v>0</v>
      </c>
      <c r="H73" s="426">
        <v>0</v>
      </c>
      <c r="I73" s="426">
        <v>0</v>
      </c>
      <c r="J73" s="426">
        <v>0</v>
      </c>
      <c r="K73" s="426">
        <v>0</v>
      </c>
    </row>
    <row r="74" spans="1:11" x14ac:dyDescent="0.25">
      <c r="A74" s="83"/>
      <c r="B74" s="83"/>
      <c r="C74" s="83"/>
      <c r="D74" s="83"/>
      <c r="E74" s="83"/>
      <c r="F74" s="83"/>
      <c r="G74" s="83"/>
      <c r="H74" s="83"/>
      <c r="I74" s="83"/>
      <c r="J74" s="83"/>
      <c r="K74" s="83"/>
    </row>
    <row r="75" spans="1:11" x14ac:dyDescent="0.25">
      <c r="A75" s="60" t="s">
        <v>642</v>
      </c>
      <c r="B75" s="83"/>
      <c r="C75" s="83"/>
      <c r="D75" s="83"/>
      <c r="E75" s="83"/>
      <c r="F75" s="83"/>
      <c r="G75" s="83"/>
      <c r="H75" s="83"/>
      <c r="I75" s="83"/>
      <c r="J75" s="83"/>
      <c r="K75" s="83"/>
    </row>
    <row r="76" spans="1:11" x14ac:dyDescent="0.25">
      <c r="A76" s="425" t="s">
        <v>875</v>
      </c>
      <c r="B76" s="83"/>
      <c r="C76" s="83"/>
      <c r="D76" s="83"/>
      <c r="E76" s="83"/>
      <c r="F76" s="83"/>
      <c r="G76" s="83"/>
      <c r="H76" s="83"/>
      <c r="I76" s="83"/>
      <c r="J76" s="83"/>
      <c r="K76" s="83"/>
    </row>
    <row r="77" spans="1:11" x14ac:dyDescent="0.25">
      <c r="A77" s="83" t="s">
        <v>639</v>
      </c>
      <c r="B77" s="83"/>
      <c r="C77" s="426">
        <v>0</v>
      </c>
      <c r="D77" s="426">
        <v>0</v>
      </c>
      <c r="E77" s="426">
        <v>0</v>
      </c>
      <c r="F77" s="426">
        <v>0</v>
      </c>
      <c r="G77" s="426">
        <v>0</v>
      </c>
      <c r="H77" s="426">
        <v>0</v>
      </c>
      <c r="I77" s="426">
        <v>0</v>
      </c>
      <c r="J77" s="426">
        <v>0</v>
      </c>
      <c r="K77" s="426">
        <v>0</v>
      </c>
    </row>
    <row r="78" spans="1:11" x14ac:dyDescent="0.25">
      <c r="A78" s="83" t="s">
        <v>640</v>
      </c>
      <c r="B78" s="83"/>
      <c r="C78" s="426">
        <v>0</v>
      </c>
      <c r="D78" s="426">
        <v>0</v>
      </c>
      <c r="E78" s="426">
        <v>0</v>
      </c>
      <c r="F78" s="426">
        <v>0</v>
      </c>
      <c r="G78" s="426">
        <v>0</v>
      </c>
      <c r="H78" s="426">
        <v>0</v>
      </c>
      <c r="I78" s="426">
        <v>0</v>
      </c>
      <c r="J78" s="426">
        <v>0</v>
      </c>
      <c r="K78" s="426">
        <v>0</v>
      </c>
    </row>
    <row r="79" spans="1:11" x14ac:dyDescent="0.25">
      <c r="A79" s="83" t="s">
        <v>641</v>
      </c>
      <c r="B79" s="83"/>
      <c r="C79" s="426">
        <v>0</v>
      </c>
      <c r="D79" s="426">
        <v>0</v>
      </c>
      <c r="E79" s="426">
        <v>0</v>
      </c>
      <c r="F79" s="426">
        <v>0</v>
      </c>
      <c r="G79" s="426">
        <v>0</v>
      </c>
      <c r="H79" s="426">
        <v>0</v>
      </c>
      <c r="I79" s="426">
        <v>0</v>
      </c>
      <c r="J79" s="426">
        <v>0</v>
      </c>
      <c r="K79" s="426">
        <v>0</v>
      </c>
    </row>
    <row r="80" spans="1:11" x14ac:dyDescent="0.25">
      <c r="A80" s="83"/>
      <c r="B80" s="83"/>
      <c r="C80" s="83"/>
      <c r="D80" s="83"/>
      <c r="E80" s="83"/>
      <c r="F80" s="83"/>
      <c r="G80" s="83"/>
      <c r="H80" s="83"/>
      <c r="I80" s="83"/>
      <c r="J80" s="83"/>
      <c r="K80" s="83"/>
    </row>
    <row r="81" spans="1:11" x14ac:dyDescent="0.25">
      <c r="A81" s="60" t="s">
        <v>643</v>
      </c>
      <c r="B81" s="83"/>
      <c r="C81" s="83"/>
      <c r="D81" s="83"/>
      <c r="E81" s="83"/>
      <c r="F81" s="83"/>
      <c r="G81" s="83"/>
      <c r="H81" s="83"/>
      <c r="I81" s="83"/>
      <c r="J81" s="83"/>
      <c r="K81" s="83"/>
    </row>
    <row r="82" spans="1:11" x14ac:dyDescent="0.25">
      <c r="A82" s="425" t="s">
        <v>875</v>
      </c>
      <c r="B82" s="83"/>
      <c r="C82" s="83"/>
      <c r="D82" s="83"/>
      <c r="E82" s="83"/>
      <c r="F82" s="83"/>
      <c r="G82" s="83"/>
      <c r="H82" s="83"/>
      <c r="I82" s="83"/>
      <c r="J82" s="83"/>
      <c r="K82" s="83"/>
    </row>
    <row r="83" spans="1:11" x14ac:dyDescent="0.25">
      <c r="A83" s="83" t="s">
        <v>639</v>
      </c>
      <c r="B83" s="83"/>
      <c r="C83" s="426">
        <v>0</v>
      </c>
      <c r="D83" s="426">
        <v>0</v>
      </c>
      <c r="E83" s="426">
        <v>0</v>
      </c>
      <c r="F83" s="426">
        <v>0</v>
      </c>
      <c r="G83" s="426">
        <v>0</v>
      </c>
      <c r="H83" s="426">
        <v>0</v>
      </c>
      <c r="I83" s="426">
        <v>0</v>
      </c>
      <c r="J83" s="426">
        <v>0</v>
      </c>
      <c r="K83" s="426">
        <v>0</v>
      </c>
    </row>
    <row r="84" spans="1:11" x14ac:dyDescent="0.25">
      <c r="A84" s="83" t="s">
        <v>640</v>
      </c>
      <c r="B84" s="83"/>
      <c r="C84" s="426">
        <v>0</v>
      </c>
      <c r="D84" s="426">
        <v>0</v>
      </c>
      <c r="E84" s="426">
        <v>0</v>
      </c>
      <c r="F84" s="426">
        <v>0</v>
      </c>
      <c r="G84" s="426">
        <v>0</v>
      </c>
      <c r="H84" s="426">
        <v>0</v>
      </c>
      <c r="I84" s="426">
        <v>0</v>
      </c>
      <c r="J84" s="426">
        <v>0</v>
      </c>
      <c r="K84" s="426">
        <v>0</v>
      </c>
    </row>
    <row r="85" spans="1:11" x14ac:dyDescent="0.25">
      <c r="A85" s="83" t="s">
        <v>641</v>
      </c>
      <c r="B85" s="83"/>
      <c r="C85" s="426">
        <v>0</v>
      </c>
      <c r="D85" s="426">
        <v>0</v>
      </c>
      <c r="E85" s="426">
        <v>0</v>
      </c>
      <c r="F85" s="426">
        <v>0</v>
      </c>
      <c r="G85" s="426">
        <v>0</v>
      </c>
      <c r="H85" s="426">
        <v>0</v>
      </c>
      <c r="I85" s="426">
        <v>0</v>
      </c>
      <c r="J85" s="426">
        <v>0</v>
      </c>
      <c r="K85" s="426">
        <v>0</v>
      </c>
    </row>
    <row r="86" spans="1:11" x14ac:dyDescent="0.25">
      <c r="A86" s="436"/>
      <c r="B86" s="437"/>
      <c r="C86" s="438"/>
      <c r="D86" s="438"/>
      <c r="E86" s="438"/>
      <c r="F86" s="438"/>
      <c r="G86" s="438"/>
      <c r="H86" s="439"/>
      <c r="I86" s="439"/>
      <c r="J86" s="438"/>
      <c r="K86" s="438"/>
    </row>
    <row r="87" spans="1:11" x14ac:dyDescent="0.25">
      <c r="A87" s="60" t="s">
        <v>644</v>
      </c>
      <c r="B87" s="83"/>
      <c r="C87" s="83"/>
      <c r="D87" s="83"/>
      <c r="E87" s="83"/>
      <c r="F87" s="83"/>
      <c r="G87" s="83"/>
      <c r="H87" s="83"/>
      <c r="I87" s="83"/>
      <c r="J87" s="83"/>
      <c r="K87" s="83"/>
    </row>
    <row r="88" spans="1:11" x14ac:dyDescent="0.25">
      <c r="A88" s="425" t="s">
        <v>875</v>
      </c>
      <c r="B88" s="83"/>
      <c r="C88" s="83"/>
      <c r="D88" s="83"/>
      <c r="E88" s="83"/>
      <c r="F88" s="83"/>
      <c r="G88" s="83"/>
      <c r="H88" s="83"/>
      <c r="I88" s="83"/>
      <c r="J88" s="83"/>
      <c r="K88" s="83"/>
    </row>
    <row r="89" spans="1:11" x14ac:dyDescent="0.25">
      <c r="A89" s="83" t="s">
        <v>639</v>
      </c>
      <c r="B89" s="83"/>
      <c r="C89" s="426">
        <v>0</v>
      </c>
      <c r="D89" s="426">
        <v>0</v>
      </c>
      <c r="E89" s="426">
        <v>0</v>
      </c>
      <c r="F89" s="426">
        <v>0</v>
      </c>
      <c r="G89" s="426">
        <v>0</v>
      </c>
      <c r="H89" s="426">
        <v>0</v>
      </c>
      <c r="I89" s="426">
        <v>0</v>
      </c>
      <c r="J89" s="426">
        <v>0</v>
      </c>
      <c r="K89" s="426">
        <v>0</v>
      </c>
    </row>
    <row r="90" spans="1:11" x14ac:dyDescent="0.25">
      <c r="A90" s="83" t="s">
        <v>640</v>
      </c>
      <c r="B90" s="83"/>
      <c r="C90" s="426">
        <v>0</v>
      </c>
      <c r="D90" s="426">
        <v>0</v>
      </c>
      <c r="E90" s="426">
        <v>0</v>
      </c>
      <c r="F90" s="426">
        <v>0</v>
      </c>
      <c r="G90" s="426">
        <v>0</v>
      </c>
      <c r="H90" s="426">
        <v>0</v>
      </c>
      <c r="I90" s="426">
        <v>0</v>
      </c>
      <c r="J90" s="426">
        <v>0</v>
      </c>
      <c r="K90" s="426">
        <v>0</v>
      </c>
    </row>
    <row r="91" spans="1:11" x14ac:dyDescent="0.25">
      <c r="A91" s="83" t="s">
        <v>641</v>
      </c>
      <c r="B91" s="83"/>
      <c r="C91" s="426">
        <v>0</v>
      </c>
      <c r="D91" s="426">
        <v>0</v>
      </c>
      <c r="E91" s="426">
        <v>0</v>
      </c>
      <c r="F91" s="426">
        <v>0</v>
      </c>
      <c r="G91" s="426">
        <v>0</v>
      </c>
      <c r="H91" s="426">
        <v>0</v>
      </c>
      <c r="I91" s="426">
        <v>0</v>
      </c>
      <c r="J91" s="426">
        <v>0</v>
      </c>
      <c r="K91" s="426">
        <v>0</v>
      </c>
    </row>
    <row r="92" spans="1:11" x14ac:dyDescent="0.25">
      <c r="A92" s="436"/>
      <c r="B92" s="440"/>
      <c r="C92" s="441"/>
      <c r="D92" s="441"/>
      <c r="E92" s="441"/>
      <c r="F92" s="441"/>
      <c r="G92" s="441"/>
      <c r="H92" s="441"/>
      <c r="I92" s="442"/>
      <c r="J92" s="442"/>
      <c r="K92" s="441"/>
    </row>
    <row r="93" spans="1:11" x14ac:dyDescent="0.25">
      <c r="A93" s="60" t="s">
        <v>645</v>
      </c>
      <c r="B93" s="83"/>
      <c r="C93" s="83"/>
      <c r="D93" s="83"/>
      <c r="E93" s="83"/>
      <c r="F93" s="83"/>
      <c r="G93" s="83"/>
      <c r="H93" s="83"/>
      <c r="I93" s="83"/>
      <c r="J93" s="83"/>
      <c r="K93" s="83"/>
    </row>
    <row r="94" spans="1:11" x14ac:dyDescent="0.25">
      <c r="A94" s="425" t="s">
        <v>875</v>
      </c>
      <c r="B94" s="83"/>
      <c r="C94" s="83"/>
      <c r="D94" s="83"/>
      <c r="E94" s="83"/>
      <c r="F94" s="83"/>
      <c r="G94" s="83"/>
      <c r="H94" s="83"/>
      <c r="I94" s="83"/>
      <c r="J94" s="83"/>
      <c r="K94" s="83"/>
    </row>
    <row r="95" spans="1:11" x14ac:dyDescent="0.25">
      <c r="A95" s="83" t="s">
        <v>639</v>
      </c>
      <c r="B95" s="83"/>
      <c r="C95" s="426">
        <v>0</v>
      </c>
      <c r="D95" s="426">
        <v>0</v>
      </c>
      <c r="E95" s="426">
        <v>0</v>
      </c>
      <c r="F95" s="426">
        <v>0</v>
      </c>
      <c r="G95" s="426">
        <v>0</v>
      </c>
      <c r="H95" s="426">
        <v>0</v>
      </c>
      <c r="I95" s="426">
        <v>0</v>
      </c>
      <c r="J95" s="426">
        <v>0</v>
      </c>
      <c r="K95" s="426">
        <v>0</v>
      </c>
    </row>
    <row r="96" spans="1:11" x14ac:dyDescent="0.25">
      <c r="A96" s="83" t="s">
        <v>640</v>
      </c>
      <c r="B96" s="83"/>
      <c r="C96" s="426">
        <v>0</v>
      </c>
      <c r="D96" s="426">
        <v>0</v>
      </c>
      <c r="E96" s="426">
        <v>0</v>
      </c>
      <c r="F96" s="426">
        <v>0</v>
      </c>
      <c r="G96" s="426">
        <v>0</v>
      </c>
      <c r="H96" s="426">
        <v>0</v>
      </c>
      <c r="I96" s="426">
        <v>0</v>
      </c>
      <c r="J96" s="426">
        <v>0</v>
      </c>
      <c r="K96" s="426">
        <v>0</v>
      </c>
    </row>
    <row r="97" spans="1:12" x14ac:dyDescent="0.25">
      <c r="A97" s="83" t="s">
        <v>641</v>
      </c>
      <c r="B97" s="83"/>
      <c r="C97" s="426">
        <v>0</v>
      </c>
      <c r="D97" s="426">
        <v>0</v>
      </c>
      <c r="E97" s="426">
        <v>0</v>
      </c>
      <c r="F97" s="426">
        <v>0</v>
      </c>
      <c r="G97" s="426">
        <v>0</v>
      </c>
      <c r="H97" s="426">
        <v>0</v>
      </c>
      <c r="I97" s="426">
        <v>0</v>
      </c>
      <c r="J97" s="426">
        <v>0</v>
      </c>
      <c r="K97" s="426">
        <v>0</v>
      </c>
    </row>
    <row r="98" spans="1:12" x14ac:dyDescent="0.25">
      <c r="A98" s="436"/>
      <c r="B98" s="443"/>
      <c r="C98" s="441"/>
      <c r="D98" s="441"/>
      <c r="E98" s="441"/>
      <c r="F98" s="441"/>
      <c r="G98" s="441"/>
      <c r="H98" s="441"/>
      <c r="I98" s="436"/>
      <c r="J98" s="444"/>
      <c r="K98" s="441"/>
    </row>
    <row r="99" spans="1:12" x14ac:dyDescent="0.25">
      <c r="A99" s="60" t="s">
        <v>872</v>
      </c>
      <c r="B99" s="60"/>
      <c r="C99" s="428">
        <f t="shared" ref="C99:F101" si="2">SUM(C95,C89,C83,C77,C71)</f>
        <v>0</v>
      </c>
      <c r="D99" s="428">
        <f t="shared" si="2"/>
        <v>0</v>
      </c>
      <c r="E99" s="428">
        <f t="shared" si="2"/>
        <v>0</v>
      </c>
      <c r="F99" s="428">
        <f t="shared" si="2"/>
        <v>0</v>
      </c>
      <c r="G99" s="428">
        <f>SUM(G95,G89,G83,G77,G71)</f>
        <v>176493</v>
      </c>
      <c r="H99" s="428">
        <f t="shared" ref="H99:K101" si="3">SUM(H95,H89,H83,H77,H71)</f>
        <v>0</v>
      </c>
      <c r="I99" s="428">
        <f t="shared" si="3"/>
        <v>0</v>
      </c>
      <c r="J99" s="428">
        <f t="shared" si="3"/>
        <v>0</v>
      </c>
      <c r="K99" s="428">
        <f t="shared" si="3"/>
        <v>0</v>
      </c>
      <c r="L99" s="427"/>
    </row>
    <row r="100" spans="1:12" x14ac:dyDescent="0.25">
      <c r="A100" s="60" t="s">
        <v>873</v>
      </c>
      <c r="B100" s="60"/>
      <c r="C100" s="428">
        <f t="shared" si="2"/>
        <v>0</v>
      </c>
      <c r="D100" s="428">
        <f t="shared" si="2"/>
        <v>0</v>
      </c>
      <c r="E100" s="428">
        <f t="shared" si="2"/>
        <v>0</v>
      </c>
      <c r="F100" s="428">
        <f t="shared" si="2"/>
        <v>0</v>
      </c>
      <c r="G100" s="428">
        <f>SUM(G96,G90,G84,G78,G72)</f>
        <v>0</v>
      </c>
      <c r="H100" s="428">
        <f t="shared" si="3"/>
        <v>0</v>
      </c>
      <c r="I100" s="428">
        <f t="shared" si="3"/>
        <v>0</v>
      </c>
      <c r="J100" s="428">
        <f t="shared" si="3"/>
        <v>0</v>
      </c>
      <c r="K100" s="428">
        <f t="shared" si="3"/>
        <v>0</v>
      </c>
      <c r="L100" s="427"/>
    </row>
    <row r="101" spans="1:12" x14ac:dyDescent="0.25">
      <c r="A101" s="60" t="s">
        <v>874</v>
      </c>
      <c r="B101" s="429"/>
      <c r="C101" s="430">
        <f t="shared" si="2"/>
        <v>0</v>
      </c>
      <c r="D101" s="430">
        <f t="shared" si="2"/>
        <v>0</v>
      </c>
      <c r="E101" s="430">
        <f t="shared" si="2"/>
        <v>0</v>
      </c>
      <c r="F101" s="430">
        <f t="shared" si="2"/>
        <v>0</v>
      </c>
      <c r="G101" s="430">
        <f>SUM(G97,G91,G85,G79,G73)</f>
        <v>0</v>
      </c>
      <c r="H101" s="430">
        <f t="shared" si="3"/>
        <v>0</v>
      </c>
      <c r="I101" s="430">
        <f t="shared" si="3"/>
        <v>0</v>
      </c>
      <c r="J101" s="430">
        <f t="shared" si="3"/>
        <v>0</v>
      </c>
      <c r="K101" s="430">
        <f t="shared" si="3"/>
        <v>0</v>
      </c>
    </row>
    <row r="102" spans="1:12" x14ac:dyDescent="0.25">
      <c r="A102" s="445"/>
      <c r="B102" s="446"/>
      <c r="C102" s="446"/>
      <c r="D102" s="446"/>
      <c r="E102" s="446"/>
      <c r="F102" s="446"/>
      <c r="G102" s="447"/>
      <c r="H102" s="447"/>
      <c r="I102" s="445"/>
      <c r="J102" s="448"/>
      <c r="K102" s="447"/>
    </row>
  </sheetData>
  <mergeCells count="8">
    <mergeCell ref="A9:K9"/>
    <mergeCell ref="A18:I18"/>
    <mergeCell ref="A17:J17"/>
    <mergeCell ref="A13:G13"/>
    <mergeCell ref="A14:F14"/>
    <mergeCell ref="A15:F15"/>
    <mergeCell ref="A12:G12"/>
    <mergeCell ref="A10:K10"/>
  </mergeCells>
  <dataValidations disablePrompts="1" count="1">
    <dataValidation allowBlank="1" showInputMessage="1" showErrorMessage="1" promptTitle="Date Format" prompt="E.g:  &quot;August 1, 2011&quot;" sqref="IZ7 SV7 ACR7 AMN7 AWJ7 BGF7 BQB7 BZX7 CJT7 CTP7 DDL7 DNH7 DXD7 EGZ7 EQV7 FAR7 FKN7 FUJ7 GEF7 GOB7 GXX7 HHT7 HRP7 IBL7 ILH7 IVD7 JEZ7 JOV7 JYR7 KIN7 KSJ7 LCF7 LMB7 LVX7 MFT7 MPP7 MZL7 NJH7 NTD7 OCZ7 OMV7 OWR7 PGN7 PQJ7 QAF7 QKB7 QTX7 RDT7 RNP7 RXL7 SHH7 SRD7 TAZ7 TKV7 TUR7 UEN7 UOJ7 UYF7 VIB7 VRX7 WBT7 WLP7 WVL7"/>
  </dataValidations>
  <pageMargins left="0.70866141732283472" right="0.70866141732283472" top="0.74803149606299213" bottom="0.74803149606299213" header="0.31496062992125984" footer="0.31496062992125984"/>
  <pageSetup scale="45" orientation="portrait" r:id="rId1"/>
  <rowBreaks count="1" manualBreakCount="1">
    <brk id="66" max="16383" man="1"/>
  </rowBreaks>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8">
    <tabColor rgb="FF00B0F0"/>
    <pageSetUpPr fitToPage="1"/>
  </sheetPr>
  <dimension ref="A1:AD95"/>
  <sheetViews>
    <sheetView showGridLines="0" zoomScaleNormal="100" workbookViewId="0"/>
  </sheetViews>
  <sheetFormatPr defaultColWidth="8.85546875" defaultRowHeight="15" x14ac:dyDescent="0.25"/>
  <cols>
    <col min="1" max="1" width="34.7109375" style="415" customWidth="1"/>
    <col min="2" max="2" width="18" style="415" customWidth="1"/>
    <col min="3" max="13" width="14.7109375" style="415" customWidth="1"/>
    <col min="14" max="14" width="12.7109375" style="415" customWidth="1"/>
    <col min="15" max="29" width="14.7109375" style="415" customWidth="1"/>
    <col min="30" max="16384" width="8.85546875" style="415"/>
  </cols>
  <sheetData>
    <row r="1" spans="1:24" s="375" customFormat="1" x14ac:dyDescent="0.25">
      <c r="A1" s="52"/>
      <c r="B1" s="52"/>
      <c r="C1" s="52"/>
      <c r="D1" s="52"/>
      <c r="E1" s="52"/>
      <c r="F1" s="52"/>
      <c r="G1" s="52"/>
      <c r="H1" s="52"/>
      <c r="I1" s="52"/>
      <c r="J1" s="52"/>
      <c r="K1" s="52"/>
      <c r="L1" s="52"/>
      <c r="M1" s="52"/>
      <c r="N1" s="60" t="s">
        <v>301</v>
      </c>
      <c r="O1" s="1092" t="str">
        <f>EBNUMBER</f>
        <v>EB-2016-0066</v>
      </c>
    </row>
    <row r="2" spans="1:24" s="375" customFormat="1" x14ac:dyDescent="0.25">
      <c r="A2" s="52"/>
      <c r="B2" s="52"/>
      <c r="C2" s="52"/>
      <c r="D2" s="52"/>
      <c r="E2" s="52"/>
      <c r="F2" s="52"/>
      <c r="G2" s="52"/>
      <c r="H2" s="52"/>
      <c r="I2" s="52"/>
      <c r="J2" s="52"/>
      <c r="K2" s="52"/>
      <c r="L2" s="52"/>
      <c r="M2" s="52"/>
      <c r="N2" s="60" t="s">
        <v>302</v>
      </c>
      <c r="O2" s="62"/>
    </row>
    <row r="3" spans="1:24" s="375" customFormat="1" x14ac:dyDescent="0.25">
      <c r="A3" s="52"/>
      <c r="B3" s="52"/>
      <c r="C3" s="52"/>
      <c r="D3" s="52"/>
      <c r="E3" s="52"/>
      <c r="F3" s="52"/>
      <c r="G3" s="52"/>
      <c r="H3" s="52"/>
      <c r="I3" s="52"/>
      <c r="J3" s="52"/>
      <c r="K3" s="52"/>
      <c r="L3" s="52"/>
      <c r="M3" s="52"/>
      <c r="N3" s="60" t="s">
        <v>303</v>
      </c>
      <c r="O3" s="62"/>
    </row>
    <row r="4" spans="1:24" s="375" customFormat="1" x14ac:dyDescent="0.25">
      <c r="A4" s="52"/>
      <c r="B4" s="52"/>
      <c r="C4" s="52"/>
      <c r="D4" s="52"/>
      <c r="E4" s="52"/>
      <c r="F4" s="52"/>
      <c r="G4" s="52"/>
      <c r="H4" s="52"/>
      <c r="I4" s="52"/>
      <c r="J4" s="52"/>
      <c r="K4" s="52"/>
      <c r="L4" s="52"/>
      <c r="M4" s="52"/>
      <c r="N4" s="60" t="s">
        <v>304</v>
      </c>
      <c r="O4" s="62"/>
    </row>
    <row r="5" spans="1:24" s="375" customFormat="1" x14ac:dyDescent="0.25">
      <c r="A5" s="52"/>
      <c r="B5" s="52"/>
      <c r="C5" s="52"/>
      <c r="D5" s="52"/>
      <c r="E5" s="52"/>
      <c r="F5" s="52"/>
      <c r="G5" s="52"/>
      <c r="H5" s="52"/>
      <c r="I5" s="52"/>
      <c r="J5" s="52"/>
      <c r="K5" s="52"/>
      <c r="L5" s="52"/>
      <c r="M5" s="52"/>
      <c r="N5" s="60" t="s">
        <v>305</v>
      </c>
      <c r="O5" s="63"/>
    </row>
    <row r="6" spans="1:24" s="375" customFormat="1" x14ac:dyDescent="0.25">
      <c r="A6" s="52"/>
      <c r="B6" s="52"/>
      <c r="C6" s="52"/>
      <c r="D6" s="52"/>
      <c r="E6" s="52"/>
      <c r="F6" s="52"/>
      <c r="G6" s="52"/>
      <c r="H6" s="52"/>
      <c r="I6" s="52"/>
      <c r="J6" s="52"/>
      <c r="K6" s="52"/>
      <c r="L6" s="52"/>
      <c r="M6" s="52"/>
      <c r="N6" s="60"/>
      <c r="O6" s="61"/>
    </row>
    <row r="7" spans="1:24" s="375" customFormat="1" x14ac:dyDescent="0.25">
      <c r="A7" s="52"/>
      <c r="B7" s="52"/>
      <c r="C7" s="52"/>
      <c r="D7" s="52"/>
      <c r="E7" s="52"/>
      <c r="F7" s="52"/>
      <c r="G7" s="52"/>
      <c r="H7" s="52"/>
      <c r="I7" s="52"/>
      <c r="J7" s="52"/>
      <c r="K7" s="52"/>
      <c r="L7" s="52"/>
      <c r="M7" s="52"/>
      <c r="N7" s="60" t="s">
        <v>306</v>
      </c>
      <c r="O7" s="63"/>
    </row>
    <row r="8" spans="1:24" s="375" customFormat="1" x14ac:dyDescent="0.25">
      <c r="A8" s="56"/>
      <c r="B8" s="56"/>
      <c r="C8" s="56"/>
      <c r="D8" s="56"/>
      <c r="E8" s="56"/>
      <c r="F8" s="56"/>
      <c r="G8" s="56"/>
      <c r="H8" s="56"/>
      <c r="I8" s="56"/>
      <c r="J8" s="56"/>
      <c r="K8" s="56"/>
      <c r="L8" s="56"/>
      <c r="M8" s="56"/>
      <c r="N8" s="56"/>
      <c r="O8" s="56"/>
      <c r="P8" s="56"/>
      <c r="Q8" s="56"/>
      <c r="R8" s="56"/>
      <c r="S8" s="56"/>
      <c r="T8" s="56"/>
      <c r="U8" s="413"/>
      <c r="V8" s="413"/>
      <c r="W8" s="413"/>
      <c r="X8" s="413"/>
    </row>
    <row r="9" spans="1:24" s="375" customFormat="1" ht="18" x14ac:dyDescent="0.25">
      <c r="A9" s="1591" t="s">
        <v>650</v>
      </c>
      <c r="B9" s="1591"/>
      <c r="C9" s="1591"/>
      <c r="D9" s="1591"/>
      <c r="E9" s="1591"/>
      <c r="F9" s="1591"/>
      <c r="G9" s="1591"/>
      <c r="H9" s="1591"/>
      <c r="I9" s="1591"/>
      <c r="J9" s="1591"/>
      <c r="K9" s="1591"/>
      <c r="L9" s="1591"/>
      <c r="M9" s="1591"/>
      <c r="N9" s="1591"/>
      <c r="O9" s="1591"/>
      <c r="P9" s="1591"/>
      <c r="Q9" s="1591"/>
      <c r="R9" s="1591"/>
      <c r="S9" s="414"/>
      <c r="T9" s="414"/>
      <c r="U9" s="414"/>
      <c r="V9" s="413"/>
      <c r="W9" s="413"/>
      <c r="X9" s="413"/>
    </row>
    <row r="10" spans="1:24" s="375" customFormat="1" ht="39.75" customHeight="1" x14ac:dyDescent="0.25">
      <c r="A10" s="1680" t="s">
        <v>651</v>
      </c>
      <c r="B10" s="1680"/>
      <c r="C10" s="1680"/>
      <c r="D10" s="1680"/>
      <c r="E10" s="1680"/>
      <c r="F10" s="1680"/>
      <c r="G10" s="1680"/>
      <c r="H10" s="1680"/>
      <c r="I10" s="1680"/>
      <c r="J10" s="1680"/>
      <c r="K10" s="1680"/>
      <c r="L10" s="1680"/>
      <c r="M10" s="1680"/>
      <c r="N10" s="1680"/>
      <c r="O10" s="1680"/>
      <c r="P10" s="1680"/>
      <c r="Q10" s="1680"/>
      <c r="R10" s="1680"/>
      <c r="S10" s="414"/>
      <c r="T10" s="414"/>
      <c r="U10" s="414"/>
      <c r="V10" s="413"/>
      <c r="W10" s="413"/>
      <c r="X10" s="413"/>
    </row>
    <row r="11" spans="1:24" s="375" customFormat="1" ht="18" x14ac:dyDescent="0.25">
      <c r="A11" s="414"/>
      <c r="B11" s="414"/>
      <c r="C11" s="414"/>
      <c r="D11" s="414"/>
      <c r="E11" s="414"/>
      <c r="F11" s="414"/>
      <c r="G11" s="414"/>
      <c r="H11" s="414"/>
      <c r="I11" s="414"/>
      <c r="J11" s="414"/>
      <c r="K11" s="414"/>
      <c r="L11" s="414"/>
      <c r="M11" s="414"/>
      <c r="N11" s="414"/>
      <c r="O11" s="414"/>
      <c r="P11" s="414"/>
      <c r="Q11" s="414"/>
      <c r="R11" s="414"/>
      <c r="S11" s="414"/>
      <c r="T11" s="414"/>
      <c r="U11" s="414"/>
      <c r="V11" s="413"/>
      <c r="W11" s="413"/>
      <c r="X11" s="413"/>
    </row>
    <row r="12" spans="1:24" x14ac:dyDescent="0.25">
      <c r="A12" s="1753" t="s">
        <v>652</v>
      </c>
      <c r="B12" s="1753"/>
      <c r="C12" s="1753"/>
      <c r="D12" s="1753"/>
      <c r="E12" s="1753"/>
      <c r="F12" s="1753"/>
      <c r="G12" s="1753"/>
      <c r="H12" s="1753"/>
      <c r="I12" s="1753"/>
      <c r="J12" s="1753"/>
      <c r="K12" s="1753"/>
      <c r="L12" s="1753"/>
      <c r="M12" s="1753"/>
      <c r="N12" s="1753"/>
      <c r="O12" s="1753"/>
      <c r="P12" s="1753"/>
      <c r="Q12" s="1753"/>
      <c r="R12" s="1753"/>
    </row>
    <row r="13" spans="1:24" x14ac:dyDescent="0.25">
      <c r="A13" s="1753" t="s">
        <v>653</v>
      </c>
      <c r="B13" s="1753"/>
      <c r="C13" s="1753"/>
      <c r="D13" s="1753"/>
      <c r="E13" s="1753"/>
      <c r="F13" s="1753"/>
      <c r="G13" s="1753"/>
      <c r="H13" s="1753"/>
      <c r="I13" s="1753"/>
      <c r="J13" s="1753"/>
      <c r="K13" s="1753"/>
      <c r="L13" s="1753"/>
      <c r="M13" s="1753"/>
      <c r="N13" s="1753"/>
      <c r="O13" s="1753"/>
      <c r="P13" s="1753"/>
      <c r="Q13" s="1753"/>
      <c r="R13" s="1753"/>
    </row>
    <row r="14" spans="1:24" x14ac:dyDescent="0.25">
      <c r="A14" s="449" t="s">
        <v>1180</v>
      </c>
    </row>
    <row r="15" spans="1:24" x14ac:dyDescent="0.25">
      <c r="A15" s="1753" t="s">
        <v>1182</v>
      </c>
      <c r="B15" s="1753"/>
      <c r="C15" s="1753"/>
      <c r="D15" s="1753"/>
      <c r="E15" s="1753"/>
      <c r="F15" s="1753"/>
      <c r="G15" s="1753"/>
      <c r="H15" s="1753"/>
      <c r="I15" s="1753"/>
      <c r="J15" s="1753"/>
      <c r="K15" s="1753"/>
      <c r="L15" s="1753"/>
      <c r="M15" s="1753"/>
      <c r="N15" s="1753"/>
      <c r="O15" s="1753"/>
      <c r="P15" s="1753"/>
      <c r="Q15" s="1753"/>
      <c r="R15" s="1753"/>
    </row>
    <row r="16" spans="1:24" ht="15.75" thickBot="1" x14ac:dyDescent="0.3"/>
    <row r="17" spans="1:30" s="452" customFormat="1" ht="15.75" thickBot="1" x14ac:dyDescent="0.3">
      <c r="A17" s="450"/>
      <c r="B17" s="450"/>
      <c r="C17" s="1750">
        <f>F17-1</f>
        <v>2013</v>
      </c>
      <c r="D17" s="1751"/>
      <c r="E17" s="1752"/>
      <c r="F17" s="1750">
        <f>I17-1</f>
        <v>2014</v>
      </c>
      <c r="G17" s="1751"/>
      <c r="H17" s="1752"/>
      <c r="I17" s="1750">
        <f>L17-1</f>
        <v>2015</v>
      </c>
      <c r="J17" s="1751"/>
      <c r="K17" s="1752"/>
      <c r="L17" s="1750">
        <f>BridgeYear</f>
        <v>2016</v>
      </c>
      <c r="M17" s="1751"/>
      <c r="N17" s="1752"/>
      <c r="O17" s="1750" t="str">
        <f>CONCATENATE(TestYear," Test Year")</f>
        <v>2017 Test Year</v>
      </c>
      <c r="P17" s="1751"/>
      <c r="Q17" s="1752"/>
      <c r="R17" s="1750">
        <f>TestYear+1</f>
        <v>2018</v>
      </c>
      <c r="S17" s="1751"/>
      <c r="T17" s="1752"/>
      <c r="U17" s="1750">
        <f>R17+1</f>
        <v>2019</v>
      </c>
      <c r="V17" s="1751">
        <v>2016</v>
      </c>
      <c r="W17" s="1752"/>
      <c r="X17" s="1750">
        <f>U17+1</f>
        <v>2020</v>
      </c>
      <c r="Y17" s="1751"/>
      <c r="Z17" s="1752"/>
      <c r="AA17" s="1750">
        <f>X17+1</f>
        <v>2021</v>
      </c>
      <c r="AB17" s="1751"/>
      <c r="AC17" s="1752"/>
      <c r="AD17" s="451"/>
    </row>
    <row r="18" spans="1:30" x14ac:dyDescent="0.25">
      <c r="A18" s="83"/>
      <c r="B18" s="83"/>
      <c r="C18" s="83"/>
      <c r="D18" s="60" t="s">
        <v>654</v>
      </c>
      <c r="E18" s="422" t="s">
        <v>655</v>
      </c>
      <c r="F18" s="83"/>
      <c r="G18" s="60" t="s">
        <v>654</v>
      </c>
      <c r="H18" s="422" t="s">
        <v>655</v>
      </c>
      <c r="I18" s="83"/>
      <c r="J18" s="60" t="s">
        <v>654</v>
      </c>
      <c r="K18" s="422" t="s">
        <v>655</v>
      </c>
      <c r="L18" s="83"/>
      <c r="M18" s="60" t="s">
        <v>654</v>
      </c>
      <c r="N18" s="422" t="s">
        <v>655</v>
      </c>
      <c r="O18" s="83"/>
      <c r="P18" s="60" t="s">
        <v>654</v>
      </c>
      <c r="Q18" s="422" t="s">
        <v>655</v>
      </c>
      <c r="R18" s="83"/>
      <c r="S18" s="60" t="s">
        <v>654</v>
      </c>
      <c r="T18" s="422" t="s">
        <v>655</v>
      </c>
      <c r="U18" s="83"/>
      <c r="V18" s="60" t="s">
        <v>654</v>
      </c>
      <c r="W18" s="422" t="s">
        <v>655</v>
      </c>
      <c r="X18" s="83"/>
      <c r="Y18" s="60" t="s">
        <v>654</v>
      </c>
      <c r="Z18" s="422" t="s">
        <v>655</v>
      </c>
      <c r="AA18" s="83"/>
      <c r="AB18" s="60" t="s">
        <v>654</v>
      </c>
      <c r="AC18" s="422" t="s">
        <v>655</v>
      </c>
      <c r="AD18" s="83"/>
    </row>
    <row r="19" spans="1:30" x14ac:dyDescent="0.25">
      <c r="A19" s="453"/>
      <c r="B19" s="454"/>
      <c r="C19" s="454" t="s">
        <v>295</v>
      </c>
      <c r="D19" s="455">
        <v>0.06</v>
      </c>
      <c r="E19" s="455">
        <v>0.94</v>
      </c>
      <c r="F19" s="454" t="s">
        <v>295</v>
      </c>
      <c r="G19" s="455">
        <v>0.06</v>
      </c>
      <c r="H19" s="455">
        <v>0.94</v>
      </c>
      <c r="I19" s="454" t="s">
        <v>295</v>
      </c>
      <c r="J19" s="455">
        <v>0.06</v>
      </c>
      <c r="K19" s="455">
        <v>0.94</v>
      </c>
      <c r="L19" s="454" t="s">
        <v>295</v>
      </c>
      <c r="M19" s="455">
        <v>0.06</v>
      </c>
      <c r="N19" s="455">
        <v>0.94</v>
      </c>
      <c r="O19" s="454" t="s">
        <v>295</v>
      </c>
      <c r="P19" s="455">
        <v>0.06</v>
      </c>
      <c r="Q19" s="455">
        <v>0.94</v>
      </c>
      <c r="R19" s="454" t="s">
        <v>295</v>
      </c>
      <c r="S19" s="455">
        <v>0.06</v>
      </c>
      <c r="T19" s="455">
        <v>0.94</v>
      </c>
      <c r="U19" s="454" t="s">
        <v>295</v>
      </c>
      <c r="V19" s="455">
        <v>0.06</v>
      </c>
      <c r="W19" s="455">
        <v>0.94</v>
      </c>
      <c r="X19" s="454" t="s">
        <v>295</v>
      </c>
      <c r="Y19" s="455">
        <v>0.06</v>
      </c>
      <c r="Z19" s="455">
        <v>0.94</v>
      </c>
      <c r="AA19" s="454" t="s">
        <v>295</v>
      </c>
      <c r="AB19" s="455">
        <v>0.06</v>
      </c>
      <c r="AC19" s="455">
        <v>0.94</v>
      </c>
      <c r="AD19" s="83"/>
    </row>
    <row r="20" spans="1:30" x14ac:dyDescent="0.25">
      <c r="A20" s="60" t="s">
        <v>656</v>
      </c>
      <c r="B20" s="456"/>
      <c r="C20" s="457">
        <f>D82</f>
        <v>0</v>
      </c>
      <c r="D20" s="427">
        <f>C20*D19</f>
        <v>0</v>
      </c>
      <c r="E20" s="458">
        <f>C20*E19</f>
        <v>0</v>
      </c>
      <c r="F20" s="457">
        <f>E82</f>
        <v>0</v>
      </c>
      <c r="G20" s="427">
        <f>F20*G19</f>
        <v>0</v>
      </c>
      <c r="H20" s="458">
        <f>F20*H19</f>
        <v>0</v>
      </c>
      <c r="I20" s="457">
        <f>F82</f>
        <v>0</v>
      </c>
      <c r="J20" s="427">
        <f>I20*J19</f>
        <v>0</v>
      </c>
      <c r="K20" s="458">
        <f>I20*K19</f>
        <v>0</v>
      </c>
      <c r="L20" s="457">
        <f>G82</f>
        <v>0</v>
      </c>
      <c r="M20" s="427">
        <f>L20*M19</f>
        <v>0</v>
      </c>
      <c r="N20" s="458">
        <f>L20*N19</f>
        <v>0</v>
      </c>
      <c r="O20" s="457">
        <f>H82</f>
        <v>0</v>
      </c>
      <c r="P20" s="427">
        <f>O20*P19</f>
        <v>0</v>
      </c>
      <c r="Q20" s="458">
        <f>O20*Q19</f>
        <v>0</v>
      </c>
      <c r="R20" s="457">
        <f>I82</f>
        <v>0</v>
      </c>
      <c r="S20" s="427">
        <f>R20*S19</f>
        <v>0</v>
      </c>
      <c r="T20" s="458">
        <f>R20*T19</f>
        <v>0</v>
      </c>
      <c r="U20" s="459">
        <f>J82</f>
        <v>0</v>
      </c>
      <c r="V20" s="427">
        <f>U20*V19</f>
        <v>0</v>
      </c>
      <c r="W20" s="458">
        <f>U20*W19</f>
        <v>0</v>
      </c>
      <c r="X20" s="459">
        <f>K82</f>
        <v>0</v>
      </c>
      <c r="Y20" s="427">
        <f>X20*Y19</f>
        <v>0</v>
      </c>
      <c r="Z20" s="458">
        <f>X20*Z19</f>
        <v>0</v>
      </c>
      <c r="AA20" s="459">
        <f>L82</f>
        <v>0</v>
      </c>
      <c r="AB20" s="427">
        <f>AA20*AB19</f>
        <v>0</v>
      </c>
      <c r="AC20" s="458">
        <f>AA20*AC19</f>
        <v>0</v>
      </c>
      <c r="AD20" s="83"/>
    </row>
    <row r="21" spans="1:30" x14ac:dyDescent="0.25">
      <c r="A21" s="83" t="s">
        <v>702</v>
      </c>
      <c r="B21" s="460"/>
      <c r="C21" s="461">
        <f>'App.2-FA Proposed REG Invest.'!C64</f>
        <v>0</v>
      </c>
      <c r="D21" s="462">
        <f>C21</f>
        <v>0</v>
      </c>
      <c r="E21" s="463"/>
      <c r="F21" s="461">
        <f>'App.2-FA Proposed REG Invest.'!D64</f>
        <v>0</v>
      </c>
      <c r="G21" s="462">
        <f>F21</f>
        <v>0</v>
      </c>
      <c r="H21" s="463"/>
      <c r="I21" s="461">
        <f>'App.2-FA Proposed REG Invest.'!E64</f>
        <v>0</v>
      </c>
      <c r="J21" s="462">
        <f>I21</f>
        <v>0</v>
      </c>
      <c r="K21" s="463"/>
      <c r="L21" s="461">
        <f>'App.2-FA Proposed REG Invest.'!F64</f>
        <v>0</v>
      </c>
      <c r="M21" s="462">
        <f>L21</f>
        <v>0</v>
      </c>
      <c r="N21" s="463"/>
      <c r="O21" s="461">
        <f>'App.2-FA Proposed REG Invest.'!G64</f>
        <v>0</v>
      </c>
      <c r="P21" s="462">
        <f>O21</f>
        <v>0</v>
      </c>
      <c r="Q21" s="463"/>
      <c r="R21" s="461">
        <f>'App.2-FA Proposed REG Invest.'!H64</f>
        <v>0</v>
      </c>
      <c r="S21" s="462">
        <f>R21</f>
        <v>0</v>
      </c>
      <c r="T21" s="463"/>
      <c r="U21" s="461">
        <f>'App.2-FA Proposed REG Invest.'!I64</f>
        <v>0</v>
      </c>
      <c r="V21" s="462">
        <f>U21</f>
        <v>0</v>
      </c>
      <c r="W21" s="463"/>
      <c r="X21" s="461">
        <f>'App.2-FA Proposed REG Invest.'!J64</f>
        <v>0</v>
      </c>
      <c r="Y21" s="462">
        <f>X21</f>
        <v>0</v>
      </c>
      <c r="Z21" s="463"/>
      <c r="AA21" s="461">
        <f>'App.2-FA Proposed REG Invest.'!K64</f>
        <v>0</v>
      </c>
      <c r="AB21" s="462">
        <f>AA21</f>
        <v>0</v>
      </c>
      <c r="AC21" s="463"/>
      <c r="AD21" s="83"/>
    </row>
    <row r="22" spans="1:30" x14ac:dyDescent="0.25">
      <c r="A22" s="83" t="s">
        <v>657</v>
      </c>
      <c r="B22" s="460"/>
      <c r="C22" s="461">
        <f>'App.2-FA Proposed REG Invest.'!C63</f>
        <v>0</v>
      </c>
      <c r="D22" s="462">
        <f>C22*D19</f>
        <v>0</v>
      </c>
      <c r="E22" s="462">
        <f>C22*E19</f>
        <v>0</v>
      </c>
      <c r="F22" s="461">
        <f>'App.2-FA Proposed REG Invest.'!D63</f>
        <v>0</v>
      </c>
      <c r="G22" s="462">
        <f>F22*G19</f>
        <v>0</v>
      </c>
      <c r="H22" s="462">
        <f>F22*H19</f>
        <v>0</v>
      </c>
      <c r="I22" s="461">
        <f>'App.2-FA Proposed REG Invest.'!E63</f>
        <v>0</v>
      </c>
      <c r="J22" s="462">
        <f>I22*J19</f>
        <v>0</v>
      </c>
      <c r="K22" s="462">
        <f>I22*K19</f>
        <v>0</v>
      </c>
      <c r="L22" s="461">
        <f>'App.2-FA Proposed REG Invest.'!F63</f>
        <v>0</v>
      </c>
      <c r="M22" s="462">
        <f>L22*M19</f>
        <v>0</v>
      </c>
      <c r="N22" s="462">
        <f>L22*N19</f>
        <v>0</v>
      </c>
      <c r="O22" s="461">
        <f>'App.2-FA Proposed REG Invest.'!G63</f>
        <v>0</v>
      </c>
      <c r="P22" s="462">
        <f>O22*P19</f>
        <v>0</v>
      </c>
      <c r="Q22" s="462">
        <f>O22*Q19</f>
        <v>0</v>
      </c>
      <c r="R22" s="461">
        <f>'App.2-FA Proposed REG Invest.'!H63</f>
        <v>0</v>
      </c>
      <c r="S22" s="462">
        <f>R22*S19</f>
        <v>0</v>
      </c>
      <c r="T22" s="462">
        <f>R22*T19</f>
        <v>0</v>
      </c>
      <c r="U22" s="461">
        <f>'App.2-FA Proposed REG Invest.'!I63</f>
        <v>0</v>
      </c>
      <c r="V22" s="462">
        <f>U22*V19</f>
        <v>0</v>
      </c>
      <c r="W22" s="462">
        <f>U22*W19</f>
        <v>0</v>
      </c>
      <c r="X22" s="461">
        <f>'App.2-FA Proposed REG Invest.'!J63</f>
        <v>0</v>
      </c>
      <c r="Y22" s="462">
        <f>X22*Y19</f>
        <v>0</v>
      </c>
      <c r="Z22" s="462">
        <f>X22*Z19</f>
        <v>0</v>
      </c>
      <c r="AA22" s="461">
        <f>'App.2-FA Proposed REG Invest.'!K63</f>
        <v>0</v>
      </c>
      <c r="AB22" s="462">
        <f>AA22*AB19</f>
        <v>0</v>
      </c>
      <c r="AC22" s="462">
        <f>AA22*AC19</f>
        <v>0</v>
      </c>
      <c r="AD22" s="83"/>
    </row>
    <row r="23" spans="1:30" x14ac:dyDescent="0.25">
      <c r="A23" s="83" t="s">
        <v>658</v>
      </c>
      <c r="B23" s="464"/>
      <c r="C23" s="465"/>
      <c r="D23" s="466">
        <f>(D21+D22)*$B$23</f>
        <v>0</v>
      </c>
      <c r="E23" s="467">
        <f>E22*$B$23</f>
        <v>0</v>
      </c>
      <c r="F23" s="465"/>
      <c r="G23" s="466">
        <f>(G21+G22)*$B$23</f>
        <v>0</v>
      </c>
      <c r="H23" s="467">
        <f>H22*$B$23</f>
        <v>0</v>
      </c>
      <c r="I23" s="465"/>
      <c r="J23" s="466">
        <f>(J21+J22)*$B$23</f>
        <v>0</v>
      </c>
      <c r="K23" s="467">
        <f>K22*$B$23</f>
        <v>0</v>
      </c>
      <c r="L23" s="465"/>
      <c r="M23" s="466">
        <f>(M21+M22)*$B$23</f>
        <v>0</v>
      </c>
      <c r="N23" s="467">
        <f>N22*$B$23</f>
        <v>0</v>
      </c>
      <c r="O23" s="465"/>
      <c r="P23" s="466">
        <f>(P21+P22)*$B$23</f>
        <v>0</v>
      </c>
      <c r="Q23" s="467">
        <f>Q22*$B$23</f>
        <v>0</v>
      </c>
      <c r="R23" s="465"/>
      <c r="S23" s="466">
        <f>(S21+S22)*$B$23</f>
        <v>0</v>
      </c>
      <c r="T23" s="467">
        <f>T22*$B$23</f>
        <v>0</v>
      </c>
      <c r="U23" s="465"/>
      <c r="V23" s="466">
        <f>(V21+V22)*$B$23</f>
        <v>0</v>
      </c>
      <c r="W23" s="467">
        <f>W22*$B$23</f>
        <v>0</v>
      </c>
      <c r="X23" s="465"/>
      <c r="Y23" s="466">
        <f>(Y21+Y22)*$B$23</f>
        <v>0</v>
      </c>
      <c r="Z23" s="467">
        <f>Z22*$B$23</f>
        <v>0</v>
      </c>
      <c r="AA23" s="465"/>
      <c r="AB23" s="466">
        <f>(AB21+AB22)*$B$23</f>
        <v>0</v>
      </c>
      <c r="AC23" s="467">
        <f>AC22*$B$23</f>
        <v>0</v>
      </c>
      <c r="AD23" s="83"/>
    </row>
    <row r="24" spans="1:30" x14ac:dyDescent="0.25">
      <c r="A24" s="60" t="s">
        <v>529</v>
      </c>
      <c r="B24" s="102"/>
      <c r="C24" s="83"/>
      <c r="D24" s="468">
        <f>SUM(D20+D23)</f>
        <v>0</v>
      </c>
      <c r="E24" s="468">
        <f>SUM(E20+E23)</f>
        <v>0</v>
      </c>
      <c r="F24" s="83"/>
      <c r="G24" s="468">
        <f>SUM(G20+G23)</f>
        <v>0</v>
      </c>
      <c r="H24" s="468">
        <f>SUM(H20+H23)</f>
        <v>0</v>
      </c>
      <c r="I24" s="83"/>
      <c r="J24" s="468">
        <f>SUM(J20+J23)</f>
        <v>0</v>
      </c>
      <c r="K24" s="468">
        <f>SUM(K20+K23)</f>
        <v>0</v>
      </c>
      <c r="L24" s="83"/>
      <c r="M24" s="468">
        <f>SUM(M20+M23)</f>
        <v>0</v>
      </c>
      <c r="N24" s="468">
        <f>SUM(N20+N23)</f>
        <v>0</v>
      </c>
      <c r="O24" s="83"/>
      <c r="P24" s="468">
        <f>SUM(P20+P23)</f>
        <v>0</v>
      </c>
      <c r="Q24" s="468">
        <f>SUM(Q20+Q23)</f>
        <v>0</v>
      </c>
      <c r="R24" s="83"/>
      <c r="S24" s="468">
        <f>SUM(S20+S23)</f>
        <v>0</v>
      </c>
      <c r="T24" s="468">
        <f>SUM(T20+T23)</f>
        <v>0</v>
      </c>
      <c r="U24" s="83"/>
      <c r="V24" s="468">
        <f>SUM(V20+V23)</f>
        <v>0</v>
      </c>
      <c r="W24" s="468">
        <f>SUM(W20+W23)</f>
        <v>0</v>
      </c>
      <c r="X24" s="83"/>
      <c r="Y24" s="468">
        <f>SUM(Y20+Y23)</f>
        <v>0</v>
      </c>
      <c r="Z24" s="468">
        <f>SUM(Z20+Z23)</f>
        <v>0</v>
      </c>
      <c r="AA24" s="83"/>
      <c r="AB24" s="468">
        <f>SUM(AB20+AB23)</f>
        <v>0</v>
      </c>
      <c r="AC24" s="468">
        <f>SUM(AC20+AC23)</f>
        <v>0</v>
      </c>
      <c r="AD24" s="83"/>
    </row>
    <row r="25" spans="1:30" x14ac:dyDescent="0.25">
      <c r="A25" s="83"/>
      <c r="B25" s="83"/>
      <c r="C25" s="83"/>
      <c r="D25" s="83"/>
      <c r="E25" s="83"/>
      <c r="F25" s="83"/>
      <c r="G25" s="83"/>
      <c r="H25" s="83"/>
      <c r="I25" s="83"/>
      <c r="J25" s="83"/>
      <c r="K25" s="83"/>
      <c r="L25" s="83"/>
      <c r="M25" s="83"/>
      <c r="N25" s="83"/>
      <c r="O25" s="83"/>
      <c r="P25" s="83"/>
      <c r="Q25" s="83"/>
      <c r="R25" s="83"/>
      <c r="S25" s="83"/>
      <c r="T25" s="83"/>
      <c r="U25" s="83"/>
      <c r="V25" s="83"/>
      <c r="W25" s="83"/>
      <c r="X25" s="83"/>
      <c r="Y25" s="83"/>
      <c r="Z25" s="83"/>
      <c r="AA25" s="83"/>
      <c r="AB25" s="83"/>
      <c r="AC25" s="83"/>
      <c r="AD25" s="83"/>
    </row>
    <row r="26" spans="1:30" x14ac:dyDescent="0.25">
      <c r="A26" s="83"/>
      <c r="B26" s="83"/>
      <c r="C26" s="83"/>
      <c r="D26" s="83"/>
      <c r="E26" s="83"/>
      <c r="F26" s="83"/>
      <c r="G26" s="83"/>
      <c r="H26" s="83"/>
      <c r="I26" s="83"/>
      <c r="J26" s="83"/>
      <c r="K26" s="83"/>
      <c r="L26" s="83"/>
      <c r="M26" s="83"/>
      <c r="N26" s="83"/>
      <c r="O26" s="83"/>
      <c r="P26" s="83"/>
      <c r="Q26" s="83"/>
      <c r="R26" s="83"/>
      <c r="S26" s="83"/>
      <c r="T26" s="83"/>
      <c r="U26" s="83"/>
      <c r="V26" s="83"/>
      <c r="W26" s="83"/>
      <c r="X26" s="83"/>
      <c r="Y26" s="83"/>
      <c r="Z26" s="83"/>
      <c r="AA26" s="83"/>
      <c r="AB26" s="83"/>
      <c r="AC26" s="83"/>
      <c r="AD26" s="83"/>
    </row>
    <row r="27" spans="1:30" x14ac:dyDescent="0.25">
      <c r="A27" s="83" t="s">
        <v>659</v>
      </c>
      <c r="B27" s="464"/>
      <c r="C27" s="456"/>
      <c r="D27" s="468">
        <f>D24*$B$27</f>
        <v>0</v>
      </c>
      <c r="E27" s="468">
        <f>E24*$B$27</f>
        <v>0</v>
      </c>
      <c r="F27" s="456"/>
      <c r="G27" s="468">
        <f>G24*$B$27</f>
        <v>0</v>
      </c>
      <c r="H27" s="468">
        <f>H24*$B$27</f>
        <v>0</v>
      </c>
      <c r="I27" s="456"/>
      <c r="J27" s="468">
        <f>J24*$B$27</f>
        <v>0</v>
      </c>
      <c r="K27" s="468">
        <f>K24*$B$27</f>
        <v>0</v>
      </c>
      <c r="L27" s="456"/>
      <c r="M27" s="468">
        <f>M24*$B$27</f>
        <v>0</v>
      </c>
      <c r="N27" s="468">
        <f>N24*$B$27</f>
        <v>0</v>
      </c>
      <c r="O27" s="456"/>
      <c r="P27" s="468">
        <f>P24*$B$27</f>
        <v>0</v>
      </c>
      <c r="Q27" s="468">
        <f>Q24*$B$27</f>
        <v>0</v>
      </c>
      <c r="R27" s="456"/>
      <c r="S27" s="468">
        <f>S24*$B$27</f>
        <v>0</v>
      </c>
      <c r="T27" s="468">
        <f>T24*$B$27</f>
        <v>0</v>
      </c>
      <c r="U27" s="456"/>
      <c r="V27" s="468">
        <f>V24*$B$27</f>
        <v>0</v>
      </c>
      <c r="W27" s="468">
        <f>W24*$B$27</f>
        <v>0</v>
      </c>
      <c r="X27" s="456"/>
      <c r="Y27" s="468">
        <f>Y24*$B$27</f>
        <v>0</v>
      </c>
      <c r="Z27" s="468">
        <f>Z24*$B$27</f>
        <v>0</v>
      </c>
      <c r="AA27" s="456"/>
      <c r="AB27" s="468">
        <f>AB24*$B$27</f>
        <v>0</v>
      </c>
      <c r="AC27" s="468">
        <f>AC24*$B$27</f>
        <v>0</v>
      </c>
      <c r="AD27" s="83"/>
    </row>
    <row r="28" spans="1:30" x14ac:dyDescent="0.25">
      <c r="A28" s="83" t="s">
        <v>660</v>
      </c>
      <c r="B28" s="464"/>
      <c r="C28" s="469"/>
      <c r="D28" s="468">
        <f>D24*$B$28</f>
        <v>0</v>
      </c>
      <c r="E28" s="468">
        <f>E24*$B$28</f>
        <v>0</v>
      </c>
      <c r="F28" s="469"/>
      <c r="G28" s="468">
        <f>G24*$B$28</f>
        <v>0</v>
      </c>
      <c r="H28" s="468">
        <f>H24*$B$28</f>
        <v>0</v>
      </c>
      <c r="I28" s="469"/>
      <c r="J28" s="468">
        <f>J24*$B$28</f>
        <v>0</v>
      </c>
      <c r="K28" s="468">
        <f>K24*$B$28</f>
        <v>0</v>
      </c>
      <c r="L28" s="469"/>
      <c r="M28" s="468">
        <f>M24*$B$28</f>
        <v>0</v>
      </c>
      <c r="N28" s="468">
        <f>N24*$B$28</f>
        <v>0</v>
      </c>
      <c r="O28" s="469"/>
      <c r="P28" s="468">
        <f>P24*$B$28</f>
        <v>0</v>
      </c>
      <c r="Q28" s="468">
        <f>Q24*$B$28</f>
        <v>0</v>
      </c>
      <c r="R28" s="469"/>
      <c r="S28" s="468">
        <f>S24*$B$28</f>
        <v>0</v>
      </c>
      <c r="T28" s="468">
        <f>T24*$B$28</f>
        <v>0</v>
      </c>
      <c r="U28" s="469"/>
      <c r="V28" s="468">
        <f>V24*$B$28</f>
        <v>0</v>
      </c>
      <c r="W28" s="468">
        <f>W24*$B$28</f>
        <v>0</v>
      </c>
      <c r="X28" s="469"/>
      <c r="Y28" s="468">
        <f>Y24*$B$28</f>
        <v>0</v>
      </c>
      <c r="Z28" s="468">
        <f>Z24*$B$28</f>
        <v>0</v>
      </c>
      <c r="AA28" s="469"/>
      <c r="AB28" s="468">
        <f>AB24*$B$28</f>
        <v>0</v>
      </c>
      <c r="AC28" s="468">
        <f>AC24*$B$28</f>
        <v>0</v>
      </c>
      <c r="AD28" s="83"/>
    </row>
    <row r="29" spans="1:30" x14ac:dyDescent="0.25">
      <c r="A29" s="83" t="s">
        <v>661</v>
      </c>
      <c r="B29" s="464"/>
      <c r="C29" s="470"/>
      <c r="D29" s="468">
        <f>D24*$B$29</f>
        <v>0</v>
      </c>
      <c r="E29" s="468">
        <f>E24*$B$29</f>
        <v>0</v>
      </c>
      <c r="F29" s="470"/>
      <c r="G29" s="468">
        <f>G24*$B$29</f>
        <v>0</v>
      </c>
      <c r="H29" s="468">
        <f>H24*$B$29</f>
        <v>0</v>
      </c>
      <c r="I29" s="470"/>
      <c r="J29" s="468">
        <f>J24*$B$29</f>
        <v>0</v>
      </c>
      <c r="K29" s="468">
        <f>K24*$B$29</f>
        <v>0</v>
      </c>
      <c r="L29" s="470"/>
      <c r="M29" s="468">
        <f>M24*$B$29</f>
        <v>0</v>
      </c>
      <c r="N29" s="468">
        <f>N24*$B$29</f>
        <v>0</v>
      </c>
      <c r="O29" s="470"/>
      <c r="P29" s="468">
        <f>P24*$B$29</f>
        <v>0</v>
      </c>
      <c r="Q29" s="468">
        <f>Q24*$B$29</f>
        <v>0</v>
      </c>
      <c r="R29" s="470"/>
      <c r="S29" s="468">
        <f>S24*$B$29</f>
        <v>0</v>
      </c>
      <c r="T29" s="468">
        <f>T24*$B$29</f>
        <v>0</v>
      </c>
      <c r="U29" s="470"/>
      <c r="V29" s="468">
        <f>V24*$B$29</f>
        <v>0</v>
      </c>
      <c r="W29" s="468">
        <f>W24*$B$29</f>
        <v>0</v>
      </c>
      <c r="X29" s="470"/>
      <c r="Y29" s="468">
        <f>Y24*$B$29</f>
        <v>0</v>
      </c>
      <c r="Z29" s="468">
        <f>Z24*$B$29</f>
        <v>0</v>
      </c>
      <c r="AA29" s="470"/>
      <c r="AB29" s="468">
        <f>AB24*$B$29</f>
        <v>0</v>
      </c>
      <c r="AC29" s="468">
        <f>AC24*$B$29</f>
        <v>0</v>
      </c>
      <c r="AD29" s="83"/>
    </row>
    <row r="30" spans="1:30" x14ac:dyDescent="0.25">
      <c r="A30" s="83"/>
      <c r="B30" s="83"/>
      <c r="C30" s="83"/>
      <c r="D30" s="471"/>
      <c r="E30" s="83"/>
      <c r="F30" s="83"/>
      <c r="G30" s="471"/>
      <c r="H30" s="83"/>
      <c r="I30" s="83"/>
      <c r="J30" s="471"/>
      <c r="K30" s="83"/>
      <c r="L30" s="83"/>
      <c r="M30" s="471"/>
      <c r="N30" s="83"/>
      <c r="O30" s="83"/>
      <c r="P30" s="471"/>
      <c r="Q30" s="83"/>
      <c r="R30" s="83"/>
      <c r="S30" s="471"/>
      <c r="T30" s="83"/>
      <c r="U30" s="83"/>
      <c r="V30" s="471"/>
      <c r="W30" s="83"/>
      <c r="X30" s="83"/>
      <c r="Y30" s="471"/>
      <c r="Z30" s="83"/>
      <c r="AA30" s="83"/>
      <c r="AB30" s="471"/>
      <c r="AC30" s="83"/>
      <c r="AD30" s="83"/>
    </row>
    <row r="31" spans="1:30" x14ac:dyDescent="0.25">
      <c r="A31" s="83" t="s">
        <v>662</v>
      </c>
      <c r="B31" s="464"/>
      <c r="C31" s="472"/>
      <c r="D31" s="468">
        <f t="shared" ref="D31:E33" si="0">D27*$B31</f>
        <v>0</v>
      </c>
      <c r="E31" s="468">
        <f t="shared" si="0"/>
        <v>0</v>
      </c>
      <c r="F31" s="472"/>
      <c r="G31" s="468">
        <f t="shared" ref="G31:H33" si="1">G27*$B31</f>
        <v>0</v>
      </c>
      <c r="H31" s="468">
        <f t="shared" si="1"/>
        <v>0</v>
      </c>
      <c r="I31" s="472"/>
      <c r="J31" s="468">
        <f t="shared" ref="J31:K33" si="2">J27*$B31</f>
        <v>0</v>
      </c>
      <c r="K31" s="468">
        <f t="shared" si="2"/>
        <v>0</v>
      </c>
      <c r="L31" s="472"/>
      <c r="M31" s="468">
        <f t="shared" ref="M31:N33" si="3">M27*$B31</f>
        <v>0</v>
      </c>
      <c r="N31" s="468">
        <f t="shared" si="3"/>
        <v>0</v>
      </c>
      <c r="O31" s="472"/>
      <c r="P31" s="468">
        <f t="shared" ref="P31:Q33" si="4">P27*$B31</f>
        <v>0</v>
      </c>
      <c r="Q31" s="468">
        <f t="shared" si="4"/>
        <v>0</v>
      </c>
      <c r="R31" s="472"/>
      <c r="S31" s="468">
        <f t="shared" ref="S31:T33" si="5">S27*$B31</f>
        <v>0</v>
      </c>
      <c r="T31" s="468">
        <f t="shared" si="5"/>
        <v>0</v>
      </c>
      <c r="U31" s="472"/>
      <c r="V31" s="468">
        <f t="shared" ref="V31:W33" si="6">V27*$B31</f>
        <v>0</v>
      </c>
      <c r="W31" s="468">
        <f t="shared" si="6"/>
        <v>0</v>
      </c>
      <c r="X31" s="472"/>
      <c r="Y31" s="468">
        <f t="shared" ref="Y31:Z33" si="7">Y27*$B31</f>
        <v>0</v>
      </c>
      <c r="Z31" s="468">
        <f t="shared" si="7"/>
        <v>0</v>
      </c>
      <c r="AA31" s="472"/>
      <c r="AB31" s="468">
        <f t="shared" ref="AB31:AC33" si="8">AB27*$B31</f>
        <v>0</v>
      </c>
      <c r="AC31" s="468">
        <f t="shared" si="8"/>
        <v>0</v>
      </c>
      <c r="AD31" s="83"/>
    </row>
    <row r="32" spans="1:30" x14ac:dyDescent="0.25">
      <c r="A32" s="83" t="s">
        <v>663</v>
      </c>
      <c r="B32" s="464"/>
      <c r="C32" s="472"/>
      <c r="D32" s="468">
        <f t="shared" si="0"/>
        <v>0</v>
      </c>
      <c r="E32" s="468">
        <f t="shared" si="0"/>
        <v>0</v>
      </c>
      <c r="F32" s="472"/>
      <c r="G32" s="468">
        <f t="shared" si="1"/>
        <v>0</v>
      </c>
      <c r="H32" s="468">
        <f t="shared" si="1"/>
        <v>0</v>
      </c>
      <c r="I32" s="472"/>
      <c r="J32" s="468">
        <f t="shared" si="2"/>
        <v>0</v>
      </c>
      <c r="K32" s="468">
        <f t="shared" si="2"/>
        <v>0</v>
      </c>
      <c r="L32" s="472"/>
      <c r="M32" s="468">
        <f t="shared" si="3"/>
        <v>0</v>
      </c>
      <c r="N32" s="468">
        <f t="shared" si="3"/>
        <v>0</v>
      </c>
      <c r="O32" s="472"/>
      <c r="P32" s="468">
        <f t="shared" si="4"/>
        <v>0</v>
      </c>
      <c r="Q32" s="468">
        <f t="shared" si="4"/>
        <v>0</v>
      </c>
      <c r="R32" s="472"/>
      <c r="S32" s="468">
        <f t="shared" si="5"/>
        <v>0</v>
      </c>
      <c r="T32" s="468">
        <f t="shared" si="5"/>
        <v>0</v>
      </c>
      <c r="U32" s="472"/>
      <c r="V32" s="468">
        <f t="shared" si="6"/>
        <v>0</v>
      </c>
      <c r="W32" s="468">
        <f t="shared" si="6"/>
        <v>0</v>
      </c>
      <c r="X32" s="472"/>
      <c r="Y32" s="468">
        <f t="shared" si="7"/>
        <v>0</v>
      </c>
      <c r="Z32" s="468">
        <f t="shared" si="7"/>
        <v>0</v>
      </c>
      <c r="AA32" s="472"/>
      <c r="AB32" s="468">
        <f t="shared" si="8"/>
        <v>0</v>
      </c>
      <c r="AC32" s="468">
        <f t="shared" si="8"/>
        <v>0</v>
      </c>
      <c r="AD32" s="83"/>
    </row>
    <row r="33" spans="1:30" x14ac:dyDescent="0.25">
      <c r="A33" s="83" t="s">
        <v>664</v>
      </c>
      <c r="B33" s="464"/>
      <c r="C33" s="472"/>
      <c r="D33" s="468">
        <f t="shared" si="0"/>
        <v>0</v>
      </c>
      <c r="E33" s="468">
        <f t="shared" si="0"/>
        <v>0</v>
      </c>
      <c r="F33" s="472"/>
      <c r="G33" s="468">
        <f t="shared" si="1"/>
        <v>0</v>
      </c>
      <c r="H33" s="468">
        <f t="shared" si="1"/>
        <v>0</v>
      </c>
      <c r="I33" s="472"/>
      <c r="J33" s="468">
        <f t="shared" si="2"/>
        <v>0</v>
      </c>
      <c r="K33" s="468">
        <f t="shared" si="2"/>
        <v>0</v>
      </c>
      <c r="L33" s="472"/>
      <c r="M33" s="468">
        <f t="shared" si="3"/>
        <v>0</v>
      </c>
      <c r="N33" s="468">
        <f t="shared" si="3"/>
        <v>0</v>
      </c>
      <c r="O33" s="472"/>
      <c r="P33" s="468">
        <f t="shared" si="4"/>
        <v>0</v>
      </c>
      <c r="Q33" s="468">
        <f t="shared" si="4"/>
        <v>0</v>
      </c>
      <c r="R33" s="472"/>
      <c r="S33" s="468">
        <f t="shared" si="5"/>
        <v>0</v>
      </c>
      <c r="T33" s="468">
        <f t="shared" si="5"/>
        <v>0</v>
      </c>
      <c r="U33" s="472"/>
      <c r="V33" s="468">
        <f t="shared" si="6"/>
        <v>0</v>
      </c>
      <c r="W33" s="468">
        <f t="shared" si="6"/>
        <v>0</v>
      </c>
      <c r="X33" s="472"/>
      <c r="Y33" s="468">
        <f t="shared" si="7"/>
        <v>0</v>
      </c>
      <c r="Z33" s="468">
        <f t="shared" si="7"/>
        <v>0</v>
      </c>
      <c r="AA33" s="472"/>
      <c r="AB33" s="468">
        <f t="shared" si="8"/>
        <v>0</v>
      </c>
      <c r="AC33" s="468">
        <f t="shared" si="8"/>
        <v>0</v>
      </c>
      <c r="AD33" s="83"/>
    </row>
    <row r="34" spans="1:30" x14ac:dyDescent="0.25">
      <c r="A34" s="473" t="s">
        <v>665</v>
      </c>
      <c r="B34" s="83"/>
      <c r="C34" s="83"/>
      <c r="D34" s="474">
        <f>SUM(D31:D33)</f>
        <v>0</v>
      </c>
      <c r="E34" s="474">
        <f>SUM(E31:E33)</f>
        <v>0</v>
      </c>
      <c r="F34" s="83"/>
      <c r="G34" s="474">
        <f>SUM(G31:G33)</f>
        <v>0</v>
      </c>
      <c r="H34" s="474">
        <f>SUM(H31:H33)</f>
        <v>0</v>
      </c>
      <c r="I34" s="83"/>
      <c r="J34" s="474">
        <f>SUM(J31:J33)</f>
        <v>0</v>
      </c>
      <c r="K34" s="474">
        <f>SUM(K31:K33)</f>
        <v>0</v>
      </c>
      <c r="L34" s="83"/>
      <c r="M34" s="474">
        <f>SUM(M31:M33)</f>
        <v>0</v>
      </c>
      <c r="N34" s="474">
        <f>SUM(N31:N33)</f>
        <v>0</v>
      </c>
      <c r="O34" s="83"/>
      <c r="P34" s="474">
        <f>SUM(P31:P33)</f>
        <v>0</v>
      </c>
      <c r="Q34" s="474">
        <f>SUM(Q31:Q33)</f>
        <v>0</v>
      </c>
      <c r="R34" s="83"/>
      <c r="S34" s="474">
        <f>SUM(S31:S33)</f>
        <v>0</v>
      </c>
      <c r="T34" s="474">
        <f>SUM(T31:T33)</f>
        <v>0</v>
      </c>
      <c r="U34" s="83"/>
      <c r="V34" s="474">
        <f>SUM(V31:V33)</f>
        <v>0</v>
      </c>
      <c r="W34" s="474">
        <f>SUM(W31:W33)</f>
        <v>0</v>
      </c>
      <c r="X34" s="83"/>
      <c r="Y34" s="474">
        <f>SUM(Y31:Y33)</f>
        <v>0</v>
      </c>
      <c r="Z34" s="474">
        <f>SUM(Z31:Z33)</f>
        <v>0</v>
      </c>
      <c r="AA34" s="83"/>
      <c r="AB34" s="474">
        <f>SUM(AB31:AB33)</f>
        <v>0</v>
      </c>
      <c r="AC34" s="474">
        <f>SUM(AC31:AC33)</f>
        <v>0</v>
      </c>
      <c r="AD34" s="83"/>
    </row>
    <row r="35" spans="1:30" x14ac:dyDescent="0.25">
      <c r="A35" s="83"/>
      <c r="B35" s="83"/>
      <c r="C35" s="83"/>
      <c r="D35" s="83"/>
      <c r="E35" s="83"/>
      <c r="F35" s="83"/>
      <c r="G35" s="83"/>
      <c r="H35" s="83"/>
      <c r="I35" s="83"/>
      <c r="J35" s="83"/>
      <c r="K35" s="83"/>
      <c r="L35" s="83"/>
      <c r="M35" s="83"/>
      <c r="N35" s="83"/>
      <c r="O35" s="83"/>
      <c r="P35" s="83"/>
      <c r="Q35" s="83"/>
      <c r="R35" s="83"/>
      <c r="S35" s="83"/>
      <c r="T35" s="83"/>
      <c r="U35" s="83"/>
      <c r="V35" s="83"/>
      <c r="W35" s="83"/>
      <c r="X35" s="83"/>
      <c r="Y35" s="83"/>
      <c r="Z35" s="83"/>
      <c r="AA35" s="83"/>
      <c r="AB35" s="83"/>
      <c r="AC35" s="83"/>
      <c r="AD35" s="83"/>
    </row>
    <row r="36" spans="1:30" x14ac:dyDescent="0.25">
      <c r="A36" s="83" t="s">
        <v>119</v>
      </c>
      <c r="B36" s="83"/>
      <c r="C36" s="83"/>
      <c r="D36" s="475">
        <f>D21+D22</f>
        <v>0</v>
      </c>
      <c r="E36" s="468">
        <f>E22</f>
        <v>0</v>
      </c>
      <c r="F36" s="83"/>
      <c r="G36" s="475">
        <f>G21+G22</f>
        <v>0</v>
      </c>
      <c r="H36" s="468">
        <f>H22</f>
        <v>0</v>
      </c>
      <c r="I36" s="83"/>
      <c r="J36" s="475">
        <f>J21+J22</f>
        <v>0</v>
      </c>
      <c r="K36" s="468">
        <f>K22</f>
        <v>0</v>
      </c>
      <c r="L36" s="83"/>
      <c r="M36" s="475">
        <f>M21+M22</f>
        <v>0</v>
      </c>
      <c r="N36" s="468">
        <f>N22</f>
        <v>0</v>
      </c>
      <c r="O36" s="83"/>
      <c r="P36" s="475">
        <f>P21+P22</f>
        <v>0</v>
      </c>
      <c r="Q36" s="468">
        <f>Q22</f>
        <v>0</v>
      </c>
      <c r="R36" s="83"/>
      <c r="S36" s="475">
        <f>S21+S22</f>
        <v>0</v>
      </c>
      <c r="T36" s="468">
        <f>T22</f>
        <v>0</v>
      </c>
      <c r="U36" s="83"/>
      <c r="V36" s="475">
        <f>V21+V22</f>
        <v>0</v>
      </c>
      <c r="W36" s="468">
        <f>W22</f>
        <v>0</v>
      </c>
      <c r="X36" s="102"/>
      <c r="Y36" s="475">
        <f>Y21+Y22</f>
        <v>0</v>
      </c>
      <c r="Z36" s="468">
        <f>Z22</f>
        <v>0</v>
      </c>
      <c r="AA36" s="83"/>
      <c r="AB36" s="475">
        <f>AB21+AB22</f>
        <v>0</v>
      </c>
      <c r="AC36" s="468">
        <f>AC22</f>
        <v>0</v>
      </c>
      <c r="AD36" s="83"/>
    </row>
    <row r="37" spans="1:30" x14ac:dyDescent="0.25">
      <c r="A37" s="83" t="s">
        <v>666</v>
      </c>
      <c r="B37" s="476"/>
      <c r="C37" s="427">
        <f>D77</f>
        <v>0</v>
      </c>
      <c r="D37" s="468">
        <f>C37*D$19</f>
        <v>0</v>
      </c>
      <c r="E37" s="468">
        <f>C37*E$19</f>
        <v>0</v>
      </c>
      <c r="F37" s="427">
        <f>E77</f>
        <v>0</v>
      </c>
      <c r="G37" s="468">
        <f>F37*G$19</f>
        <v>0</v>
      </c>
      <c r="H37" s="468">
        <f>F37*H$19</f>
        <v>0</v>
      </c>
      <c r="I37" s="427">
        <f>F77</f>
        <v>0</v>
      </c>
      <c r="J37" s="468">
        <f>I37*J$19</f>
        <v>0</v>
      </c>
      <c r="K37" s="468">
        <f>I37*K$19</f>
        <v>0</v>
      </c>
      <c r="L37" s="427">
        <f>G77</f>
        <v>0</v>
      </c>
      <c r="M37" s="468">
        <f>L37*M$19</f>
        <v>0</v>
      </c>
      <c r="N37" s="468">
        <f>L37*N$19</f>
        <v>0</v>
      </c>
      <c r="O37" s="427">
        <f>H77</f>
        <v>0</v>
      </c>
      <c r="P37" s="468">
        <f>O37*P$19</f>
        <v>0</v>
      </c>
      <c r="Q37" s="468">
        <f>O37*Q$19</f>
        <v>0</v>
      </c>
      <c r="R37" s="477">
        <f>I76+I77</f>
        <v>0</v>
      </c>
      <c r="S37" s="468">
        <f>R37*S$19</f>
        <v>0</v>
      </c>
      <c r="T37" s="468">
        <f>R37*T$19</f>
        <v>0</v>
      </c>
      <c r="U37" s="477">
        <f>J76+J77</f>
        <v>0</v>
      </c>
      <c r="V37" s="468">
        <f>U37*V$19</f>
        <v>0</v>
      </c>
      <c r="W37" s="468">
        <f>U37*W$19</f>
        <v>0</v>
      </c>
      <c r="X37" s="477">
        <f>K76+K77</f>
        <v>0</v>
      </c>
      <c r="Y37" s="468">
        <f>X37*Y$19</f>
        <v>0</v>
      </c>
      <c r="Z37" s="468">
        <f>X37*Z$19</f>
        <v>0</v>
      </c>
      <c r="AA37" s="477">
        <f>L76+L77</f>
        <v>0</v>
      </c>
      <c r="AB37" s="468">
        <f>AA37*AB$19</f>
        <v>0</v>
      </c>
      <c r="AC37" s="468">
        <f>AA37*AC$19</f>
        <v>0</v>
      </c>
      <c r="AD37" s="83"/>
    </row>
    <row r="38" spans="1:30" x14ac:dyDescent="0.25">
      <c r="A38" s="83" t="s">
        <v>667</v>
      </c>
      <c r="B38" s="476"/>
      <c r="C38" s="83"/>
      <c r="D38" s="427">
        <f>D65</f>
        <v>0</v>
      </c>
      <c r="E38" s="427">
        <f>E65</f>
        <v>0</v>
      </c>
      <c r="F38" s="83"/>
      <c r="G38" s="427">
        <f>G65</f>
        <v>0</v>
      </c>
      <c r="H38" s="427">
        <f>H65</f>
        <v>0</v>
      </c>
      <c r="I38" s="83"/>
      <c r="J38" s="427">
        <f>J65</f>
        <v>0</v>
      </c>
      <c r="K38" s="427">
        <f>K65</f>
        <v>0</v>
      </c>
      <c r="L38" s="83"/>
      <c r="M38" s="427">
        <f>M65</f>
        <v>0</v>
      </c>
      <c r="N38" s="427">
        <f>N65</f>
        <v>0</v>
      </c>
      <c r="O38" s="83"/>
      <c r="P38" s="427">
        <f>P65</f>
        <v>0</v>
      </c>
      <c r="Q38" s="427">
        <f>Q65</f>
        <v>0</v>
      </c>
      <c r="R38" s="476"/>
      <c r="S38" s="427">
        <f>S65</f>
        <v>0</v>
      </c>
      <c r="T38" s="427">
        <f>T65</f>
        <v>0</v>
      </c>
      <c r="U38" s="476"/>
      <c r="V38" s="427">
        <f>V65</f>
        <v>0</v>
      </c>
      <c r="W38" s="427">
        <f>W65</f>
        <v>0</v>
      </c>
      <c r="X38" s="476"/>
      <c r="Y38" s="427">
        <f>Y65</f>
        <v>0</v>
      </c>
      <c r="Z38" s="427">
        <f>Z65</f>
        <v>0</v>
      </c>
      <c r="AA38" s="476"/>
      <c r="AB38" s="427">
        <f>AB65</f>
        <v>0</v>
      </c>
      <c r="AC38" s="427">
        <f>AC65</f>
        <v>0</v>
      </c>
      <c r="AD38" s="83"/>
    </row>
    <row r="39" spans="1:30" x14ac:dyDescent="0.25">
      <c r="A39" s="83"/>
      <c r="B39" s="83"/>
      <c r="C39" s="83"/>
      <c r="D39" s="83"/>
      <c r="E39" s="83"/>
      <c r="F39" s="83"/>
      <c r="G39" s="83"/>
      <c r="H39" s="83"/>
      <c r="I39" s="83"/>
      <c r="J39" s="83"/>
      <c r="K39" s="83"/>
      <c r="L39" s="83"/>
      <c r="M39" s="83"/>
      <c r="N39" s="83"/>
      <c r="O39" s="83"/>
      <c r="P39" s="83"/>
      <c r="Q39" s="83"/>
      <c r="R39" s="83"/>
      <c r="S39" s="83"/>
      <c r="T39" s="83"/>
      <c r="U39" s="83"/>
      <c r="V39" s="83"/>
      <c r="W39" s="83"/>
      <c r="X39" s="83"/>
      <c r="Y39" s="83"/>
      <c r="Z39" s="83"/>
      <c r="AA39" s="83"/>
      <c r="AB39" s="83"/>
      <c r="AC39" s="83"/>
      <c r="AD39" s="83"/>
    </row>
    <row r="40" spans="1:30" ht="15.75" thickBot="1" x14ac:dyDescent="0.3">
      <c r="A40" s="60" t="s">
        <v>668</v>
      </c>
      <c r="B40" s="83"/>
      <c r="C40" s="83"/>
      <c r="D40" s="478">
        <f>SUM(D34:D38)</f>
        <v>0</v>
      </c>
      <c r="E40" s="478">
        <f>SUM(E34:E38)</f>
        <v>0</v>
      </c>
      <c r="F40" s="83"/>
      <c r="G40" s="478">
        <f>SUM(G34:G38)</f>
        <v>0</v>
      </c>
      <c r="H40" s="478">
        <f>SUM(H34:H38)</f>
        <v>0</v>
      </c>
      <c r="I40" s="83"/>
      <c r="J40" s="478">
        <f>SUM(J34:J38)</f>
        <v>0</v>
      </c>
      <c r="K40" s="478">
        <f>SUM(K34:K38)</f>
        <v>0</v>
      </c>
      <c r="L40" s="83"/>
      <c r="M40" s="478">
        <f>SUM(M34:M38)</f>
        <v>0</v>
      </c>
      <c r="N40" s="478">
        <f>SUM(N34:N38)</f>
        <v>0</v>
      </c>
      <c r="O40" s="83"/>
      <c r="P40" s="478">
        <f>SUM(P34:P38)</f>
        <v>0</v>
      </c>
      <c r="Q40" s="478">
        <f>SUM(Q34:Q38)</f>
        <v>0</v>
      </c>
      <c r="R40" s="83"/>
      <c r="S40" s="478">
        <f>SUM(S34:S38)</f>
        <v>0</v>
      </c>
      <c r="T40" s="478">
        <f>SUM(T34:T38)</f>
        <v>0</v>
      </c>
      <c r="U40" s="83"/>
      <c r="V40" s="478">
        <f>SUM(V34:V38)</f>
        <v>0</v>
      </c>
      <c r="W40" s="478">
        <f>SUM(W34:W38)</f>
        <v>0</v>
      </c>
      <c r="X40" s="83"/>
      <c r="Y40" s="478">
        <f>SUM(Y34:Y38)</f>
        <v>0</v>
      </c>
      <c r="Z40" s="478">
        <f>SUM(Z34:Z38)</f>
        <v>0</v>
      </c>
      <c r="AA40" s="83"/>
      <c r="AB40" s="478">
        <f>SUM(AB34:AB38)</f>
        <v>0</v>
      </c>
      <c r="AC40" s="478">
        <f>SUM(AC34:AC38)</f>
        <v>0</v>
      </c>
      <c r="AD40" s="83"/>
    </row>
    <row r="41" spans="1:30" x14ac:dyDescent="0.25">
      <c r="A41" s="83"/>
      <c r="B41" s="479"/>
      <c r="C41" s="83"/>
      <c r="D41" s="480"/>
      <c r="E41" s="480"/>
      <c r="F41" s="83"/>
      <c r="G41" s="480"/>
      <c r="H41" s="480"/>
      <c r="I41" s="83"/>
      <c r="J41" s="480"/>
      <c r="K41" s="480"/>
      <c r="L41" s="83"/>
      <c r="M41" s="480"/>
      <c r="N41" s="480"/>
      <c r="O41" s="83"/>
      <c r="P41" s="480"/>
      <c r="Q41" s="480"/>
      <c r="R41" s="83"/>
      <c r="S41" s="480"/>
      <c r="T41" s="480"/>
      <c r="U41" s="83"/>
      <c r="V41" s="480"/>
      <c r="W41" s="480"/>
      <c r="X41" s="83"/>
      <c r="Y41" s="480"/>
      <c r="Z41" s="480"/>
      <c r="AA41" s="83"/>
      <c r="AB41" s="480"/>
      <c r="AC41" s="480"/>
      <c r="AD41" s="83"/>
    </row>
    <row r="42" spans="1:30" x14ac:dyDescent="0.25">
      <c r="A42" s="83"/>
      <c r="B42" s="481"/>
      <c r="C42" s="83"/>
      <c r="D42" s="468"/>
      <c r="E42" s="436"/>
      <c r="F42" s="83"/>
      <c r="G42" s="468"/>
      <c r="H42" s="436"/>
      <c r="I42" s="83"/>
      <c r="J42" s="468"/>
      <c r="K42" s="436"/>
      <c r="L42" s="83"/>
      <c r="M42" s="468"/>
      <c r="N42" s="436"/>
      <c r="O42" s="83"/>
      <c r="P42" s="468"/>
      <c r="Q42" s="436"/>
      <c r="R42" s="468"/>
      <c r="S42" s="83"/>
      <c r="T42" s="468"/>
      <c r="U42" s="468"/>
      <c r="V42" s="83"/>
      <c r="W42" s="468"/>
      <c r="X42" s="468"/>
      <c r="Y42" s="83"/>
      <c r="Z42" s="468"/>
      <c r="AA42" s="468"/>
      <c r="AB42" s="83"/>
      <c r="AC42" s="468"/>
      <c r="AD42" s="83"/>
    </row>
    <row r="43" spans="1:30" x14ac:dyDescent="0.25">
      <c r="A43" s="83" t="s">
        <v>669</v>
      </c>
      <c r="B43" s="481"/>
      <c r="C43" s="83"/>
      <c r="D43" s="468"/>
      <c r="E43" s="482">
        <f>E40</f>
        <v>0</v>
      </c>
      <c r="F43" s="83"/>
      <c r="G43" s="468"/>
      <c r="H43" s="482">
        <f>H40</f>
        <v>0</v>
      </c>
      <c r="I43" s="83"/>
      <c r="J43" s="468"/>
      <c r="K43" s="482">
        <f>K40</f>
        <v>0</v>
      </c>
      <c r="L43" s="83"/>
      <c r="M43" s="468"/>
      <c r="N43" s="482">
        <f>N40</f>
        <v>0</v>
      </c>
      <c r="O43" s="83"/>
      <c r="P43" s="468"/>
      <c r="Q43" s="482">
        <f>Q40</f>
        <v>0</v>
      </c>
      <c r="R43" s="468"/>
      <c r="S43" s="83"/>
      <c r="T43" s="482">
        <f>T40</f>
        <v>0</v>
      </c>
      <c r="U43" s="468"/>
      <c r="V43" s="83"/>
      <c r="W43" s="482">
        <f>W40</f>
        <v>0</v>
      </c>
      <c r="X43" s="468"/>
      <c r="Y43" s="83"/>
      <c r="Z43" s="482">
        <f>Z40</f>
        <v>0</v>
      </c>
      <c r="AA43" s="468"/>
      <c r="AB43" s="83"/>
      <c r="AC43" s="482">
        <f>AC40</f>
        <v>0</v>
      </c>
      <c r="AD43" s="83"/>
    </row>
    <row r="44" spans="1:30" x14ac:dyDescent="0.25">
      <c r="A44" s="83"/>
      <c r="B44" s="483"/>
      <c r="C44" s="83"/>
      <c r="D44" s="484"/>
      <c r="E44" s="436"/>
      <c r="F44" s="83"/>
      <c r="G44" s="484"/>
      <c r="H44" s="436"/>
      <c r="I44" s="83"/>
      <c r="J44" s="484"/>
      <c r="K44" s="436"/>
      <c r="L44" s="83"/>
      <c r="M44" s="484"/>
      <c r="N44" s="436"/>
      <c r="O44" s="83"/>
      <c r="P44" s="484"/>
      <c r="Q44" s="436"/>
      <c r="R44" s="83"/>
      <c r="S44" s="485"/>
      <c r="T44" s="436"/>
      <c r="U44" s="83"/>
      <c r="V44" s="485"/>
      <c r="W44" s="436"/>
      <c r="X44" s="83"/>
      <c r="Y44" s="485"/>
      <c r="Z44" s="436"/>
      <c r="AA44" s="83"/>
      <c r="AB44" s="485"/>
      <c r="AC44" s="436"/>
      <c r="AD44" s="83"/>
    </row>
    <row r="45" spans="1:30" x14ac:dyDescent="0.25">
      <c r="A45" s="102" t="s">
        <v>869</v>
      </c>
      <c r="B45" s="83"/>
      <c r="C45" s="427"/>
      <c r="D45" s="427"/>
      <c r="E45" s="482">
        <f>E43/12</f>
        <v>0</v>
      </c>
      <c r="F45" s="427"/>
      <c r="G45" s="427"/>
      <c r="H45" s="482">
        <f>H43/12</f>
        <v>0</v>
      </c>
      <c r="I45" s="427"/>
      <c r="J45" s="427"/>
      <c r="K45" s="482">
        <f>K43/12</f>
        <v>0</v>
      </c>
      <c r="L45" s="427"/>
      <c r="M45" s="427"/>
      <c r="N45" s="482">
        <f>N43/12</f>
        <v>0</v>
      </c>
      <c r="O45" s="427"/>
      <c r="P45" s="427"/>
      <c r="Q45" s="482">
        <f>Q43/12</f>
        <v>0</v>
      </c>
      <c r="R45" s="427"/>
      <c r="S45" s="83"/>
      <c r="T45" s="482">
        <f>T43/12</f>
        <v>0</v>
      </c>
      <c r="U45" s="427"/>
      <c r="V45" s="83"/>
      <c r="W45" s="482">
        <f>W43/12</f>
        <v>0</v>
      </c>
      <c r="X45" s="427"/>
      <c r="Y45" s="83"/>
      <c r="Z45" s="482">
        <f>Z43/12</f>
        <v>0</v>
      </c>
      <c r="AA45" s="427"/>
      <c r="AB45" s="83"/>
      <c r="AC45" s="482">
        <f>AC43/12</f>
        <v>0</v>
      </c>
      <c r="AD45" s="83"/>
    </row>
    <row r="46" spans="1:30" x14ac:dyDescent="0.25">
      <c r="A46" s="102"/>
      <c r="B46" s="83"/>
      <c r="C46" s="83"/>
      <c r="D46" s="83"/>
      <c r="E46" s="83"/>
      <c r="F46" s="83"/>
      <c r="G46" s="83"/>
      <c r="H46" s="83"/>
      <c r="I46" s="83"/>
      <c r="J46" s="83"/>
      <c r="K46" s="83"/>
      <c r="L46" s="83"/>
      <c r="M46" s="83"/>
      <c r="N46" s="427"/>
      <c r="O46" s="427"/>
      <c r="P46" s="427"/>
      <c r="Q46" s="486"/>
      <c r="R46" s="427"/>
      <c r="S46" s="83"/>
      <c r="T46" s="427"/>
      <c r="U46" s="427"/>
      <c r="V46" s="83"/>
      <c r="W46" s="83"/>
      <c r="X46" s="427"/>
      <c r="Y46" s="83"/>
      <c r="Z46" s="427"/>
      <c r="AA46" s="427"/>
      <c r="AB46" s="83"/>
      <c r="AC46" s="83"/>
      <c r="AD46" s="83"/>
    </row>
    <row r="47" spans="1:30" ht="12.75" customHeight="1" x14ac:dyDescent="0.25">
      <c r="A47" s="1748" t="s">
        <v>878</v>
      </c>
      <c r="B47" s="1748"/>
      <c r="C47" s="1748"/>
      <c r="D47" s="1748"/>
      <c r="E47" s="1748"/>
      <c r="F47" s="1748"/>
      <c r="G47" s="1748"/>
      <c r="H47" s="1748"/>
      <c r="I47" s="1748"/>
      <c r="J47" s="1748"/>
      <c r="K47" s="1748"/>
      <c r="L47" s="1748"/>
      <c r="M47" s="1748"/>
      <c r="N47" s="1748"/>
      <c r="O47" s="1748"/>
      <c r="P47" s="1748"/>
      <c r="Q47" s="1748"/>
      <c r="R47" s="1748"/>
      <c r="S47" s="1748"/>
      <c r="T47" s="1748"/>
      <c r="U47" s="1748"/>
      <c r="V47" s="1748"/>
      <c r="W47" s="1748"/>
      <c r="X47" s="83"/>
      <c r="Y47" s="83"/>
      <c r="Z47" s="83"/>
      <c r="AA47" s="83"/>
      <c r="AB47" s="83"/>
      <c r="AC47" s="83"/>
      <c r="AD47" s="83"/>
    </row>
    <row r="48" spans="1:30" ht="12.75" customHeight="1" x14ac:dyDescent="0.25">
      <c r="A48" s="487" t="s">
        <v>879</v>
      </c>
      <c r="B48" s="1074"/>
      <c r="C48" s="1074"/>
      <c r="D48" s="1074"/>
      <c r="E48" s="1074"/>
      <c r="F48" s="1074"/>
      <c r="G48" s="1074"/>
      <c r="H48" s="1074"/>
      <c r="I48" s="1074"/>
      <c r="J48" s="1074"/>
      <c r="K48" s="1074"/>
      <c r="L48" s="1074"/>
      <c r="M48" s="1074"/>
      <c r="N48" s="1074"/>
      <c r="O48" s="1074"/>
      <c r="P48" s="1074"/>
      <c r="Q48" s="1074"/>
      <c r="R48" s="1074"/>
      <c r="S48" s="1074"/>
      <c r="T48" s="1074"/>
      <c r="U48" s="1074"/>
      <c r="V48" s="1074"/>
      <c r="W48" s="1074"/>
      <c r="X48" s="83"/>
      <c r="Y48" s="83"/>
      <c r="Z48" s="83"/>
      <c r="AA48" s="83"/>
      <c r="AB48" s="83"/>
      <c r="AC48" s="83"/>
      <c r="AD48" s="83"/>
    </row>
    <row r="49" spans="1:30" x14ac:dyDescent="0.25">
      <c r="A49" s="1748" t="s">
        <v>1029</v>
      </c>
      <c r="B49" s="1748"/>
      <c r="C49" s="1748"/>
      <c r="D49" s="1748"/>
      <c r="E49" s="1748"/>
      <c r="F49" s="1748"/>
      <c r="G49" s="1748"/>
      <c r="H49" s="1748"/>
      <c r="I49" s="1748"/>
      <c r="J49" s="1748"/>
      <c r="K49" s="1748"/>
      <c r="L49" s="1748"/>
      <c r="M49" s="1748"/>
      <c r="N49" s="1748"/>
      <c r="O49" s="1748"/>
      <c r="P49" s="1748"/>
      <c r="Q49" s="1748"/>
      <c r="R49" s="1748"/>
      <c r="S49" s="1748"/>
      <c r="T49" s="1748"/>
      <c r="U49" s="1748"/>
      <c r="V49" s="1748"/>
      <c r="W49" s="1748"/>
      <c r="X49" s="83"/>
      <c r="Y49" s="83"/>
      <c r="Z49" s="83"/>
      <c r="AA49" s="83"/>
      <c r="AB49" s="83"/>
      <c r="AC49" s="83"/>
      <c r="AD49" s="83"/>
    </row>
    <row r="50" spans="1:30" x14ac:dyDescent="0.25">
      <c r="A50" s="1749"/>
      <c r="B50" s="1749"/>
      <c r="C50" s="1075"/>
      <c r="D50" s="1075"/>
      <c r="E50" s="1075"/>
      <c r="F50" s="1075"/>
      <c r="G50" s="1075"/>
      <c r="H50" s="1075"/>
      <c r="I50" s="1075"/>
      <c r="J50" s="1075"/>
      <c r="K50" s="1075"/>
      <c r="L50" s="1075"/>
      <c r="M50" s="1075"/>
      <c r="N50" s="488"/>
      <c r="O50" s="488"/>
      <c r="P50" s="488"/>
      <c r="Q50" s="488"/>
      <c r="R50" s="436"/>
      <c r="S50" s="83"/>
      <c r="T50" s="83"/>
      <c r="U50" s="83"/>
      <c r="V50" s="83"/>
      <c r="W50" s="83"/>
      <c r="X50" s="83"/>
      <c r="Y50" s="83"/>
      <c r="Z50" s="83"/>
      <c r="AA50" s="83"/>
      <c r="AB50" s="83"/>
      <c r="AC50" s="83"/>
      <c r="AD50" s="83"/>
    </row>
    <row r="51" spans="1:30" ht="16.5" thickBot="1" x14ac:dyDescent="0.3">
      <c r="A51" s="489" t="s">
        <v>670</v>
      </c>
      <c r="B51" s="1075"/>
      <c r="C51" s="1075"/>
      <c r="D51" s="1075"/>
      <c r="E51" s="1075"/>
      <c r="F51" s="1075"/>
      <c r="G51" s="1075"/>
      <c r="H51" s="1075"/>
      <c r="I51" s="1075"/>
      <c r="J51" s="1075"/>
      <c r="K51" s="1075"/>
      <c r="L51" s="1075"/>
      <c r="M51" s="1075"/>
      <c r="N51" s="488"/>
      <c r="O51" s="488"/>
      <c r="P51" s="488"/>
      <c r="Q51" s="488"/>
      <c r="R51" s="436"/>
      <c r="S51" s="83"/>
      <c r="T51" s="83"/>
      <c r="U51" s="83"/>
      <c r="V51" s="83"/>
      <c r="W51" s="83"/>
      <c r="X51" s="83"/>
      <c r="Y51" s="83"/>
      <c r="Z51" s="83"/>
      <c r="AA51" s="83"/>
      <c r="AB51" s="83"/>
      <c r="AC51" s="83"/>
      <c r="AD51" s="83"/>
    </row>
    <row r="52" spans="1:30" s="452" customFormat="1" ht="15.75" thickBot="1" x14ac:dyDescent="0.3">
      <c r="A52" s="490"/>
      <c r="B52" s="1075"/>
      <c r="C52" s="1075"/>
      <c r="D52" s="1746">
        <f>C17</f>
        <v>2013</v>
      </c>
      <c r="E52" s="1747"/>
      <c r="F52" s="451"/>
      <c r="G52" s="1746">
        <f>F17</f>
        <v>2014</v>
      </c>
      <c r="H52" s="1747"/>
      <c r="I52" s="451"/>
      <c r="J52" s="1746">
        <f>I17</f>
        <v>2015</v>
      </c>
      <c r="K52" s="1747"/>
      <c r="L52" s="451"/>
      <c r="M52" s="1746">
        <f>L17</f>
        <v>2016</v>
      </c>
      <c r="N52" s="1747"/>
      <c r="O52" s="451"/>
      <c r="P52" s="1746" t="str">
        <f>O17</f>
        <v>2017 Test Year</v>
      </c>
      <c r="Q52" s="1747"/>
      <c r="R52" s="451"/>
      <c r="S52" s="1746">
        <f>R17</f>
        <v>2018</v>
      </c>
      <c r="T52" s="1747"/>
      <c r="U52" s="451"/>
      <c r="V52" s="1746">
        <f>U17</f>
        <v>2019</v>
      </c>
      <c r="W52" s="1747"/>
      <c r="X52" s="451"/>
      <c r="Y52" s="1746">
        <f>X17</f>
        <v>2020</v>
      </c>
      <c r="Z52" s="1747"/>
      <c r="AA52" s="451"/>
      <c r="AB52" s="1746">
        <f>AA17</f>
        <v>2021</v>
      </c>
      <c r="AC52" s="1747"/>
      <c r="AD52" s="451"/>
    </row>
    <row r="53" spans="1:30" x14ac:dyDescent="0.25">
      <c r="A53" s="491" t="s">
        <v>671</v>
      </c>
      <c r="B53" s="1075"/>
      <c r="C53" s="1075"/>
      <c r="D53" s="60" t="s">
        <v>654</v>
      </c>
      <c r="E53" s="422" t="s">
        <v>655</v>
      </c>
      <c r="F53" s="83"/>
      <c r="G53" s="60" t="s">
        <v>654</v>
      </c>
      <c r="H53" s="422" t="s">
        <v>655</v>
      </c>
      <c r="I53" s="83"/>
      <c r="J53" s="60" t="s">
        <v>654</v>
      </c>
      <c r="K53" s="422" t="s">
        <v>655</v>
      </c>
      <c r="L53" s="83"/>
      <c r="M53" s="60" t="s">
        <v>654</v>
      </c>
      <c r="N53" s="422" t="s">
        <v>655</v>
      </c>
      <c r="O53" s="83"/>
      <c r="P53" s="60" t="s">
        <v>654</v>
      </c>
      <c r="Q53" s="422" t="s">
        <v>655</v>
      </c>
      <c r="R53" s="83"/>
      <c r="S53" s="60" t="s">
        <v>654</v>
      </c>
      <c r="T53" s="422" t="s">
        <v>655</v>
      </c>
      <c r="U53" s="83"/>
      <c r="V53" s="60" t="s">
        <v>654</v>
      </c>
      <c r="W53" s="422" t="s">
        <v>655</v>
      </c>
      <c r="X53" s="83"/>
      <c r="Y53" s="60" t="s">
        <v>654</v>
      </c>
      <c r="Z53" s="422" t="s">
        <v>655</v>
      </c>
      <c r="AA53" s="83"/>
      <c r="AB53" s="60" t="s">
        <v>654</v>
      </c>
      <c r="AC53" s="422" t="s">
        <v>655</v>
      </c>
      <c r="AD53" s="83"/>
    </row>
    <row r="54" spans="1:30" x14ac:dyDescent="0.25">
      <c r="A54" s="492"/>
      <c r="B54" s="1075"/>
      <c r="C54" s="1075"/>
      <c r="D54" s="60"/>
      <c r="E54" s="422"/>
      <c r="F54" s="454"/>
      <c r="G54" s="60"/>
      <c r="H54" s="422"/>
      <c r="I54" s="454"/>
      <c r="J54" s="60"/>
      <c r="K54" s="422"/>
      <c r="L54" s="454"/>
      <c r="M54" s="60"/>
      <c r="N54" s="422"/>
      <c r="O54" s="454"/>
      <c r="P54" s="60"/>
      <c r="Q54" s="422"/>
      <c r="R54" s="454"/>
      <c r="S54" s="60"/>
      <c r="T54" s="422"/>
      <c r="U54" s="454"/>
      <c r="V54" s="60"/>
      <c r="W54" s="422"/>
      <c r="X54" s="454" t="s">
        <v>295</v>
      </c>
      <c r="Y54" s="60"/>
      <c r="Z54" s="422"/>
      <c r="AA54" s="454" t="s">
        <v>295</v>
      </c>
      <c r="AB54" s="60"/>
      <c r="AC54" s="422"/>
      <c r="AD54" s="83"/>
    </row>
    <row r="55" spans="1:30" x14ac:dyDescent="0.25">
      <c r="A55" s="493" t="s">
        <v>672</v>
      </c>
      <c r="B55" s="1075"/>
      <c r="C55" s="1075"/>
      <c r="D55" s="439">
        <f>D33</f>
        <v>0</v>
      </c>
      <c r="E55" s="494">
        <f>E33</f>
        <v>0</v>
      </c>
      <c r="F55" s="439"/>
      <c r="G55" s="439">
        <f>G33</f>
        <v>0</v>
      </c>
      <c r="H55" s="494">
        <f>H33</f>
        <v>0</v>
      </c>
      <c r="I55" s="439"/>
      <c r="J55" s="439">
        <f>J33</f>
        <v>0</v>
      </c>
      <c r="K55" s="494">
        <f>K33</f>
        <v>0</v>
      </c>
      <c r="L55" s="439"/>
      <c r="M55" s="439">
        <f>M33</f>
        <v>0</v>
      </c>
      <c r="N55" s="494">
        <f>N33</f>
        <v>0</v>
      </c>
      <c r="O55" s="439"/>
      <c r="P55" s="439">
        <f>P33</f>
        <v>0</v>
      </c>
      <c r="Q55" s="494">
        <f>Q33</f>
        <v>0</v>
      </c>
      <c r="R55" s="439"/>
      <c r="S55" s="439">
        <f>S33</f>
        <v>0</v>
      </c>
      <c r="T55" s="494">
        <f>T33</f>
        <v>0</v>
      </c>
      <c r="U55" s="439"/>
      <c r="V55" s="439">
        <f>V33</f>
        <v>0</v>
      </c>
      <c r="W55" s="494">
        <f>W33</f>
        <v>0</v>
      </c>
      <c r="X55" s="439"/>
      <c r="Y55" s="439">
        <f>Y33</f>
        <v>0</v>
      </c>
      <c r="Z55" s="494">
        <f>Z33</f>
        <v>0</v>
      </c>
      <c r="AA55" s="439"/>
      <c r="AB55" s="439">
        <f>AB33</f>
        <v>0</v>
      </c>
      <c r="AC55" s="494">
        <f>AC33</f>
        <v>0</v>
      </c>
      <c r="AD55" s="83"/>
    </row>
    <row r="56" spans="1:30" x14ac:dyDescent="0.25">
      <c r="A56" s="493" t="s">
        <v>673</v>
      </c>
      <c r="B56" s="1075"/>
      <c r="C56" s="1075"/>
      <c r="D56" s="459">
        <f>D37</f>
        <v>0</v>
      </c>
      <c r="E56" s="459">
        <f>E37</f>
        <v>0</v>
      </c>
      <c r="F56" s="438"/>
      <c r="G56" s="459">
        <f>G37</f>
        <v>0</v>
      </c>
      <c r="H56" s="459">
        <f>H37</f>
        <v>0</v>
      </c>
      <c r="I56" s="438"/>
      <c r="J56" s="459">
        <f>J37</f>
        <v>0</v>
      </c>
      <c r="K56" s="459">
        <f>K37</f>
        <v>0</v>
      </c>
      <c r="L56" s="438"/>
      <c r="M56" s="459">
        <f>M37</f>
        <v>0</v>
      </c>
      <c r="N56" s="459">
        <f>N37</f>
        <v>0</v>
      </c>
      <c r="O56" s="438"/>
      <c r="P56" s="459">
        <f>P37</f>
        <v>0</v>
      </c>
      <c r="Q56" s="459">
        <f>Q37</f>
        <v>0</v>
      </c>
      <c r="R56" s="438"/>
      <c r="S56" s="459">
        <f>S37</f>
        <v>0</v>
      </c>
      <c r="T56" s="459">
        <f>T37</f>
        <v>0</v>
      </c>
      <c r="U56" s="438"/>
      <c r="V56" s="459">
        <f>V37</f>
        <v>0</v>
      </c>
      <c r="W56" s="459">
        <f>W37</f>
        <v>0</v>
      </c>
      <c r="X56" s="438"/>
      <c r="Y56" s="459">
        <f>Y37</f>
        <v>0</v>
      </c>
      <c r="Z56" s="459">
        <f>Z37</f>
        <v>0</v>
      </c>
      <c r="AA56" s="438"/>
      <c r="AB56" s="459">
        <f>AB37</f>
        <v>0</v>
      </c>
      <c r="AC56" s="459">
        <f>AC37</f>
        <v>0</v>
      </c>
      <c r="AD56" s="83"/>
    </row>
    <row r="57" spans="1:30" x14ac:dyDescent="0.25">
      <c r="A57" s="493" t="s">
        <v>674</v>
      </c>
      <c r="B57" s="1075"/>
      <c r="C57" s="1075"/>
      <c r="D57" s="438">
        <f>-D94*D$19</f>
        <v>0</v>
      </c>
      <c r="E57" s="438">
        <f>-D94*E$19</f>
        <v>0</v>
      </c>
      <c r="F57" s="438"/>
      <c r="G57" s="438">
        <f>-E94*G19</f>
        <v>0</v>
      </c>
      <c r="H57" s="438">
        <f>-E94*H$19</f>
        <v>0</v>
      </c>
      <c r="I57" s="438"/>
      <c r="J57" s="438">
        <f>-F94*J$19</f>
        <v>0</v>
      </c>
      <c r="K57" s="438">
        <f>-F94*K$19</f>
        <v>0</v>
      </c>
      <c r="L57" s="438"/>
      <c r="M57" s="438">
        <f>-G94*M$19</f>
        <v>0</v>
      </c>
      <c r="N57" s="438">
        <f>-G94*N$19</f>
        <v>0</v>
      </c>
      <c r="O57" s="438"/>
      <c r="P57" s="438">
        <f>-H94*P$19</f>
        <v>0</v>
      </c>
      <c r="Q57" s="438">
        <f>-H94*Q$19</f>
        <v>0</v>
      </c>
      <c r="R57" s="438"/>
      <c r="S57" s="438">
        <f>-I94*S$19</f>
        <v>0</v>
      </c>
      <c r="T57" s="438">
        <f>-I94*T$19</f>
        <v>0</v>
      </c>
      <c r="U57" s="438"/>
      <c r="V57" s="438">
        <f>-J94*V$19</f>
        <v>0</v>
      </c>
      <c r="W57" s="438">
        <f>-J94*W$19</f>
        <v>0</v>
      </c>
      <c r="X57" s="495"/>
      <c r="Y57" s="438">
        <f>-K94*Y$19</f>
        <v>0</v>
      </c>
      <c r="Z57" s="438">
        <f>-K94*Z$19</f>
        <v>0</v>
      </c>
      <c r="AA57" s="438"/>
      <c r="AB57" s="438">
        <f>-L94*AB$19</f>
        <v>0</v>
      </c>
      <c r="AC57" s="438">
        <f>-L94*AC$19</f>
        <v>0</v>
      </c>
      <c r="AD57" s="83"/>
    </row>
    <row r="58" spans="1:30" x14ac:dyDescent="0.25">
      <c r="A58" s="492" t="s">
        <v>675</v>
      </c>
      <c r="B58" s="1075"/>
      <c r="C58" s="1075"/>
      <c r="D58" s="496">
        <f>SUM(D55:D57)</f>
        <v>0</v>
      </c>
      <c r="E58" s="496">
        <f>SUM(E55:E57)</f>
        <v>0</v>
      </c>
      <c r="F58" s="438"/>
      <c r="G58" s="496">
        <f>SUM(G55:G57)</f>
        <v>0</v>
      </c>
      <c r="H58" s="496">
        <f>SUM(H55:H57)</f>
        <v>0</v>
      </c>
      <c r="I58" s="438"/>
      <c r="J58" s="496">
        <f>SUM(J55:J57)</f>
        <v>0</v>
      </c>
      <c r="K58" s="496">
        <f>SUM(K55:K57)</f>
        <v>0</v>
      </c>
      <c r="L58" s="438"/>
      <c r="M58" s="496">
        <f>SUM(M55:M57)</f>
        <v>0</v>
      </c>
      <c r="N58" s="496">
        <f>SUM(N55:N57)</f>
        <v>0</v>
      </c>
      <c r="O58" s="438"/>
      <c r="P58" s="496">
        <f>SUM(P55:P57)</f>
        <v>0</v>
      </c>
      <c r="Q58" s="496">
        <f>SUM(Q55:Q57)</f>
        <v>0</v>
      </c>
      <c r="R58" s="438"/>
      <c r="S58" s="496">
        <f>SUM(S55:S57)</f>
        <v>0</v>
      </c>
      <c r="T58" s="496">
        <f>SUM(T55:T57)</f>
        <v>0</v>
      </c>
      <c r="U58" s="438"/>
      <c r="V58" s="496">
        <f>SUM(V55:V57)</f>
        <v>0</v>
      </c>
      <c r="W58" s="496">
        <f>SUM(W55:W57)</f>
        <v>0</v>
      </c>
      <c r="X58" s="495"/>
      <c r="Y58" s="496">
        <f>SUM(Y55:Y57)</f>
        <v>0</v>
      </c>
      <c r="Z58" s="496">
        <f>SUM(Z55:Z57)</f>
        <v>0</v>
      </c>
      <c r="AA58" s="438"/>
      <c r="AB58" s="496">
        <f>SUM(AB55:AB57)</f>
        <v>0</v>
      </c>
      <c r="AC58" s="496">
        <f>SUM(AC55:AC57)</f>
        <v>0</v>
      </c>
      <c r="AD58" s="83"/>
    </row>
    <row r="59" spans="1:30" x14ac:dyDescent="0.25">
      <c r="A59" s="493"/>
      <c r="B59" s="1075"/>
      <c r="C59" s="1075"/>
      <c r="D59" s="438"/>
      <c r="E59" s="438"/>
      <c r="F59" s="438"/>
      <c r="G59" s="438"/>
      <c r="H59" s="438"/>
      <c r="I59" s="438"/>
      <c r="J59" s="438"/>
      <c r="K59" s="438"/>
      <c r="L59" s="438"/>
      <c r="M59" s="438"/>
      <c r="N59" s="438"/>
      <c r="O59" s="438"/>
      <c r="P59" s="438"/>
      <c r="Q59" s="438"/>
      <c r="R59" s="438"/>
      <c r="S59" s="438"/>
      <c r="T59" s="438"/>
      <c r="U59" s="438"/>
      <c r="V59" s="438"/>
      <c r="W59" s="438"/>
      <c r="X59" s="495"/>
      <c r="Y59" s="438"/>
      <c r="Z59" s="438"/>
      <c r="AA59" s="438"/>
      <c r="AB59" s="438"/>
      <c r="AC59" s="438"/>
      <c r="AD59" s="83"/>
    </row>
    <row r="60" spans="1:30" x14ac:dyDescent="0.25">
      <c r="A60" s="493" t="s">
        <v>676</v>
      </c>
      <c r="B60" s="488"/>
      <c r="C60" s="488"/>
      <c r="D60" s="497"/>
      <c r="E60" s="497"/>
      <c r="F60" s="495"/>
      <c r="G60" s="497"/>
      <c r="H60" s="497"/>
      <c r="I60" s="495"/>
      <c r="J60" s="497"/>
      <c r="K60" s="497"/>
      <c r="L60" s="495"/>
      <c r="M60" s="497"/>
      <c r="N60" s="497"/>
      <c r="O60" s="495"/>
      <c r="P60" s="497"/>
      <c r="Q60" s="497"/>
      <c r="R60" s="495"/>
      <c r="S60" s="497"/>
      <c r="T60" s="497"/>
      <c r="U60" s="495"/>
      <c r="V60" s="497"/>
      <c r="W60" s="497"/>
      <c r="X60" s="495"/>
      <c r="Y60" s="497"/>
      <c r="Z60" s="497"/>
      <c r="AA60" s="438"/>
      <c r="AB60" s="497"/>
      <c r="AC60" s="497"/>
      <c r="AD60" s="83"/>
    </row>
    <row r="61" spans="1:30" x14ac:dyDescent="0.25">
      <c r="A61" s="83"/>
      <c r="B61" s="83"/>
      <c r="C61" s="83"/>
      <c r="D61" s="83"/>
      <c r="E61" s="83"/>
      <c r="F61" s="83"/>
      <c r="G61" s="83"/>
      <c r="H61" s="83"/>
      <c r="I61" s="83"/>
      <c r="J61" s="83"/>
      <c r="K61" s="83"/>
      <c r="L61" s="83"/>
      <c r="M61" s="83"/>
      <c r="N61" s="83"/>
      <c r="O61" s="83"/>
      <c r="P61" s="83"/>
      <c r="Q61" s="83"/>
      <c r="R61" s="83"/>
      <c r="S61" s="83"/>
      <c r="T61" s="83"/>
      <c r="U61" s="83"/>
      <c r="V61" s="83"/>
      <c r="W61" s="83"/>
      <c r="X61" s="83"/>
      <c r="Y61" s="83"/>
      <c r="Z61" s="83"/>
      <c r="AA61" s="83"/>
      <c r="AB61" s="83"/>
      <c r="AC61" s="83"/>
      <c r="AD61" s="83"/>
    </row>
    <row r="62" spans="1:30" x14ac:dyDescent="0.25">
      <c r="A62" s="493" t="s">
        <v>677</v>
      </c>
      <c r="B62" s="1075"/>
      <c r="C62" s="1075"/>
      <c r="D62" s="498">
        <f>D58*D60</f>
        <v>0</v>
      </c>
      <c r="E62" s="498">
        <f>E58*E60</f>
        <v>0</v>
      </c>
      <c r="F62" s="438"/>
      <c r="G62" s="498">
        <f>G58*G60</f>
        <v>0</v>
      </c>
      <c r="H62" s="498">
        <f>H58*H60</f>
        <v>0</v>
      </c>
      <c r="I62" s="438"/>
      <c r="J62" s="498">
        <f>J58*J60</f>
        <v>0</v>
      </c>
      <c r="K62" s="498">
        <f>K58*K60</f>
        <v>0</v>
      </c>
      <c r="L62" s="438"/>
      <c r="M62" s="498">
        <f>M58*M60</f>
        <v>0</v>
      </c>
      <c r="N62" s="498">
        <f>N58*N60</f>
        <v>0</v>
      </c>
      <c r="O62" s="438"/>
      <c r="P62" s="498">
        <f>P58*P60</f>
        <v>0</v>
      </c>
      <c r="Q62" s="498">
        <f>Q58*Q60</f>
        <v>0</v>
      </c>
      <c r="R62" s="438"/>
      <c r="S62" s="498">
        <f>S58*S60</f>
        <v>0</v>
      </c>
      <c r="T62" s="498">
        <f>T58*T60</f>
        <v>0</v>
      </c>
      <c r="U62" s="438"/>
      <c r="V62" s="498">
        <f>V58*V60</f>
        <v>0</v>
      </c>
      <c r="W62" s="498">
        <f>W58*W60</f>
        <v>0</v>
      </c>
      <c r="X62" s="438"/>
      <c r="Y62" s="498">
        <f>Y58*Y60</f>
        <v>0</v>
      </c>
      <c r="Z62" s="498">
        <f>Z58*Z60</f>
        <v>0</v>
      </c>
      <c r="AA62" s="438"/>
      <c r="AB62" s="498">
        <f>AB58*AB60</f>
        <v>0</v>
      </c>
      <c r="AC62" s="498">
        <f>AC58*AC60</f>
        <v>0</v>
      </c>
      <c r="AD62" s="83"/>
    </row>
    <row r="63" spans="1:30" x14ac:dyDescent="0.25">
      <c r="A63" s="499" t="s">
        <v>678</v>
      </c>
      <c r="B63" s="1075"/>
      <c r="C63" s="1075"/>
      <c r="D63" s="493"/>
      <c r="E63" s="493"/>
      <c r="F63" s="490"/>
      <c r="G63" s="493"/>
      <c r="H63" s="493"/>
      <c r="I63" s="490"/>
      <c r="J63" s="493"/>
      <c r="K63" s="493"/>
      <c r="L63" s="490"/>
      <c r="M63" s="493"/>
      <c r="N63" s="493"/>
      <c r="O63" s="490"/>
      <c r="P63" s="493"/>
      <c r="Q63" s="493"/>
      <c r="R63" s="490"/>
      <c r="S63" s="493"/>
      <c r="T63" s="493"/>
      <c r="U63" s="490"/>
      <c r="V63" s="493"/>
      <c r="W63" s="493"/>
      <c r="X63" s="490"/>
      <c r="Y63" s="493"/>
      <c r="Z63" s="493"/>
      <c r="AA63" s="490"/>
      <c r="AB63" s="493"/>
      <c r="AC63" s="493"/>
      <c r="AD63" s="83"/>
    </row>
    <row r="64" spans="1:30" x14ac:dyDescent="0.25">
      <c r="A64" s="493" t="s">
        <v>677</v>
      </c>
      <c r="B64" s="1075"/>
      <c r="C64" s="1075"/>
      <c r="D64" s="500">
        <f>D62/(1-D60)</f>
        <v>0</v>
      </c>
      <c r="E64" s="500">
        <f>E62/(1-E60)</f>
        <v>0</v>
      </c>
      <c r="F64" s="501"/>
      <c r="G64" s="500">
        <f>G62/(1-G60)</f>
        <v>0</v>
      </c>
      <c r="H64" s="500">
        <f>H62/(1-H60)</f>
        <v>0</v>
      </c>
      <c r="I64" s="501"/>
      <c r="J64" s="500">
        <f>J62/(1-J60)</f>
        <v>0</v>
      </c>
      <c r="K64" s="500">
        <f>K62/(1-K60)</f>
        <v>0</v>
      </c>
      <c r="L64" s="501"/>
      <c r="M64" s="500">
        <f>M62/(1-M60)</f>
        <v>0</v>
      </c>
      <c r="N64" s="500">
        <f>N62/(1-N60)</f>
        <v>0</v>
      </c>
      <c r="O64" s="501"/>
      <c r="P64" s="500">
        <f>P62/(1-P60)</f>
        <v>0</v>
      </c>
      <c r="Q64" s="500">
        <f>Q62/(1-Q60)</f>
        <v>0</v>
      </c>
      <c r="R64" s="501"/>
      <c r="S64" s="500">
        <f>S62/(1-S60)</f>
        <v>0</v>
      </c>
      <c r="T64" s="500">
        <f>T62/(1-T60)</f>
        <v>0</v>
      </c>
      <c r="U64" s="501"/>
      <c r="V64" s="500">
        <f>V62/(1-V60)</f>
        <v>0</v>
      </c>
      <c r="W64" s="500">
        <f>W62/(1-W60)</f>
        <v>0</v>
      </c>
      <c r="X64" s="501"/>
      <c r="Y64" s="500">
        <f>Y62/(1-Y60)</f>
        <v>0</v>
      </c>
      <c r="Z64" s="500">
        <f>Z62/(1-Z60)</f>
        <v>0</v>
      </c>
      <c r="AA64" s="501"/>
      <c r="AB64" s="500">
        <f>AB62/(1-AB60)</f>
        <v>0</v>
      </c>
      <c r="AC64" s="500">
        <f>AC62/(1-AC60)</f>
        <v>0</v>
      </c>
      <c r="AD64" s="83"/>
    </row>
    <row r="65" spans="1:30" x14ac:dyDescent="0.25">
      <c r="A65" s="492" t="s">
        <v>679</v>
      </c>
      <c r="B65" s="1075"/>
      <c r="C65" s="1075"/>
      <c r="D65" s="502">
        <f>SUM(D64:D64)</f>
        <v>0</v>
      </c>
      <c r="E65" s="502">
        <f>SUM(E64:E64)</f>
        <v>0</v>
      </c>
      <c r="F65" s="503"/>
      <c r="G65" s="502">
        <f>SUM(G64:G64)</f>
        <v>0</v>
      </c>
      <c r="H65" s="502">
        <f>SUM(H64:H64)</f>
        <v>0</v>
      </c>
      <c r="I65" s="503"/>
      <c r="J65" s="502">
        <f>SUM(J64:J64)</f>
        <v>0</v>
      </c>
      <c r="K65" s="502">
        <f>SUM(K64:K64)</f>
        <v>0</v>
      </c>
      <c r="L65" s="503"/>
      <c r="M65" s="502">
        <f>SUM(M64:M64)</f>
        <v>0</v>
      </c>
      <c r="N65" s="502">
        <f>SUM(N64:N64)</f>
        <v>0</v>
      </c>
      <c r="O65" s="503"/>
      <c r="P65" s="502">
        <f>SUM(P64:P64)</f>
        <v>0</v>
      </c>
      <c r="Q65" s="502">
        <f>SUM(Q64:Q64)</f>
        <v>0</v>
      </c>
      <c r="R65" s="503"/>
      <c r="S65" s="502">
        <f>SUM(S64:S64)</f>
        <v>0</v>
      </c>
      <c r="T65" s="502">
        <f>SUM(T64:T64)</f>
        <v>0</v>
      </c>
      <c r="U65" s="503"/>
      <c r="V65" s="502">
        <f>SUM(V64:V64)</f>
        <v>0</v>
      </c>
      <c r="W65" s="502">
        <f>SUM(W64:W64)</f>
        <v>0</v>
      </c>
      <c r="X65" s="503"/>
      <c r="Y65" s="502">
        <f>SUM(Y64:Y64)</f>
        <v>0</v>
      </c>
      <c r="Z65" s="502">
        <f>SUM(Z64:Z64)</f>
        <v>0</v>
      </c>
      <c r="AA65" s="503"/>
      <c r="AB65" s="502">
        <f>SUM(AB64:AB64)</f>
        <v>0</v>
      </c>
      <c r="AC65" s="502">
        <f>SUM(AC64:AC64)</f>
        <v>0</v>
      </c>
      <c r="AD65" s="83"/>
    </row>
    <row r="66" spans="1:30" x14ac:dyDescent="0.25">
      <c r="A66" s="83"/>
      <c r="B66" s="1074"/>
      <c r="C66" s="1074"/>
      <c r="D66" s="1074"/>
      <c r="E66" s="1074"/>
      <c r="F66" s="1074"/>
      <c r="G66" s="1074"/>
      <c r="H66" s="1074"/>
      <c r="I66" s="1074"/>
      <c r="J66" s="1074"/>
      <c r="K66" s="1074"/>
      <c r="L66" s="1074"/>
      <c r="M66" s="1074"/>
      <c r="N66" s="504"/>
      <c r="O66" s="504"/>
      <c r="P66" s="504"/>
      <c r="Q66" s="504"/>
      <c r="R66" s="83"/>
      <c r="S66" s="83"/>
      <c r="T66" s="83"/>
      <c r="U66" s="83"/>
      <c r="V66" s="83"/>
      <c r="W66" s="83"/>
      <c r="X66" s="83"/>
      <c r="Y66" s="83"/>
      <c r="Z66" s="83"/>
      <c r="AA66" s="83"/>
      <c r="AB66" s="83"/>
      <c r="AC66" s="83"/>
      <c r="AD66" s="83"/>
    </row>
    <row r="67" spans="1:30" ht="15.75" thickBot="1" x14ac:dyDescent="0.3">
      <c r="A67" s="83"/>
      <c r="B67" s="1074"/>
      <c r="C67" s="1074"/>
      <c r="D67" s="1074"/>
      <c r="E67" s="1074"/>
      <c r="F67" s="1074"/>
      <c r="G67" s="1074"/>
      <c r="H67" s="1074"/>
      <c r="I67" s="1074"/>
      <c r="J67" s="1074"/>
      <c r="K67" s="1074"/>
      <c r="L67" s="1074"/>
      <c r="M67" s="1074"/>
      <c r="N67" s="504"/>
      <c r="O67" s="504"/>
      <c r="P67" s="504"/>
      <c r="Q67" s="504"/>
      <c r="R67" s="83"/>
      <c r="S67" s="83"/>
      <c r="T67" s="83"/>
      <c r="U67" s="43"/>
      <c r="V67" s="43"/>
      <c r="W67" s="43"/>
      <c r="X67" s="43"/>
      <c r="Y67" s="43"/>
      <c r="Z67" s="43"/>
      <c r="AA67" s="43"/>
      <c r="AB67" s="43"/>
      <c r="AC67" s="43"/>
      <c r="AD67" s="43"/>
    </row>
    <row r="68" spans="1:30" ht="16.5" thickBot="1" x14ac:dyDescent="0.3">
      <c r="A68" s="505"/>
      <c r="B68" s="505"/>
      <c r="C68" s="505"/>
      <c r="D68" s="506">
        <f>E68-1</f>
        <v>2013</v>
      </c>
      <c r="E68" s="506">
        <f>F68-1</f>
        <v>2014</v>
      </c>
      <c r="F68" s="506">
        <f>G68-1</f>
        <v>2015</v>
      </c>
      <c r="G68" s="506">
        <f>H68-1</f>
        <v>2016</v>
      </c>
      <c r="H68" s="506">
        <f>TestYear</f>
        <v>2017</v>
      </c>
      <c r="I68" s="507">
        <f>H68+1</f>
        <v>2018</v>
      </c>
      <c r="J68" s="507">
        <f>I68+1</f>
        <v>2019</v>
      </c>
      <c r="K68" s="507">
        <f>J68+1</f>
        <v>2020</v>
      </c>
      <c r="L68" s="507">
        <f>K68+1</f>
        <v>2021</v>
      </c>
      <c r="M68" s="83"/>
      <c r="N68" s="508"/>
      <c r="O68" s="509"/>
      <c r="P68" s="509"/>
      <c r="Q68" s="509"/>
      <c r="R68" s="509"/>
      <c r="S68" s="509"/>
      <c r="T68" s="43"/>
      <c r="U68" s="43"/>
      <c r="V68" s="43"/>
      <c r="W68" s="43"/>
    </row>
    <row r="69" spans="1:30" x14ac:dyDescent="0.25">
      <c r="A69" s="510" t="s">
        <v>680</v>
      </c>
      <c r="B69" s="511"/>
      <c r="C69" s="511"/>
      <c r="D69" s="511"/>
      <c r="E69" s="511"/>
      <c r="F69" s="511"/>
      <c r="G69" s="512"/>
      <c r="H69" s="512"/>
      <c r="I69" s="512"/>
      <c r="J69" s="102"/>
      <c r="K69" s="512"/>
      <c r="L69" s="102"/>
      <c r="M69" s="83"/>
      <c r="N69" s="513"/>
      <c r="O69" s="514"/>
      <c r="P69" s="102"/>
      <c r="Q69" s="102"/>
      <c r="R69" s="509"/>
      <c r="S69" s="509"/>
      <c r="T69" s="509"/>
      <c r="U69" s="43"/>
      <c r="V69" s="43"/>
      <c r="W69" s="43"/>
    </row>
    <row r="70" spans="1:30" x14ac:dyDescent="0.25">
      <c r="A70" s="505"/>
      <c r="B70" s="515" t="s">
        <v>681</v>
      </c>
      <c r="C70" s="516">
        <v>25</v>
      </c>
      <c r="D70" s="515"/>
      <c r="E70" s="515"/>
      <c r="F70" s="515"/>
      <c r="H70" s="459"/>
      <c r="I70" s="459"/>
      <c r="J70" s="102"/>
      <c r="K70" s="459"/>
      <c r="L70" s="102"/>
      <c r="M70" s="83"/>
      <c r="N70" s="102"/>
      <c r="O70" s="102"/>
      <c r="P70" s="102"/>
      <c r="Q70" s="102"/>
      <c r="R70" s="509"/>
      <c r="S70" s="509"/>
      <c r="T70" s="509"/>
      <c r="U70" s="43"/>
      <c r="V70" s="43"/>
      <c r="W70" s="43"/>
    </row>
    <row r="71" spans="1:30" x14ac:dyDescent="0.25">
      <c r="A71" s="505" t="s">
        <v>682</v>
      </c>
      <c r="B71" s="505"/>
      <c r="C71" s="505"/>
      <c r="D71" s="496"/>
      <c r="E71" s="496">
        <f t="shared" ref="E71:L71" si="9">D73</f>
        <v>0</v>
      </c>
      <c r="F71" s="496">
        <f t="shared" si="9"/>
        <v>0</v>
      </c>
      <c r="G71" s="496">
        <f t="shared" si="9"/>
        <v>0</v>
      </c>
      <c r="H71" s="496">
        <f t="shared" si="9"/>
        <v>0</v>
      </c>
      <c r="I71" s="496">
        <f t="shared" si="9"/>
        <v>0</v>
      </c>
      <c r="J71" s="496">
        <f t="shared" si="9"/>
        <v>0</v>
      </c>
      <c r="K71" s="496">
        <f t="shared" si="9"/>
        <v>0</v>
      </c>
      <c r="L71" s="496">
        <f t="shared" si="9"/>
        <v>0</v>
      </c>
      <c r="M71" s="83"/>
      <c r="N71" s="102"/>
      <c r="O71" s="102"/>
      <c r="P71" s="102"/>
      <c r="Q71" s="102"/>
      <c r="R71" s="509"/>
      <c r="S71" s="509"/>
      <c r="T71" s="509"/>
      <c r="U71" s="43"/>
      <c r="V71" s="43"/>
      <c r="W71" s="43"/>
    </row>
    <row r="72" spans="1:30" x14ac:dyDescent="0.25">
      <c r="A72" s="505" t="s">
        <v>683</v>
      </c>
      <c r="B72" s="505"/>
      <c r="C72" s="505"/>
      <c r="D72" s="512">
        <f>'App.2-FA Proposed REG Invest.'!C62</f>
        <v>0</v>
      </c>
      <c r="E72" s="512">
        <f>'App.2-FA Proposed REG Invest.'!D62</f>
        <v>0</v>
      </c>
      <c r="F72" s="512">
        <f>'App.2-FA Proposed REG Invest.'!E62</f>
        <v>0</v>
      </c>
      <c r="G72" s="512">
        <f>'App.2-FA Proposed REG Invest.'!F62</f>
        <v>0</v>
      </c>
      <c r="H72" s="512">
        <f>'App.2-FA Proposed REG Invest.'!G62</f>
        <v>0</v>
      </c>
      <c r="I72" s="512">
        <f>'App.2-FA Proposed REG Invest.'!H62</f>
        <v>0</v>
      </c>
      <c r="J72" s="512">
        <f>'App.2-FA Proposed REG Invest.'!I62</f>
        <v>0</v>
      </c>
      <c r="K72" s="512">
        <f>'App.2-FA Proposed REG Invest.'!J62</f>
        <v>0</v>
      </c>
      <c r="L72" s="512">
        <f>'App.2-FA Proposed REG Invest.'!K62</f>
        <v>0</v>
      </c>
      <c r="M72" s="83"/>
      <c r="N72" s="102"/>
      <c r="O72" s="102"/>
      <c r="P72" s="102"/>
      <c r="Q72" s="517"/>
      <c r="R72" s="509"/>
      <c r="S72" s="509"/>
      <c r="T72" s="509"/>
      <c r="U72" s="43"/>
      <c r="V72" s="43"/>
      <c r="W72" s="43"/>
    </row>
    <row r="73" spans="1:30" x14ac:dyDescent="0.25">
      <c r="A73" s="505" t="s">
        <v>684</v>
      </c>
      <c r="B73" s="505"/>
      <c r="C73" s="505"/>
      <c r="D73" s="496">
        <f t="shared" ref="D73:L73" si="10">SUM(D71:D72)</f>
        <v>0</v>
      </c>
      <c r="E73" s="496">
        <f t="shared" si="10"/>
        <v>0</v>
      </c>
      <c r="F73" s="496">
        <f t="shared" si="10"/>
        <v>0</v>
      </c>
      <c r="G73" s="496">
        <f t="shared" si="10"/>
        <v>0</v>
      </c>
      <c r="H73" s="496">
        <f t="shared" si="10"/>
        <v>0</v>
      </c>
      <c r="I73" s="496">
        <f t="shared" si="10"/>
        <v>0</v>
      </c>
      <c r="J73" s="496">
        <f t="shared" si="10"/>
        <v>0</v>
      </c>
      <c r="K73" s="496">
        <f t="shared" si="10"/>
        <v>0</v>
      </c>
      <c r="L73" s="496">
        <f t="shared" si="10"/>
        <v>0</v>
      </c>
      <c r="M73" s="83"/>
      <c r="N73" s="509"/>
      <c r="O73" s="509"/>
      <c r="P73" s="509"/>
      <c r="Q73" s="509"/>
      <c r="R73" s="509"/>
      <c r="S73" s="509"/>
      <c r="T73" s="509"/>
      <c r="U73" s="43"/>
      <c r="V73" s="43"/>
      <c r="W73" s="43"/>
    </row>
    <row r="74" spans="1:30" x14ac:dyDescent="0.25">
      <c r="A74" s="505"/>
      <c r="B74" s="505"/>
      <c r="C74" s="505"/>
      <c r="D74" s="438"/>
      <c r="E74" s="438"/>
      <c r="F74" s="438"/>
      <c r="G74" s="438"/>
      <c r="H74" s="438"/>
      <c r="I74" s="459"/>
      <c r="J74" s="102"/>
      <c r="K74" s="459"/>
      <c r="L74" s="102"/>
      <c r="M74" s="83"/>
      <c r="N74" s="102"/>
      <c r="O74" s="509"/>
      <c r="P74" s="509"/>
      <c r="Q74" s="509"/>
      <c r="R74" s="509"/>
      <c r="S74" s="509"/>
      <c r="T74" s="509"/>
      <c r="U74" s="43"/>
      <c r="V74" s="43"/>
      <c r="W74" s="43"/>
    </row>
    <row r="75" spans="1:30" x14ac:dyDescent="0.25">
      <c r="A75" s="505" t="s">
        <v>685</v>
      </c>
      <c r="B75" s="505"/>
      <c r="C75" s="505"/>
      <c r="D75" s="496"/>
      <c r="E75" s="496">
        <f>+D78</f>
        <v>0</v>
      </c>
      <c r="F75" s="496">
        <f t="shared" ref="F75:L75" si="11">E78</f>
        <v>0</v>
      </c>
      <c r="G75" s="496">
        <f t="shared" si="11"/>
        <v>0</v>
      </c>
      <c r="H75" s="496">
        <f t="shared" si="11"/>
        <v>0</v>
      </c>
      <c r="I75" s="496">
        <f t="shared" si="11"/>
        <v>0</v>
      </c>
      <c r="J75" s="496">
        <f t="shared" si="11"/>
        <v>0</v>
      </c>
      <c r="K75" s="496">
        <f t="shared" si="11"/>
        <v>0</v>
      </c>
      <c r="L75" s="496">
        <f t="shared" si="11"/>
        <v>0</v>
      </c>
      <c r="M75" s="83"/>
      <c r="N75" s="102"/>
      <c r="O75" s="509"/>
      <c r="P75" s="509"/>
      <c r="Q75" s="509"/>
      <c r="R75" s="509"/>
      <c r="S75" s="509"/>
      <c r="T75" s="509"/>
      <c r="U75" s="43"/>
      <c r="V75" s="43"/>
      <c r="W75" s="43"/>
    </row>
    <row r="76" spans="1:30" x14ac:dyDescent="0.25">
      <c r="A76" s="505" t="s">
        <v>686</v>
      </c>
      <c r="B76" s="505"/>
      <c r="C76" s="505"/>
      <c r="D76" s="438">
        <f t="shared" ref="D76:L76" si="12">IF(ISERROR(D71/$C$70), 0, D71/$C$70)</f>
        <v>0</v>
      </c>
      <c r="E76" s="438">
        <f t="shared" si="12"/>
        <v>0</v>
      </c>
      <c r="F76" s="438">
        <f t="shared" si="12"/>
        <v>0</v>
      </c>
      <c r="G76" s="438">
        <f t="shared" si="12"/>
        <v>0</v>
      </c>
      <c r="H76" s="438">
        <f t="shared" si="12"/>
        <v>0</v>
      </c>
      <c r="I76" s="438">
        <f t="shared" si="12"/>
        <v>0</v>
      </c>
      <c r="J76" s="438">
        <f t="shared" si="12"/>
        <v>0</v>
      </c>
      <c r="K76" s="438">
        <f t="shared" si="12"/>
        <v>0</v>
      </c>
      <c r="L76" s="438">
        <f t="shared" si="12"/>
        <v>0</v>
      </c>
      <c r="M76" s="83"/>
      <c r="N76" s="102"/>
      <c r="O76" s="509"/>
      <c r="P76" s="509"/>
      <c r="Q76" s="509"/>
      <c r="R76" s="509"/>
      <c r="S76" s="509"/>
      <c r="T76" s="509"/>
      <c r="U76" s="43"/>
      <c r="V76" s="43"/>
      <c r="W76" s="43"/>
    </row>
    <row r="77" spans="1:30" x14ac:dyDescent="0.25">
      <c r="A77" s="505" t="s">
        <v>687</v>
      </c>
      <c r="B77" s="83"/>
      <c r="C77" s="83"/>
      <c r="D77" s="459">
        <f>D72/$C$70/2</f>
        <v>0</v>
      </c>
      <c r="E77" s="459">
        <f>E72/$C$70/2</f>
        <v>0</v>
      </c>
      <c r="F77" s="459">
        <f>F72/$C$70/2</f>
        <v>0</v>
      </c>
      <c r="G77" s="459">
        <f>G72/$C$70/2</f>
        <v>0</v>
      </c>
      <c r="H77" s="459">
        <f>H72/$C$70/2</f>
        <v>0</v>
      </c>
      <c r="I77" s="459">
        <f>I72/C70/2</f>
        <v>0</v>
      </c>
      <c r="J77" s="459">
        <f>J72/C70/2</f>
        <v>0</v>
      </c>
      <c r="K77" s="459">
        <f>K72/C70/2</f>
        <v>0</v>
      </c>
      <c r="L77" s="459">
        <f>L72/C70/2</f>
        <v>0</v>
      </c>
      <c r="M77" s="83"/>
      <c r="N77" s="102"/>
      <c r="O77" s="509"/>
      <c r="P77" s="509"/>
      <c r="Q77" s="509"/>
      <c r="R77" s="509"/>
      <c r="S77" s="509"/>
      <c r="T77" s="509"/>
      <c r="U77" s="43"/>
      <c r="V77" s="43"/>
      <c r="W77" s="43"/>
    </row>
    <row r="78" spans="1:30" x14ac:dyDescent="0.25">
      <c r="A78" s="505" t="s">
        <v>688</v>
      </c>
      <c r="B78" s="505"/>
      <c r="C78" s="505"/>
      <c r="D78" s="496">
        <f>SUM(D75+D76+D77)</f>
        <v>0</v>
      </c>
      <c r="E78" s="496">
        <f>SUM(E75+E76+E77)</f>
        <v>0</v>
      </c>
      <c r="F78" s="496">
        <f>SUM(F75+F76+F77)</f>
        <v>0</v>
      </c>
      <c r="G78" s="496">
        <f>SUM(G75+G76+G77)</f>
        <v>0</v>
      </c>
      <c r="H78" s="496">
        <f>SUM(H75+H76+H77)</f>
        <v>0</v>
      </c>
      <c r="I78" s="496">
        <f>SUM(I75:I77)</f>
        <v>0</v>
      </c>
      <c r="J78" s="496">
        <f>SUM(J75:J77)</f>
        <v>0</v>
      </c>
      <c r="K78" s="496">
        <f>SUM(K75:K77)</f>
        <v>0</v>
      </c>
      <c r="L78" s="496">
        <f>SUM(L75:L77)</f>
        <v>0</v>
      </c>
      <c r="M78" s="83"/>
      <c r="N78" s="102"/>
      <c r="O78" s="509"/>
      <c r="P78" s="509"/>
      <c r="Q78" s="509"/>
      <c r="R78" s="509"/>
      <c r="S78" s="509"/>
      <c r="T78" s="509"/>
      <c r="U78" s="43"/>
      <c r="V78" s="43"/>
      <c r="W78" s="43"/>
    </row>
    <row r="79" spans="1:30" x14ac:dyDescent="0.25">
      <c r="A79" s="505"/>
      <c r="B79" s="505"/>
      <c r="C79" s="505"/>
      <c r="D79" s="459"/>
      <c r="E79" s="459"/>
      <c r="F79" s="459"/>
      <c r="G79" s="459"/>
      <c r="H79" s="459"/>
      <c r="I79" s="459"/>
      <c r="J79" s="459"/>
      <c r="K79" s="459"/>
      <c r="L79" s="459"/>
      <c r="M79" s="83"/>
      <c r="N79" s="102"/>
      <c r="O79" s="509"/>
      <c r="P79" s="517"/>
      <c r="Q79" s="102"/>
      <c r="R79" s="509"/>
      <c r="S79" s="509"/>
      <c r="T79" s="509"/>
      <c r="U79" s="43"/>
      <c r="V79" s="43"/>
      <c r="W79" s="43"/>
    </row>
    <row r="80" spans="1:30" x14ac:dyDescent="0.25">
      <c r="A80" s="505" t="s">
        <v>689</v>
      </c>
      <c r="B80" s="505"/>
      <c r="C80" s="505"/>
      <c r="D80" s="459">
        <f>D71-D75</f>
        <v>0</v>
      </c>
      <c r="E80" s="459">
        <f>E71-E75</f>
        <v>0</v>
      </c>
      <c r="F80" s="459">
        <f>F71-F75</f>
        <v>0</v>
      </c>
      <c r="G80" s="459">
        <f>G71-G75</f>
        <v>0</v>
      </c>
      <c r="H80" s="459">
        <f>H71-H75</f>
        <v>0</v>
      </c>
      <c r="I80" s="459">
        <f>H81</f>
        <v>0</v>
      </c>
      <c r="J80" s="459">
        <f>I81</f>
        <v>0</v>
      </c>
      <c r="K80" s="459">
        <f>J81</f>
        <v>0</v>
      </c>
      <c r="L80" s="459">
        <f>K81</f>
        <v>0</v>
      </c>
      <c r="M80" s="83"/>
      <c r="N80" s="102"/>
      <c r="O80" s="509"/>
      <c r="P80" s="102"/>
      <c r="Q80" s="509"/>
      <c r="R80" s="509"/>
      <c r="S80" s="509"/>
      <c r="T80" s="509"/>
      <c r="U80" s="43"/>
      <c r="V80" s="43"/>
      <c r="W80" s="43"/>
    </row>
    <row r="81" spans="1:23" x14ac:dyDescent="0.25">
      <c r="A81" s="505" t="s">
        <v>690</v>
      </c>
      <c r="B81" s="505"/>
      <c r="C81" s="505"/>
      <c r="D81" s="496">
        <f t="shared" ref="D81:L81" si="13">D73-D78</f>
        <v>0</v>
      </c>
      <c r="E81" s="496">
        <f t="shared" si="13"/>
        <v>0</v>
      </c>
      <c r="F81" s="496">
        <f t="shared" si="13"/>
        <v>0</v>
      </c>
      <c r="G81" s="496">
        <f t="shared" si="13"/>
        <v>0</v>
      </c>
      <c r="H81" s="496">
        <f t="shared" si="13"/>
        <v>0</v>
      </c>
      <c r="I81" s="496">
        <f t="shared" si="13"/>
        <v>0</v>
      </c>
      <c r="J81" s="496">
        <f t="shared" si="13"/>
        <v>0</v>
      </c>
      <c r="K81" s="496">
        <f t="shared" si="13"/>
        <v>0</v>
      </c>
      <c r="L81" s="496">
        <f t="shared" si="13"/>
        <v>0</v>
      </c>
      <c r="M81" s="83"/>
      <c r="N81" s="102"/>
      <c r="O81" s="509"/>
      <c r="P81" s="509"/>
      <c r="Q81" s="509"/>
      <c r="R81" s="509"/>
      <c r="S81" s="509"/>
      <c r="T81" s="509"/>
      <c r="U81" s="43"/>
      <c r="V81" s="43"/>
      <c r="W81" s="43"/>
    </row>
    <row r="82" spans="1:23" ht="15.75" thickBot="1" x14ac:dyDescent="0.3">
      <c r="A82" s="511" t="s">
        <v>691</v>
      </c>
      <c r="B82" s="505"/>
      <c r="C82" s="505"/>
      <c r="D82" s="518">
        <f t="shared" ref="D82:L82" si="14">SUM(D80:D81)/2</f>
        <v>0</v>
      </c>
      <c r="E82" s="518">
        <f t="shared" si="14"/>
        <v>0</v>
      </c>
      <c r="F82" s="518">
        <f t="shared" si="14"/>
        <v>0</v>
      </c>
      <c r="G82" s="518">
        <f t="shared" si="14"/>
        <v>0</v>
      </c>
      <c r="H82" s="518">
        <f t="shared" si="14"/>
        <v>0</v>
      </c>
      <c r="I82" s="518">
        <f t="shared" si="14"/>
        <v>0</v>
      </c>
      <c r="J82" s="518">
        <f t="shared" si="14"/>
        <v>0</v>
      </c>
      <c r="K82" s="518">
        <f t="shared" si="14"/>
        <v>0</v>
      </c>
      <c r="L82" s="518">
        <f t="shared" si="14"/>
        <v>0</v>
      </c>
      <c r="M82" s="83"/>
      <c r="N82" s="102"/>
      <c r="O82" s="509"/>
      <c r="P82" s="509"/>
      <c r="Q82" s="509"/>
      <c r="R82" s="509"/>
      <c r="S82" s="509"/>
      <c r="T82" s="509"/>
      <c r="U82" s="43"/>
      <c r="V82" s="43"/>
      <c r="W82" s="43"/>
    </row>
    <row r="83" spans="1:23" x14ac:dyDescent="0.25">
      <c r="A83" s="505"/>
      <c r="B83" s="505"/>
      <c r="C83" s="505"/>
      <c r="D83" s="459"/>
      <c r="E83" s="459"/>
      <c r="F83" s="459"/>
      <c r="G83" s="459"/>
      <c r="H83" s="459"/>
      <c r="I83" s="459"/>
      <c r="J83" s="102"/>
      <c r="K83" s="459"/>
      <c r="L83" s="102"/>
      <c r="M83" s="83"/>
      <c r="N83" s="102"/>
      <c r="O83" s="509"/>
      <c r="P83" s="509"/>
      <c r="Q83" s="509"/>
      <c r="R83" s="509"/>
      <c r="S83" s="509"/>
      <c r="T83" s="509"/>
      <c r="U83" s="43"/>
      <c r="V83" s="43"/>
      <c r="W83" s="43"/>
    </row>
    <row r="84" spans="1:23" ht="15.75" thickBot="1" x14ac:dyDescent="0.3">
      <c r="A84" s="510" t="s">
        <v>692</v>
      </c>
      <c r="B84" s="511"/>
      <c r="C84" s="511"/>
      <c r="D84" s="459"/>
      <c r="E84" s="459"/>
      <c r="F84" s="459"/>
      <c r="G84" s="459"/>
      <c r="H84" s="459"/>
      <c r="I84" s="459"/>
      <c r="J84" s="102"/>
      <c r="K84" s="459"/>
      <c r="L84" s="102"/>
      <c r="M84" s="83"/>
      <c r="N84" s="102"/>
      <c r="O84" s="509"/>
      <c r="P84" s="509"/>
      <c r="Q84" s="509"/>
      <c r="R84" s="509"/>
      <c r="S84" s="509"/>
      <c r="T84" s="509"/>
      <c r="U84" s="43"/>
      <c r="V84" s="43"/>
      <c r="W84" s="43"/>
    </row>
    <row r="85" spans="1:23" ht="15.75" thickBot="1" x14ac:dyDescent="0.3">
      <c r="A85" s="511"/>
      <c r="B85" s="102"/>
      <c r="C85" s="102"/>
      <c r="D85" s="506">
        <f>D68</f>
        <v>2013</v>
      </c>
      <c r="E85" s="506">
        <f t="shared" ref="E85:L85" si="15">E68</f>
        <v>2014</v>
      </c>
      <c r="F85" s="506">
        <f t="shared" si="15"/>
        <v>2015</v>
      </c>
      <c r="G85" s="506">
        <f t="shared" si="15"/>
        <v>2016</v>
      </c>
      <c r="H85" s="506">
        <f t="shared" si="15"/>
        <v>2017</v>
      </c>
      <c r="I85" s="506">
        <f t="shared" si="15"/>
        <v>2018</v>
      </c>
      <c r="J85" s="506">
        <f t="shared" si="15"/>
        <v>2019</v>
      </c>
      <c r="K85" s="506">
        <f t="shared" si="15"/>
        <v>2020</v>
      </c>
      <c r="L85" s="506">
        <f t="shared" si="15"/>
        <v>2021</v>
      </c>
      <c r="M85" s="83"/>
      <c r="N85" s="102"/>
      <c r="O85" s="509"/>
      <c r="P85" s="509"/>
      <c r="Q85" s="509"/>
      <c r="R85" s="509"/>
      <c r="S85" s="509"/>
      <c r="T85" s="509"/>
      <c r="U85" s="43"/>
      <c r="V85" s="43"/>
      <c r="W85" s="43"/>
    </row>
    <row r="86" spans="1:23" x14ac:dyDescent="0.25">
      <c r="A86" s="505"/>
      <c r="B86" s="102"/>
      <c r="C86" s="102"/>
      <c r="D86" s="459"/>
      <c r="E86" s="459"/>
      <c r="F86" s="459"/>
      <c r="G86" s="459"/>
      <c r="H86" s="459"/>
      <c r="I86" s="459"/>
      <c r="J86" s="459"/>
      <c r="K86" s="459"/>
      <c r="L86" s="459"/>
      <c r="M86" s="83"/>
      <c r="N86" s="102"/>
      <c r="O86" s="509"/>
      <c r="P86" s="509"/>
      <c r="Q86" s="509"/>
      <c r="R86" s="509"/>
      <c r="S86" s="509"/>
      <c r="T86" s="509"/>
      <c r="U86" s="43"/>
      <c r="V86" s="43"/>
      <c r="W86" s="43"/>
    </row>
    <row r="87" spans="1:23" x14ac:dyDescent="0.25">
      <c r="A87" s="505" t="s">
        <v>693</v>
      </c>
      <c r="B87" s="102"/>
      <c r="C87" s="102"/>
      <c r="D87" s="496"/>
      <c r="E87" s="496">
        <f t="shared" ref="E87:L87" si="16">D95</f>
        <v>0</v>
      </c>
      <c r="F87" s="496">
        <f t="shared" si="16"/>
        <v>0</v>
      </c>
      <c r="G87" s="496">
        <f t="shared" si="16"/>
        <v>0</v>
      </c>
      <c r="H87" s="496">
        <f t="shared" si="16"/>
        <v>0</v>
      </c>
      <c r="I87" s="496">
        <f t="shared" si="16"/>
        <v>0</v>
      </c>
      <c r="J87" s="496">
        <f t="shared" si="16"/>
        <v>0</v>
      </c>
      <c r="K87" s="496">
        <f t="shared" si="16"/>
        <v>0</v>
      </c>
      <c r="L87" s="496">
        <f t="shared" si="16"/>
        <v>0</v>
      </c>
      <c r="M87" s="83"/>
      <c r="N87" s="102"/>
      <c r="O87" s="509"/>
      <c r="P87" s="509"/>
      <c r="Q87" s="509"/>
      <c r="R87" s="509"/>
      <c r="S87" s="509"/>
      <c r="T87" s="509"/>
      <c r="U87" s="43"/>
      <c r="V87" s="43"/>
      <c r="W87" s="43"/>
    </row>
    <row r="88" spans="1:23" x14ac:dyDescent="0.25">
      <c r="A88" s="505" t="s">
        <v>694</v>
      </c>
      <c r="B88" s="102"/>
      <c r="C88" s="102"/>
      <c r="D88" s="459">
        <f t="shared" ref="D88:L88" si="17">D72</f>
        <v>0</v>
      </c>
      <c r="E88" s="459">
        <f t="shared" si="17"/>
        <v>0</v>
      </c>
      <c r="F88" s="459">
        <f t="shared" si="17"/>
        <v>0</v>
      </c>
      <c r="G88" s="459">
        <f t="shared" si="17"/>
        <v>0</v>
      </c>
      <c r="H88" s="459">
        <f t="shared" si="17"/>
        <v>0</v>
      </c>
      <c r="I88" s="459">
        <f t="shared" si="17"/>
        <v>0</v>
      </c>
      <c r="J88" s="459">
        <f t="shared" si="17"/>
        <v>0</v>
      </c>
      <c r="K88" s="459">
        <f t="shared" si="17"/>
        <v>0</v>
      </c>
      <c r="L88" s="459">
        <f t="shared" si="17"/>
        <v>0</v>
      </c>
      <c r="M88" s="83"/>
      <c r="N88" s="102"/>
      <c r="O88" s="509"/>
      <c r="P88" s="517"/>
      <c r="Q88" s="102"/>
      <c r="R88" s="509"/>
      <c r="S88" s="509"/>
      <c r="T88" s="509"/>
      <c r="U88" s="43"/>
      <c r="V88" s="43"/>
      <c r="W88" s="43"/>
    </row>
    <row r="89" spans="1:23" x14ac:dyDescent="0.25">
      <c r="A89" s="505" t="s">
        <v>695</v>
      </c>
      <c r="B89" s="102"/>
      <c r="C89" s="102"/>
      <c r="D89" s="496">
        <f t="shared" ref="D89:L89" si="18">SUM(D87:D88)</f>
        <v>0</v>
      </c>
      <c r="E89" s="496">
        <f t="shared" si="18"/>
        <v>0</v>
      </c>
      <c r="F89" s="496">
        <f t="shared" si="18"/>
        <v>0</v>
      </c>
      <c r="G89" s="496">
        <f t="shared" si="18"/>
        <v>0</v>
      </c>
      <c r="H89" s="496">
        <f t="shared" si="18"/>
        <v>0</v>
      </c>
      <c r="I89" s="496">
        <f t="shared" si="18"/>
        <v>0</v>
      </c>
      <c r="J89" s="496">
        <f t="shared" si="18"/>
        <v>0</v>
      </c>
      <c r="K89" s="496">
        <f t="shared" si="18"/>
        <v>0</v>
      </c>
      <c r="L89" s="496">
        <f t="shared" si="18"/>
        <v>0</v>
      </c>
      <c r="M89" s="83"/>
      <c r="N89" s="102"/>
      <c r="O89" s="509"/>
      <c r="P89" s="102"/>
      <c r="Q89" s="509"/>
      <c r="R89" s="509"/>
      <c r="S89" s="509"/>
      <c r="T89" s="509"/>
      <c r="U89" s="43"/>
      <c r="V89" s="43"/>
      <c r="W89" s="43"/>
    </row>
    <row r="90" spans="1:23" x14ac:dyDescent="0.25">
      <c r="A90" s="505" t="s">
        <v>696</v>
      </c>
      <c r="B90" s="102"/>
      <c r="C90" s="102"/>
      <c r="D90" s="459">
        <f t="shared" ref="D90:L90" si="19">D88/2</f>
        <v>0</v>
      </c>
      <c r="E90" s="459">
        <f t="shared" si="19"/>
        <v>0</v>
      </c>
      <c r="F90" s="459">
        <f t="shared" si="19"/>
        <v>0</v>
      </c>
      <c r="G90" s="459">
        <f t="shared" si="19"/>
        <v>0</v>
      </c>
      <c r="H90" s="459">
        <f t="shared" si="19"/>
        <v>0</v>
      </c>
      <c r="I90" s="459">
        <f t="shared" si="19"/>
        <v>0</v>
      </c>
      <c r="J90" s="459">
        <f t="shared" si="19"/>
        <v>0</v>
      </c>
      <c r="K90" s="459">
        <f t="shared" si="19"/>
        <v>0</v>
      </c>
      <c r="L90" s="459">
        <f t="shared" si="19"/>
        <v>0</v>
      </c>
      <c r="M90" s="83"/>
      <c r="N90" s="102"/>
      <c r="O90" s="509"/>
      <c r="P90" s="509"/>
      <c r="Q90" s="509"/>
      <c r="R90" s="509"/>
      <c r="S90" s="509"/>
      <c r="T90" s="509"/>
      <c r="U90" s="43"/>
      <c r="V90" s="43"/>
      <c r="W90" s="43"/>
    </row>
    <row r="91" spans="1:23" x14ac:dyDescent="0.25">
      <c r="A91" s="505" t="s">
        <v>697</v>
      </c>
      <c r="B91" s="102"/>
      <c r="C91" s="102"/>
      <c r="D91" s="496">
        <f t="shared" ref="D91:L91" si="20">D89-D90</f>
        <v>0</v>
      </c>
      <c r="E91" s="496">
        <f t="shared" si="20"/>
        <v>0</v>
      </c>
      <c r="F91" s="496">
        <f t="shared" si="20"/>
        <v>0</v>
      </c>
      <c r="G91" s="496">
        <f t="shared" si="20"/>
        <v>0</v>
      </c>
      <c r="H91" s="496">
        <f t="shared" si="20"/>
        <v>0</v>
      </c>
      <c r="I91" s="496">
        <f t="shared" si="20"/>
        <v>0</v>
      </c>
      <c r="J91" s="496">
        <f t="shared" si="20"/>
        <v>0</v>
      </c>
      <c r="K91" s="496">
        <f t="shared" si="20"/>
        <v>0</v>
      </c>
      <c r="L91" s="496">
        <f t="shared" si="20"/>
        <v>0</v>
      </c>
      <c r="M91" s="83"/>
      <c r="N91" s="509"/>
      <c r="O91" s="509"/>
      <c r="P91" s="509"/>
      <c r="Q91" s="509"/>
      <c r="R91" s="509"/>
      <c r="S91" s="509"/>
      <c r="T91" s="509"/>
      <c r="U91" s="43"/>
      <c r="V91" s="43"/>
      <c r="W91" s="43"/>
    </row>
    <row r="92" spans="1:23" x14ac:dyDescent="0.25">
      <c r="A92" s="505" t="s">
        <v>698</v>
      </c>
      <c r="B92" s="102"/>
      <c r="C92" s="519">
        <v>47</v>
      </c>
      <c r="D92" s="519">
        <f>C92</f>
        <v>47</v>
      </c>
      <c r="E92" s="519">
        <f t="shared" ref="E92:L93" si="21">D92</f>
        <v>47</v>
      </c>
      <c r="F92" s="519">
        <f t="shared" si="21"/>
        <v>47</v>
      </c>
      <c r="G92" s="519">
        <f t="shared" si="21"/>
        <v>47</v>
      </c>
      <c r="H92" s="519">
        <f t="shared" si="21"/>
        <v>47</v>
      </c>
      <c r="I92" s="519">
        <f t="shared" si="21"/>
        <v>47</v>
      </c>
      <c r="J92" s="519">
        <f t="shared" si="21"/>
        <v>47</v>
      </c>
      <c r="K92" s="519">
        <f t="shared" si="21"/>
        <v>47</v>
      </c>
      <c r="L92" s="519">
        <f t="shared" si="21"/>
        <v>47</v>
      </c>
      <c r="M92" s="83"/>
      <c r="N92" s="509"/>
      <c r="O92" s="509"/>
      <c r="P92" s="509"/>
      <c r="Q92" s="509"/>
      <c r="R92" s="509"/>
      <c r="S92" s="509"/>
      <c r="T92" s="509"/>
      <c r="U92" s="43"/>
      <c r="V92" s="43"/>
      <c r="W92" s="43"/>
    </row>
    <row r="93" spans="1:23" x14ac:dyDescent="0.25">
      <c r="A93" s="505" t="s">
        <v>699</v>
      </c>
      <c r="B93" s="102"/>
      <c r="C93" s="520">
        <v>0.08</v>
      </c>
      <c r="D93" s="520">
        <f>C93</f>
        <v>0.08</v>
      </c>
      <c r="E93" s="520">
        <f t="shared" si="21"/>
        <v>0.08</v>
      </c>
      <c r="F93" s="520">
        <f t="shared" si="21"/>
        <v>0.08</v>
      </c>
      <c r="G93" s="520">
        <f t="shared" si="21"/>
        <v>0.08</v>
      </c>
      <c r="H93" s="520">
        <f t="shared" si="21"/>
        <v>0.08</v>
      </c>
      <c r="I93" s="520">
        <f t="shared" si="21"/>
        <v>0.08</v>
      </c>
      <c r="J93" s="520">
        <f t="shared" si="21"/>
        <v>0.08</v>
      </c>
      <c r="K93" s="520">
        <f t="shared" si="21"/>
        <v>0.08</v>
      </c>
      <c r="L93" s="520">
        <f t="shared" si="21"/>
        <v>0.08</v>
      </c>
      <c r="M93" s="83"/>
      <c r="N93" s="102"/>
      <c r="O93" s="509"/>
      <c r="P93" s="509"/>
      <c r="Q93" s="509"/>
      <c r="R93" s="509"/>
      <c r="S93" s="509"/>
      <c r="T93" s="509"/>
      <c r="U93" s="43"/>
      <c r="V93" s="43"/>
      <c r="W93" s="43"/>
    </row>
    <row r="94" spans="1:23" x14ac:dyDescent="0.25">
      <c r="A94" s="505" t="s">
        <v>700</v>
      </c>
      <c r="B94" s="102"/>
      <c r="C94" s="102"/>
      <c r="D94" s="496">
        <f t="shared" ref="D94:L94" si="22">D91*D93</f>
        <v>0</v>
      </c>
      <c r="E94" s="496">
        <f t="shared" si="22"/>
        <v>0</v>
      </c>
      <c r="F94" s="496">
        <f t="shared" si="22"/>
        <v>0</v>
      </c>
      <c r="G94" s="496">
        <f t="shared" si="22"/>
        <v>0</v>
      </c>
      <c r="H94" s="496">
        <f t="shared" si="22"/>
        <v>0</v>
      </c>
      <c r="I94" s="496">
        <f t="shared" si="22"/>
        <v>0</v>
      </c>
      <c r="J94" s="496">
        <f t="shared" si="22"/>
        <v>0</v>
      </c>
      <c r="K94" s="496">
        <f t="shared" si="22"/>
        <v>0</v>
      </c>
      <c r="L94" s="496">
        <f t="shared" si="22"/>
        <v>0</v>
      </c>
      <c r="M94" s="83"/>
      <c r="N94" s="102"/>
      <c r="O94" s="509"/>
      <c r="P94" s="509"/>
      <c r="Q94" s="509"/>
      <c r="R94" s="509"/>
      <c r="S94" s="509"/>
      <c r="T94" s="509"/>
      <c r="U94" s="43"/>
      <c r="V94" s="43"/>
      <c r="W94" s="43"/>
    </row>
    <row r="95" spans="1:23" ht="15.75" thickBot="1" x14ac:dyDescent="0.3">
      <c r="A95" s="511" t="s">
        <v>701</v>
      </c>
      <c r="B95" s="102"/>
      <c r="C95" s="102"/>
      <c r="D95" s="518">
        <f t="shared" ref="D95:L95" si="23">D89-D94</f>
        <v>0</v>
      </c>
      <c r="E95" s="518">
        <f t="shared" si="23"/>
        <v>0</v>
      </c>
      <c r="F95" s="518">
        <f t="shared" si="23"/>
        <v>0</v>
      </c>
      <c r="G95" s="518">
        <f t="shared" si="23"/>
        <v>0</v>
      </c>
      <c r="H95" s="518">
        <f t="shared" si="23"/>
        <v>0</v>
      </c>
      <c r="I95" s="518">
        <f t="shared" si="23"/>
        <v>0</v>
      </c>
      <c r="J95" s="518">
        <f t="shared" si="23"/>
        <v>0</v>
      </c>
      <c r="K95" s="518">
        <f t="shared" si="23"/>
        <v>0</v>
      </c>
      <c r="L95" s="518">
        <f t="shared" si="23"/>
        <v>0</v>
      </c>
      <c r="M95" s="83"/>
      <c r="N95" s="102"/>
      <c r="O95" s="509"/>
      <c r="P95" s="509"/>
      <c r="Q95" s="509"/>
      <c r="R95" s="509"/>
      <c r="S95" s="509"/>
      <c r="T95" s="509"/>
      <c r="U95" s="43"/>
      <c r="V95" s="43"/>
      <c r="W95" s="43"/>
    </row>
  </sheetData>
  <mergeCells count="26">
    <mergeCell ref="AA17:AC17"/>
    <mergeCell ref="A9:R9"/>
    <mergeCell ref="A10:R10"/>
    <mergeCell ref="A12:R12"/>
    <mergeCell ref="A13:R13"/>
    <mergeCell ref="A15:R15"/>
    <mergeCell ref="A47:W47"/>
    <mergeCell ref="O17:Q17"/>
    <mergeCell ref="R17:T17"/>
    <mergeCell ref="U17:W17"/>
    <mergeCell ref="X17:Z17"/>
    <mergeCell ref="L17:N17"/>
    <mergeCell ref="I17:K17"/>
    <mergeCell ref="F17:H17"/>
    <mergeCell ref="C17:E17"/>
    <mergeCell ref="Y52:Z52"/>
    <mergeCell ref="AB52:AC52"/>
    <mergeCell ref="A49:W49"/>
    <mergeCell ref="A50:B50"/>
    <mergeCell ref="P52:Q52"/>
    <mergeCell ref="S52:T52"/>
    <mergeCell ref="V52:W52"/>
    <mergeCell ref="M52:N52"/>
    <mergeCell ref="J52:K52"/>
    <mergeCell ref="G52:H52"/>
    <mergeCell ref="D52:E52"/>
  </mergeCells>
  <dataValidations disablePrompts="1" count="1">
    <dataValidation allowBlank="1" showInputMessage="1" showErrorMessage="1" promptTitle="Date Format" prompt="E.g:  &quot;August 1, 2011&quot;" sqref="JI7 TE7 ADA7 AMW7 AWS7 BGO7 BQK7 CAG7 CKC7 CTY7 DDU7 DNQ7 DXM7 EHI7 ERE7 FBA7 FKW7 FUS7 GEO7 GOK7 GYG7 HIC7 HRY7 IBU7 ILQ7 IVM7 JFI7 JPE7 JZA7 KIW7 KSS7 LCO7 LMK7 LWG7 MGC7 MPY7 MZU7 NJQ7 NTM7 ODI7 ONE7 OXA7 PGW7 PQS7 QAO7 QKK7 QUG7 REC7 RNY7 RXU7 SHQ7 SRM7 TBI7 TLE7 TVA7 UEW7 UOS7 UYO7 VIK7 VSG7 WCC7 WLY7 WVU7"/>
  </dataValidations>
  <pageMargins left="0.7" right="0.7" top="0.75" bottom="0.75" header="0.3" footer="0.3"/>
  <pageSetup scale="27" orientation="landscape"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3">
    <tabColor rgb="FF00B0F0"/>
    <pageSetUpPr fitToPage="1"/>
  </sheetPr>
  <dimension ref="A1:AD114"/>
  <sheetViews>
    <sheetView showGridLines="0" topLeftCell="J1" zoomScaleNormal="100" workbookViewId="0"/>
  </sheetViews>
  <sheetFormatPr defaultRowHeight="12.75" x14ac:dyDescent="0.2"/>
  <cols>
    <col min="1" max="1" width="54.28515625" style="43" customWidth="1"/>
    <col min="2" max="2" width="14.7109375" style="43" customWidth="1"/>
    <col min="3" max="12" width="12.7109375" style="43" customWidth="1"/>
    <col min="13" max="30" width="14.7109375" style="43" customWidth="1"/>
    <col min="31" max="16384" width="9.140625" style="43"/>
  </cols>
  <sheetData>
    <row r="1" spans="1:19" s="375" customFormat="1" ht="15" x14ac:dyDescent="0.25">
      <c r="A1" s="52"/>
      <c r="B1" s="52"/>
      <c r="C1" s="52"/>
      <c r="D1" s="52"/>
      <c r="E1" s="52"/>
      <c r="F1" s="52"/>
      <c r="G1" s="52"/>
      <c r="H1" s="52"/>
      <c r="I1" s="52"/>
      <c r="J1" s="52"/>
      <c r="K1" s="52"/>
      <c r="L1" s="52"/>
      <c r="N1" s="60" t="s">
        <v>301</v>
      </c>
      <c r="O1" s="1092" t="str">
        <f>EBNUMBER</f>
        <v>EB-2016-0066</v>
      </c>
    </row>
    <row r="2" spans="1:19" s="375" customFormat="1" ht="15" x14ac:dyDescent="0.25">
      <c r="A2" s="52"/>
      <c r="B2" s="52"/>
      <c r="C2" s="52"/>
      <c r="D2" s="52"/>
      <c r="E2" s="52"/>
      <c r="F2" s="52"/>
      <c r="G2" s="52"/>
      <c r="H2" s="52"/>
      <c r="I2" s="52"/>
      <c r="J2" s="52"/>
      <c r="K2" s="52"/>
      <c r="L2" s="52"/>
      <c r="N2" s="60" t="s">
        <v>302</v>
      </c>
      <c r="O2" s="62"/>
    </row>
    <row r="3" spans="1:19" s="375" customFormat="1" ht="15" x14ac:dyDescent="0.25">
      <c r="A3" s="52"/>
      <c r="B3" s="52"/>
      <c r="C3" s="52"/>
      <c r="D3" s="52"/>
      <c r="E3" s="52"/>
      <c r="F3" s="52"/>
      <c r="G3" s="52"/>
      <c r="H3" s="52"/>
      <c r="I3" s="52"/>
      <c r="J3" s="52"/>
      <c r="K3" s="52"/>
      <c r="L3" s="52"/>
      <c r="N3" s="60" t="s">
        <v>303</v>
      </c>
      <c r="O3" s="62"/>
    </row>
    <row r="4" spans="1:19" s="375" customFormat="1" ht="15" x14ac:dyDescent="0.25">
      <c r="A4" s="52"/>
      <c r="B4" s="52"/>
      <c r="C4" s="52"/>
      <c r="D4" s="52"/>
      <c r="E4" s="52"/>
      <c r="F4" s="52"/>
      <c r="G4" s="52"/>
      <c r="H4" s="52"/>
      <c r="I4" s="52"/>
      <c r="J4" s="52"/>
      <c r="K4" s="52"/>
      <c r="L4" s="52"/>
      <c r="N4" s="60" t="s">
        <v>304</v>
      </c>
      <c r="O4" s="62"/>
    </row>
    <row r="5" spans="1:19" s="375" customFormat="1" ht="15" x14ac:dyDescent="0.25">
      <c r="A5" s="52"/>
      <c r="B5" s="52"/>
      <c r="C5" s="52"/>
      <c r="D5" s="52"/>
      <c r="E5" s="52"/>
      <c r="F5" s="52"/>
      <c r="G5" s="52"/>
      <c r="H5" s="52"/>
      <c r="I5" s="52"/>
      <c r="J5" s="52"/>
      <c r="K5" s="52"/>
      <c r="L5" s="52"/>
      <c r="N5" s="60" t="s">
        <v>305</v>
      </c>
      <c r="O5" s="63"/>
    </row>
    <row r="6" spans="1:19" s="375" customFormat="1" ht="15" x14ac:dyDescent="0.25">
      <c r="A6" s="52"/>
      <c r="B6" s="52"/>
      <c r="C6" s="52"/>
      <c r="D6" s="52"/>
      <c r="E6" s="52"/>
      <c r="F6" s="52"/>
      <c r="G6" s="52"/>
      <c r="H6" s="52"/>
      <c r="I6" s="52"/>
      <c r="J6" s="52"/>
      <c r="K6" s="52"/>
      <c r="L6" s="52"/>
      <c r="N6" s="60"/>
      <c r="O6" s="61"/>
    </row>
    <row r="7" spans="1:19" s="375" customFormat="1" ht="15" x14ac:dyDescent="0.25">
      <c r="A7" s="52"/>
      <c r="B7" s="52"/>
      <c r="C7" s="52"/>
      <c r="D7" s="52"/>
      <c r="E7" s="52"/>
      <c r="F7" s="52"/>
      <c r="G7" s="52"/>
      <c r="H7" s="52"/>
      <c r="I7" s="52"/>
      <c r="J7" s="52"/>
      <c r="K7" s="52"/>
      <c r="L7" s="52"/>
      <c r="N7" s="60" t="s">
        <v>306</v>
      </c>
      <c r="O7" s="63"/>
    </row>
    <row r="8" spans="1:19" s="375" customFormat="1" ht="15" x14ac:dyDescent="0.25">
      <c r="A8" s="56"/>
      <c r="B8" s="56"/>
      <c r="C8" s="56"/>
      <c r="D8" s="56"/>
      <c r="E8" s="56"/>
      <c r="F8" s="56"/>
      <c r="G8" s="56"/>
      <c r="H8" s="56"/>
      <c r="I8" s="56"/>
      <c r="J8" s="56"/>
      <c r="K8" s="56"/>
      <c r="L8" s="56"/>
      <c r="M8" s="56"/>
      <c r="N8" s="56"/>
      <c r="O8" s="56"/>
      <c r="P8" s="56"/>
      <c r="Q8" s="413"/>
      <c r="R8" s="413"/>
      <c r="S8" s="413"/>
    </row>
    <row r="9" spans="1:19" s="375" customFormat="1" ht="18" x14ac:dyDescent="0.25">
      <c r="A9" s="1591" t="s">
        <v>703</v>
      </c>
      <c r="B9" s="1591"/>
      <c r="C9" s="1591"/>
      <c r="D9" s="1591"/>
      <c r="E9" s="1591"/>
      <c r="F9" s="1591"/>
      <c r="G9" s="1591"/>
      <c r="H9" s="1591"/>
      <c r="I9" s="1591"/>
      <c r="J9" s="1591"/>
      <c r="K9" s="1591"/>
      <c r="L9" s="1591"/>
      <c r="M9" s="1591"/>
      <c r="N9" s="1591"/>
      <c r="O9" s="1591"/>
      <c r="P9" s="414"/>
      <c r="Q9" s="414"/>
      <c r="R9" s="413"/>
      <c r="S9" s="413"/>
    </row>
    <row r="10" spans="1:19" s="375" customFormat="1" ht="39.75" customHeight="1" x14ac:dyDescent="0.25">
      <c r="A10" s="1680" t="s">
        <v>704</v>
      </c>
      <c r="B10" s="1680"/>
      <c r="C10" s="1680"/>
      <c r="D10" s="1680"/>
      <c r="E10" s="1680"/>
      <c r="F10" s="1680"/>
      <c r="G10" s="1680"/>
      <c r="H10" s="1680"/>
      <c r="I10" s="1680"/>
      <c r="J10" s="1680"/>
      <c r="K10" s="1680"/>
      <c r="L10" s="1680"/>
      <c r="M10" s="1680"/>
      <c r="N10" s="1680"/>
      <c r="O10" s="1680"/>
      <c r="P10" s="414"/>
      <c r="Q10" s="414"/>
      <c r="R10" s="413"/>
      <c r="S10" s="413"/>
    </row>
    <row r="11" spans="1:19" s="375" customFormat="1" ht="12.75" customHeight="1" x14ac:dyDescent="0.25">
      <c r="A11" s="414"/>
      <c r="B11" s="414"/>
      <c r="C11" s="414"/>
      <c r="D11" s="414"/>
      <c r="E11" s="414"/>
      <c r="F11" s="414"/>
      <c r="G11" s="414"/>
      <c r="H11" s="414"/>
      <c r="I11" s="414"/>
      <c r="J11" s="414"/>
      <c r="K11" s="414"/>
      <c r="L11" s="414"/>
      <c r="M11" s="414"/>
      <c r="N11" s="414"/>
      <c r="O11" s="414"/>
      <c r="P11" s="414"/>
      <c r="Q11" s="414"/>
      <c r="R11" s="413"/>
      <c r="S11" s="413"/>
    </row>
    <row r="12" spans="1:19" ht="14.25" x14ac:dyDescent="0.2">
      <c r="A12" s="1756" t="s">
        <v>705</v>
      </c>
      <c r="B12" s="1756"/>
      <c r="C12" s="1756"/>
      <c r="D12" s="1756"/>
      <c r="E12" s="1756"/>
      <c r="F12" s="1756"/>
      <c r="G12" s="1756"/>
      <c r="H12" s="1756"/>
      <c r="I12" s="1756"/>
      <c r="J12" s="1756"/>
      <c r="K12" s="1756"/>
      <c r="L12" s="1756"/>
      <c r="M12" s="1756"/>
      <c r="N12" s="1756"/>
      <c r="O12" s="1756"/>
    </row>
    <row r="13" spans="1:19" ht="12.75" customHeight="1" x14ac:dyDescent="0.2">
      <c r="A13" s="1757" t="s">
        <v>653</v>
      </c>
      <c r="B13" s="1757"/>
      <c r="C13" s="1757"/>
      <c r="D13" s="1757"/>
      <c r="E13" s="1757"/>
      <c r="F13" s="1757"/>
      <c r="G13" s="1757"/>
      <c r="H13" s="1757"/>
      <c r="I13" s="1757"/>
      <c r="J13" s="1757"/>
      <c r="K13" s="1757"/>
      <c r="L13" s="1757"/>
      <c r="M13" s="1757"/>
      <c r="N13" s="1757"/>
      <c r="O13" s="1757"/>
    </row>
    <row r="14" spans="1:19" ht="12.75" customHeight="1" x14ac:dyDescent="0.2">
      <c r="A14" s="449" t="s">
        <v>1030</v>
      </c>
      <c r="B14" s="521"/>
      <c r="C14" s="521"/>
      <c r="D14" s="521"/>
      <c r="E14" s="521"/>
      <c r="F14" s="521"/>
      <c r="G14" s="521"/>
      <c r="H14" s="521"/>
      <c r="I14" s="521"/>
      <c r="J14" s="521"/>
      <c r="K14" s="521"/>
      <c r="L14" s="521"/>
      <c r="M14" s="521"/>
      <c r="N14" s="521"/>
      <c r="O14" s="521"/>
    </row>
    <row r="15" spans="1:19" ht="14.25" x14ac:dyDescent="0.2">
      <c r="A15" s="1756" t="s">
        <v>1181</v>
      </c>
      <c r="B15" s="1756"/>
      <c r="C15" s="1756"/>
      <c r="D15" s="1756"/>
      <c r="E15" s="1756"/>
      <c r="F15" s="1756"/>
      <c r="G15" s="1756"/>
      <c r="H15" s="1756"/>
      <c r="I15" s="1756"/>
      <c r="J15" s="1756"/>
      <c r="K15" s="1756"/>
      <c r="L15" s="1756"/>
      <c r="M15" s="1756"/>
      <c r="N15" s="1756"/>
      <c r="O15" s="1756"/>
    </row>
    <row r="16" spans="1:19" ht="15" x14ac:dyDescent="0.2">
      <c r="B16" s="522"/>
    </row>
    <row r="17" spans="1:30" ht="13.5" thickBot="1" x14ac:dyDescent="0.25">
      <c r="A17" s="450"/>
      <c r="B17" s="523"/>
      <c r="C17" s="523"/>
      <c r="D17" s="523"/>
      <c r="E17" s="523"/>
      <c r="F17" s="523"/>
      <c r="G17" s="523"/>
      <c r="H17" s="523"/>
      <c r="I17" s="523"/>
      <c r="J17" s="523"/>
      <c r="K17" s="523"/>
      <c r="L17" s="523"/>
      <c r="M17" s="102"/>
      <c r="N17" s="102"/>
      <c r="O17" s="102"/>
      <c r="P17" s="102"/>
      <c r="Q17" s="524"/>
      <c r="R17" s="102"/>
      <c r="S17" s="102"/>
      <c r="T17" s="524"/>
      <c r="U17" s="102"/>
      <c r="V17" s="102"/>
      <c r="W17" s="102"/>
      <c r="X17" s="102"/>
      <c r="Y17" s="102"/>
      <c r="Z17" s="524"/>
      <c r="AA17" s="102"/>
    </row>
    <row r="18" spans="1:30" ht="13.5" thickBot="1" x14ac:dyDescent="0.25">
      <c r="A18" s="450"/>
      <c r="B18" s="450"/>
      <c r="C18" s="450"/>
      <c r="D18" s="1750">
        <f>G18-1</f>
        <v>2013</v>
      </c>
      <c r="E18" s="1751"/>
      <c r="F18" s="1752"/>
      <c r="G18" s="1750">
        <f>J18-1</f>
        <v>2014</v>
      </c>
      <c r="H18" s="1751"/>
      <c r="I18" s="1752"/>
      <c r="J18" s="1750">
        <f>M18-1</f>
        <v>2015</v>
      </c>
      <c r="K18" s="1751"/>
      <c r="L18" s="1752"/>
      <c r="M18" s="1750">
        <f>BridgeYear</f>
        <v>2016</v>
      </c>
      <c r="N18" s="1751"/>
      <c r="O18" s="1752"/>
      <c r="P18" s="1750" t="str">
        <f>CONCATENATE(TestYear," Test Year")</f>
        <v>2017 Test Year</v>
      </c>
      <c r="Q18" s="1751"/>
      <c r="R18" s="1752"/>
      <c r="S18" s="1750">
        <f>TestYear+1</f>
        <v>2018</v>
      </c>
      <c r="T18" s="1751">
        <v>2016</v>
      </c>
      <c r="U18" s="1752"/>
      <c r="V18" s="1750">
        <f>S18+1</f>
        <v>2019</v>
      </c>
      <c r="W18" s="1751"/>
      <c r="X18" s="1752"/>
      <c r="Y18" s="1750">
        <f>V18+1</f>
        <v>2020</v>
      </c>
      <c r="Z18" s="1751"/>
      <c r="AA18" s="1752"/>
      <c r="AB18" s="1750">
        <f>Y18+1</f>
        <v>2021</v>
      </c>
      <c r="AC18" s="1751"/>
      <c r="AD18" s="1752"/>
    </row>
    <row r="19" spans="1:30" x14ac:dyDescent="0.2">
      <c r="A19" s="83"/>
      <c r="B19" s="83"/>
      <c r="C19" s="83"/>
      <c r="D19" s="83"/>
      <c r="E19" s="60" t="s">
        <v>654</v>
      </c>
      <c r="F19" s="422" t="s">
        <v>655</v>
      </c>
      <c r="G19" s="83"/>
      <c r="H19" s="60" t="s">
        <v>654</v>
      </c>
      <c r="I19" s="422" t="s">
        <v>655</v>
      </c>
      <c r="J19" s="83"/>
      <c r="K19" s="60" t="s">
        <v>654</v>
      </c>
      <c r="L19" s="422" t="s">
        <v>655</v>
      </c>
      <c r="M19" s="83"/>
      <c r="N19" s="60" t="s">
        <v>654</v>
      </c>
      <c r="O19" s="422" t="s">
        <v>655</v>
      </c>
      <c r="P19" s="83"/>
      <c r="Q19" s="60" t="s">
        <v>654</v>
      </c>
      <c r="R19" s="422" t="s">
        <v>655</v>
      </c>
      <c r="S19" s="83"/>
      <c r="T19" s="60" t="s">
        <v>654</v>
      </c>
      <c r="U19" s="422" t="s">
        <v>655</v>
      </c>
      <c r="V19" s="83"/>
      <c r="W19" s="60" t="s">
        <v>654</v>
      </c>
      <c r="X19" s="422" t="s">
        <v>655</v>
      </c>
      <c r="Y19" s="83"/>
      <c r="Z19" s="60" t="s">
        <v>654</v>
      </c>
      <c r="AA19" s="422" t="s">
        <v>655</v>
      </c>
      <c r="AB19" s="83"/>
      <c r="AC19" s="60" t="s">
        <v>654</v>
      </c>
      <c r="AD19" s="422" t="s">
        <v>655</v>
      </c>
    </row>
    <row r="20" spans="1:30" s="509" customFormat="1" x14ac:dyDescent="0.2">
      <c r="A20" s="525"/>
      <c r="B20" s="454"/>
      <c r="C20" s="454"/>
      <c r="D20" s="454" t="s">
        <v>295</v>
      </c>
      <c r="E20" s="455">
        <v>0.17</v>
      </c>
      <c r="F20" s="455">
        <v>0.83</v>
      </c>
      <c r="G20" s="454" t="s">
        <v>295</v>
      </c>
      <c r="H20" s="455">
        <v>0.17</v>
      </c>
      <c r="I20" s="455">
        <v>0.83</v>
      </c>
      <c r="J20" s="454" t="s">
        <v>295</v>
      </c>
      <c r="K20" s="455">
        <v>0.17</v>
      </c>
      <c r="L20" s="455">
        <v>0.83</v>
      </c>
      <c r="M20" s="454" t="s">
        <v>295</v>
      </c>
      <c r="N20" s="455">
        <v>0.17</v>
      </c>
      <c r="O20" s="455">
        <v>0.83</v>
      </c>
      <c r="P20" s="454" t="s">
        <v>295</v>
      </c>
      <c r="Q20" s="455">
        <v>0.17</v>
      </c>
      <c r="R20" s="455">
        <v>0.83</v>
      </c>
      <c r="S20" s="454" t="s">
        <v>295</v>
      </c>
      <c r="T20" s="455">
        <v>0.17</v>
      </c>
      <c r="U20" s="455">
        <v>0.83</v>
      </c>
      <c r="V20" s="454" t="s">
        <v>295</v>
      </c>
      <c r="W20" s="455">
        <v>0.17</v>
      </c>
      <c r="X20" s="455">
        <v>0.83</v>
      </c>
      <c r="Y20" s="454" t="s">
        <v>295</v>
      </c>
      <c r="Z20" s="455">
        <v>0.17</v>
      </c>
      <c r="AA20" s="455">
        <v>0.83</v>
      </c>
      <c r="AB20" s="454" t="s">
        <v>295</v>
      </c>
      <c r="AC20" s="455">
        <v>0.17</v>
      </c>
      <c r="AD20" s="455">
        <v>0.83</v>
      </c>
    </row>
    <row r="21" spans="1:30" x14ac:dyDescent="0.2">
      <c r="A21" s="60" t="s">
        <v>656</v>
      </c>
      <c r="B21" s="456"/>
      <c r="C21" s="83"/>
      <c r="D21" s="457">
        <f>D82</f>
        <v>0</v>
      </c>
      <c r="E21" s="427">
        <f>D21*E20</f>
        <v>0</v>
      </c>
      <c r="F21" s="458">
        <f>D21*F20</f>
        <v>0</v>
      </c>
      <c r="G21" s="457">
        <f>E82</f>
        <v>0</v>
      </c>
      <c r="H21" s="427">
        <f>G21*H20</f>
        <v>0</v>
      </c>
      <c r="I21" s="458">
        <f>G21*I20</f>
        <v>0</v>
      </c>
      <c r="J21" s="457">
        <f>F82</f>
        <v>0</v>
      </c>
      <c r="K21" s="427">
        <f>J21*K20</f>
        <v>0</v>
      </c>
      <c r="L21" s="458">
        <f>J21*L20</f>
        <v>0</v>
      </c>
      <c r="M21" s="457">
        <f>G82</f>
        <v>0</v>
      </c>
      <c r="N21" s="427">
        <f>M21*N20</f>
        <v>0</v>
      </c>
      <c r="O21" s="458">
        <f>M21*O20</f>
        <v>0</v>
      </c>
      <c r="P21" s="457">
        <f>H82</f>
        <v>87511.112500000003</v>
      </c>
      <c r="Q21" s="427">
        <f>P21*Q20</f>
        <v>14876.889125000002</v>
      </c>
      <c r="R21" s="458">
        <f>P21*R20</f>
        <v>72634.223375000001</v>
      </c>
      <c r="S21" s="459">
        <f>I82</f>
        <v>173551.45</v>
      </c>
      <c r="T21" s="427">
        <f>S21*T20</f>
        <v>29503.746500000005</v>
      </c>
      <c r="U21" s="458">
        <f>S21*U20</f>
        <v>144047.7035</v>
      </c>
      <c r="V21" s="459">
        <f>J82</f>
        <v>170609.9</v>
      </c>
      <c r="W21" s="427">
        <f>V21*W20</f>
        <v>29003.683000000001</v>
      </c>
      <c r="X21" s="458">
        <f>V21*X20</f>
        <v>141606.21699999998</v>
      </c>
      <c r="Y21" s="459">
        <f>K82</f>
        <v>167668.35</v>
      </c>
      <c r="Z21" s="427">
        <f>Y21*Z20</f>
        <v>28503.619500000004</v>
      </c>
      <c r="AA21" s="458">
        <f>Y21*AA20</f>
        <v>139164.73050000001</v>
      </c>
      <c r="AB21" s="459">
        <f>L82</f>
        <v>164726.79999999999</v>
      </c>
      <c r="AC21" s="427">
        <f>AB21*AC20</f>
        <v>28003.556</v>
      </c>
      <c r="AD21" s="458">
        <f>AB21*AD20</f>
        <v>136723.24399999998</v>
      </c>
    </row>
    <row r="22" spans="1:30" x14ac:dyDescent="0.2">
      <c r="A22" s="83" t="s">
        <v>702</v>
      </c>
      <c r="B22" s="460"/>
      <c r="C22" s="83"/>
      <c r="D22" s="461">
        <f>'App.2-FA Proposed REG Invest.'!C101</f>
        <v>0</v>
      </c>
      <c r="E22" s="462">
        <f>D22</f>
        <v>0</v>
      </c>
      <c r="F22" s="463"/>
      <c r="G22" s="461">
        <f>'App.2-FA Proposed REG Invest.'!D$101</f>
        <v>0</v>
      </c>
      <c r="H22" s="462">
        <f>G22</f>
        <v>0</v>
      </c>
      <c r="I22" s="463"/>
      <c r="J22" s="461">
        <f>'App.2-FA Proposed REG Invest.'!E$101</f>
        <v>0</v>
      </c>
      <c r="K22" s="462">
        <f>J22</f>
        <v>0</v>
      </c>
      <c r="L22" s="463"/>
      <c r="M22" s="461">
        <f>'App.2-FA Proposed REG Invest.'!F$101</f>
        <v>0</v>
      </c>
      <c r="N22" s="462">
        <f>M22</f>
        <v>0</v>
      </c>
      <c r="O22" s="463"/>
      <c r="P22" s="461">
        <f>'App.2-FA Proposed REG Invest.'!G$101</f>
        <v>0</v>
      </c>
      <c r="Q22" s="462">
        <f>P22</f>
        <v>0</v>
      </c>
      <c r="R22" s="463"/>
      <c r="S22" s="461">
        <f>'App.2-FA Proposed REG Invest.'!H$101</f>
        <v>0</v>
      </c>
      <c r="T22" s="462">
        <f>S22</f>
        <v>0</v>
      </c>
      <c r="U22" s="463"/>
      <c r="V22" s="461">
        <f>'App.2-FA Proposed REG Invest.'!I$101</f>
        <v>0</v>
      </c>
      <c r="W22" s="462">
        <f>V22</f>
        <v>0</v>
      </c>
      <c r="X22" s="463"/>
      <c r="Y22" s="461">
        <f>'App.2-FA Proposed REG Invest.'!J$101</f>
        <v>0</v>
      </c>
      <c r="Z22" s="462">
        <f>Y22</f>
        <v>0</v>
      </c>
      <c r="AA22" s="463"/>
      <c r="AB22" s="461">
        <f>'App.2-FA Proposed REG Invest.'!K$101</f>
        <v>0</v>
      </c>
      <c r="AC22" s="462">
        <f>AB22</f>
        <v>0</v>
      </c>
      <c r="AD22" s="463"/>
    </row>
    <row r="23" spans="1:30" x14ac:dyDescent="0.2">
      <c r="A23" s="83" t="s">
        <v>657</v>
      </c>
      <c r="B23" s="460"/>
      <c r="C23" s="83"/>
      <c r="D23" s="461">
        <f>'App.2-FA Proposed REG Invest.'!C100</f>
        <v>0</v>
      </c>
      <c r="E23" s="462">
        <f>D23*E20</f>
        <v>0</v>
      </c>
      <c r="F23" s="462">
        <f>D23*F20</f>
        <v>0</v>
      </c>
      <c r="G23" s="461">
        <f>'App.2-FA Proposed REG Invest.'!D$100</f>
        <v>0</v>
      </c>
      <c r="H23" s="462">
        <f>G23*H20</f>
        <v>0</v>
      </c>
      <c r="I23" s="462">
        <f>G23*I20</f>
        <v>0</v>
      </c>
      <c r="J23" s="461">
        <f>'App.2-FA Proposed REG Invest.'!E$100</f>
        <v>0</v>
      </c>
      <c r="K23" s="462">
        <f>J23*K20</f>
        <v>0</v>
      </c>
      <c r="L23" s="462">
        <f>J23*L20</f>
        <v>0</v>
      </c>
      <c r="M23" s="461">
        <f>'App.2-FA Proposed REG Invest.'!F$100</f>
        <v>0</v>
      </c>
      <c r="N23" s="462">
        <f>M23*N20</f>
        <v>0</v>
      </c>
      <c r="O23" s="462">
        <f>M23*O20</f>
        <v>0</v>
      </c>
      <c r="P23" s="461">
        <f>'App.2-FA Proposed REG Invest.'!G$100</f>
        <v>0</v>
      </c>
      <c r="Q23" s="462">
        <f>P23*Q20</f>
        <v>0</v>
      </c>
      <c r="R23" s="462">
        <f>P23*R20</f>
        <v>0</v>
      </c>
      <c r="S23" s="461">
        <f>'App.2-FA Proposed REG Invest.'!H$100</f>
        <v>0</v>
      </c>
      <c r="T23" s="462">
        <f>S23*T20</f>
        <v>0</v>
      </c>
      <c r="U23" s="462">
        <f>S23*U20</f>
        <v>0</v>
      </c>
      <c r="V23" s="461">
        <f>'App.2-FA Proposed REG Invest.'!I$100</f>
        <v>0</v>
      </c>
      <c r="W23" s="462">
        <f>V23*W20</f>
        <v>0</v>
      </c>
      <c r="X23" s="462">
        <f>V23*X20</f>
        <v>0</v>
      </c>
      <c r="Y23" s="461">
        <f>'App.2-FA Proposed REG Invest.'!J$100</f>
        <v>0</v>
      </c>
      <c r="Z23" s="462">
        <f>Y23*Z20</f>
        <v>0</v>
      </c>
      <c r="AA23" s="462">
        <f>Y23*AA20</f>
        <v>0</v>
      </c>
      <c r="AB23" s="461">
        <f>'App.2-FA Proposed REG Invest.'!K$100</f>
        <v>0</v>
      </c>
      <c r="AC23" s="462">
        <f>AB23*AC20</f>
        <v>0</v>
      </c>
      <c r="AD23" s="462">
        <f>AB23*AD20</f>
        <v>0</v>
      </c>
    </row>
    <row r="24" spans="1:30" x14ac:dyDescent="0.2">
      <c r="A24" s="83" t="s">
        <v>658</v>
      </c>
      <c r="B24" s="464">
        <v>7.4999999999999997E-2</v>
      </c>
      <c r="C24" s="480"/>
      <c r="D24" s="465"/>
      <c r="E24" s="466">
        <f>(E22+E23)*$B$24</f>
        <v>0</v>
      </c>
      <c r="F24" s="467">
        <f>F23*$B$24</f>
        <v>0</v>
      </c>
      <c r="G24" s="465"/>
      <c r="H24" s="466">
        <f>(H22+H23)*$B$24</f>
        <v>0</v>
      </c>
      <c r="I24" s="467">
        <f>I23*$B$24</f>
        <v>0</v>
      </c>
      <c r="J24" s="465"/>
      <c r="K24" s="466">
        <f>(K22+K23)*$B$24</f>
        <v>0</v>
      </c>
      <c r="L24" s="467">
        <f>L23*$B$24</f>
        <v>0</v>
      </c>
      <c r="M24" s="465"/>
      <c r="N24" s="466">
        <f>(N22+N23)*$B$24</f>
        <v>0</v>
      </c>
      <c r="O24" s="467">
        <f>O23*$B$24</f>
        <v>0</v>
      </c>
      <c r="P24" s="465"/>
      <c r="Q24" s="466">
        <f>(Q22+Q23)*$B$24</f>
        <v>0</v>
      </c>
      <c r="R24" s="467">
        <f>R23*$B$24</f>
        <v>0</v>
      </c>
      <c r="S24" s="465"/>
      <c r="T24" s="466">
        <f>(T22+T23)*$B$24</f>
        <v>0</v>
      </c>
      <c r="U24" s="467">
        <f>U23*$B$24</f>
        <v>0</v>
      </c>
      <c r="V24" s="465"/>
      <c r="W24" s="466">
        <f>(W22+W23)*$B$24</f>
        <v>0</v>
      </c>
      <c r="X24" s="467">
        <f>X23*$B$24</f>
        <v>0</v>
      </c>
      <c r="Y24" s="465"/>
      <c r="Z24" s="466">
        <f>(Z22+Z23)*$B$24</f>
        <v>0</v>
      </c>
      <c r="AA24" s="467">
        <f>AA23*$B$24</f>
        <v>0</v>
      </c>
      <c r="AB24" s="465"/>
      <c r="AC24" s="466">
        <f>(AC22+AC23)*$B$24</f>
        <v>0</v>
      </c>
      <c r="AD24" s="467">
        <f>AD23*$B$24</f>
        <v>0</v>
      </c>
    </row>
    <row r="25" spans="1:30" x14ac:dyDescent="0.2">
      <c r="A25" s="60" t="s">
        <v>529</v>
      </c>
      <c r="B25" s="83"/>
      <c r="C25" s="480"/>
      <c r="D25" s="83"/>
      <c r="E25" s="468">
        <f>SUM(E21+E24)</f>
        <v>0</v>
      </c>
      <c r="F25" s="468">
        <f>SUM(F21+F24)</f>
        <v>0</v>
      </c>
      <c r="G25" s="83"/>
      <c r="H25" s="468">
        <f>SUM(H21+H24)</f>
        <v>0</v>
      </c>
      <c r="I25" s="468">
        <f>SUM(I21+I24)</f>
        <v>0</v>
      </c>
      <c r="J25" s="83"/>
      <c r="K25" s="468">
        <f>SUM(K21+K24)</f>
        <v>0</v>
      </c>
      <c r="L25" s="468">
        <f>SUM(L21+L24)</f>
        <v>0</v>
      </c>
      <c r="M25" s="83"/>
      <c r="N25" s="468">
        <f>SUM(N21+N24)</f>
        <v>0</v>
      </c>
      <c r="O25" s="468">
        <f>SUM(O21+O24)</f>
        <v>0</v>
      </c>
      <c r="P25" s="83"/>
      <c r="Q25" s="468">
        <f>SUM(Q21+Q24)</f>
        <v>14876.889125000002</v>
      </c>
      <c r="R25" s="468">
        <f>SUM(R21+R24)</f>
        <v>72634.223375000001</v>
      </c>
      <c r="S25" s="83"/>
      <c r="T25" s="468">
        <f>SUM(T21+T24)</f>
        <v>29503.746500000005</v>
      </c>
      <c r="U25" s="468">
        <f>SUM(U21+U24)</f>
        <v>144047.7035</v>
      </c>
      <c r="V25" s="83"/>
      <c r="W25" s="468">
        <f>SUM(W21+W24)</f>
        <v>29003.683000000001</v>
      </c>
      <c r="X25" s="468">
        <f>SUM(X21+X24)</f>
        <v>141606.21699999998</v>
      </c>
      <c r="Y25" s="83"/>
      <c r="Z25" s="468">
        <f>SUM(Z21+Z24)</f>
        <v>28503.619500000004</v>
      </c>
      <c r="AA25" s="468">
        <f>SUM(AA21+AA24)</f>
        <v>139164.73050000001</v>
      </c>
      <c r="AB25" s="83"/>
      <c r="AC25" s="468">
        <f>SUM(AC21+AC24)</f>
        <v>28003.556</v>
      </c>
      <c r="AD25" s="468">
        <f>SUM(AD21+AD24)</f>
        <v>136723.24399999998</v>
      </c>
    </row>
    <row r="26" spans="1:30" x14ac:dyDescent="0.2">
      <c r="A26" s="83"/>
      <c r="B26" s="83"/>
      <c r="C26" s="83"/>
      <c r="D26" s="83"/>
      <c r="E26" s="83"/>
      <c r="F26" s="83"/>
      <c r="G26" s="83"/>
      <c r="H26" s="83"/>
      <c r="I26" s="83"/>
      <c r="J26" s="83"/>
      <c r="K26" s="83"/>
      <c r="L26" s="83"/>
      <c r="M26" s="83"/>
      <c r="N26" s="83"/>
      <c r="O26" s="83"/>
      <c r="P26" s="83"/>
      <c r="Q26" s="83"/>
      <c r="R26" s="83"/>
      <c r="S26" s="83"/>
      <c r="T26" s="83"/>
      <c r="U26" s="83"/>
      <c r="V26" s="83"/>
      <c r="W26" s="83"/>
      <c r="X26" s="83"/>
      <c r="Y26" s="83"/>
      <c r="Z26" s="83"/>
      <c r="AA26" s="83"/>
      <c r="AB26" s="83"/>
      <c r="AC26" s="83"/>
      <c r="AD26" s="83"/>
    </row>
    <row r="27" spans="1:30" x14ac:dyDescent="0.2">
      <c r="A27" s="83"/>
      <c r="B27" s="83"/>
      <c r="C27" s="83"/>
      <c r="D27" s="83"/>
      <c r="E27" s="83"/>
      <c r="F27" s="83"/>
      <c r="G27" s="83"/>
      <c r="H27" s="83"/>
      <c r="I27" s="83"/>
      <c r="J27" s="83"/>
      <c r="K27" s="83"/>
      <c r="L27" s="83"/>
      <c r="M27" s="83"/>
      <c r="N27" s="83"/>
      <c r="O27" s="83"/>
      <c r="P27" s="83"/>
      <c r="Q27" s="83"/>
      <c r="R27" s="83"/>
      <c r="S27" s="83"/>
      <c r="T27" s="83"/>
      <c r="U27" s="83"/>
      <c r="V27" s="83"/>
      <c r="W27" s="83"/>
      <c r="X27" s="83"/>
      <c r="Y27" s="83"/>
      <c r="Z27" s="83"/>
      <c r="AA27" s="83"/>
      <c r="AB27" s="83"/>
      <c r="AC27" s="83"/>
      <c r="AD27" s="83"/>
    </row>
    <row r="28" spans="1:30" x14ac:dyDescent="0.2">
      <c r="A28" s="83" t="s">
        <v>659</v>
      </c>
      <c r="B28" s="464">
        <v>0.04</v>
      </c>
      <c r="C28" s="480"/>
      <c r="D28" s="456"/>
      <c r="E28" s="468">
        <f>E25*$B$28</f>
        <v>0</v>
      </c>
      <c r="F28" s="468">
        <f>F25*$B$28</f>
        <v>0</v>
      </c>
      <c r="G28" s="456"/>
      <c r="H28" s="468">
        <f>H25*$B$28</f>
        <v>0</v>
      </c>
      <c r="I28" s="468">
        <f>I25*$B$28</f>
        <v>0</v>
      </c>
      <c r="J28" s="456"/>
      <c r="K28" s="468">
        <f>K25*$B$28</f>
        <v>0</v>
      </c>
      <c r="L28" s="468">
        <f>L25*$B$28</f>
        <v>0</v>
      </c>
      <c r="M28" s="456"/>
      <c r="N28" s="468">
        <f>N25*$B$28</f>
        <v>0</v>
      </c>
      <c r="O28" s="468">
        <f>O25*$B$28</f>
        <v>0</v>
      </c>
      <c r="P28" s="456"/>
      <c r="Q28" s="468">
        <f>Q25*$B$28</f>
        <v>595.0755650000001</v>
      </c>
      <c r="R28" s="468">
        <f>R25*$B$28</f>
        <v>2905.368935</v>
      </c>
      <c r="S28" s="456"/>
      <c r="T28" s="468">
        <f>T25*$B$28</f>
        <v>1180.1498600000002</v>
      </c>
      <c r="U28" s="468">
        <f>U25*$B$28</f>
        <v>5761.9081400000005</v>
      </c>
      <c r="V28" s="456"/>
      <c r="W28" s="468">
        <f>W25*$B$28</f>
        <v>1160.14732</v>
      </c>
      <c r="X28" s="468">
        <f>X25*$B$28</f>
        <v>5664.2486799999988</v>
      </c>
      <c r="Y28" s="456"/>
      <c r="Z28" s="468">
        <f>Z25*$B$28</f>
        <v>1140.1447800000003</v>
      </c>
      <c r="AA28" s="468">
        <f>AA25*$B$28</f>
        <v>5566.5892200000008</v>
      </c>
      <c r="AB28" s="456"/>
      <c r="AC28" s="468">
        <f>AC25*$B$28</f>
        <v>1120.1422400000001</v>
      </c>
      <c r="AD28" s="468">
        <f>AD25*$B$28</f>
        <v>5468.9297599999991</v>
      </c>
    </row>
    <row r="29" spans="1:30" x14ac:dyDescent="0.2">
      <c r="A29" s="83" t="s">
        <v>660</v>
      </c>
      <c r="B29" s="464">
        <v>0.56000000000000005</v>
      </c>
      <c r="C29" s="480"/>
      <c r="D29" s="469"/>
      <c r="E29" s="468">
        <f>E25*$B$29</f>
        <v>0</v>
      </c>
      <c r="F29" s="468">
        <f>F25*$B$29</f>
        <v>0</v>
      </c>
      <c r="G29" s="469"/>
      <c r="H29" s="468">
        <f>H25*$B$29</f>
        <v>0</v>
      </c>
      <c r="I29" s="468">
        <f>I25*$B$29</f>
        <v>0</v>
      </c>
      <c r="J29" s="469"/>
      <c r="K29" s="468">
        <f>K25*$B$29</f>
        <v>0</v>
      </c>
      <c r="L29" s="468">
        <f>L25*$B$29</f>
        <v>0</v>
      </c>
      <c r="M29" s="469"/>
      <c r="N29" s="468">
        <f>N25*$B$29</f>
        <v>0</v>
      </c>
      <c r="O29" s="468">
        <f>O25*$B$29</f>
        <v>0</v>
      </c>
      <c r="P29" s="469"/>
      <c r="Q29" s="468">
        <f>Q25*$B$29</f>
        <v>8331.0579100000014</v>
      </c>
      <c r="R29" s="468">
        <f>R25*$B$29</f>
        <v>40675.165090000002</v>
      </c>
      <c r="S29" s="469"/>
      <c r="T29" s="468">
        <f>T25*$B$29</f>
        <v>16522.098040000004</v>
      </c>
      <c r="U29" s="468">
        <f>U25*$B$29</f>
        <v>80666.713960000008</v>
      </c>
      <c r="V29" s="469"/>
      <c r="W29" s="468">
        <f>W25*$B$29</f>
        <v>16242.062480000002</v>
      </c>
      <c r="X29" s="468">
        <f>X25*$B$29</f>
        <v>79299.481519999987</v>
      </c>
      <c r="Y29" s="469"/>
      <c r="Z29" s="468">
        <f>Z25*$B$29</f>
        <v>15962.026920000004</v>
      </c>
      <c r="AA29" s="468">
        <f>AA25*$B$29</f>
        <v>77932.249080000009</v>
      </c>
      <c r="AB29" s="469"/>
      <c r="AC29" s="468">
        <f>AC25*$B$29</f>
        <v>15681.991360000002</v>
      </c>
      <c r="AD29" s="468">
        <f>AD25*$B$29</f>
        <v>76565.016640000002</v>
      </c>
    </row>
    <row r="30" spans="1:30" x14ac:dyDescent="0.2">
      <c r="A30" s="83" t="s">
        <v>661</v>
      </c>
      <c r="B30" s="464">
        <v>0.4</v>
      </c>
      <c r="C30" s="480"/>
      <c r="D30" s="470"/>
      <c r="E30" s="468">
        <f>E25*$B$30</f>
        <v>0</v>
      </c>
      <c r="F30" s="468">
        <f>F25*$B$30</f>
        <v>0</v>
      </c>
      <c r="G30" s="470"/>
      <c r="H30" s="468">
        <f>H25*$B$30</f>
        <v>0</v>
      </c>
      <c r="I30" s="468">
        <f>I25*$B$30</f>
        <v>0</v>
      </c>
      <c r="J30" s="470"/>
      <c r="K30" s="468">
        <f>K25*$B$30</f>
        <v>0</v>
      </c>
      <c r="L30" s="468">
        <f>L25*$B$30</f>
        <v>0</v>
      </c>
      <c r="M30" s="470"/>
      <c r="N30" s="468">
        <f>N25*$B$30</f>
        <v>0</v>
      </c>
      <c r="O30" s="468">
        <f>O25*$B$30</f>
        <v>0</v>
      </c>
      <c r="P30" s="470"/>
      <c r="Q30" s="468">
        <f>Q25*$B$30</f>
        <v>5950.755650000001</v>
      </c>
      <c r="R30" s="468">
        <f>R25*$B$30</f>
        <v>29053.689350000001</v>
      </c>
      <c r="S30" s="470"/>
      <c r="T30" s="468">
        <f>T25*$B$30</f>
        <v>11801.498600000003</v>
      </c>
      <c r="U30" s="468">
        <f>U25*$B$30</f>
        <v>57619.081400000003</v>
      </c>
      <c r="V30" s="470"/>
      <c r="W30" s="468">
        <f>W25*$B$30</f>
        <v>11601.4732</v>
      </c>
      <c r="X30" s="468">
        <f>X25*$B$30</f>
        <v>56642.486799999991</v>
      </c>
      <c r="Y30" s="470"/>
      <c r="Z30" s="468">
        <f>Z25*$B$30</f>
        <v>11401.447800000002</v>
      </c>
      <c r="AA30" s="468">
        <f>AA25*$B$30</f>
        <v>55665.892200000002</v>
      </c>
      <c r="AB30" s="470"/>
      <c r="AC30" s="468">
        <f>AC25*$B$30</f>
        <v>11201.422400000001</v>
      </c>
      <c r="AD30" s="468">
        <f>AD25*$B$30</f>
        <v>54689.297599999991</v>
      </c>
    </row>
    <row r="31" spans="1:30" x14ac:dyDescent="0.2">
      <c r="A31" s="83"/>
      <c r="B31" s="83"/>
      <c r="C31" s="526"/>
      <c r="D31" s="83"/>
      <c r="E31" s="471"/>
      <c r="F31" s="83"/>
      <c r="G31" s="83"/>
      <c r="H31" s="471"/>
      <c r="I31" s="83"/>
      <c r="J31" s="83"/>
      <c r="K31" s="471"/>
      <c r="L31" s="83"/>
      <c r="M31" s="83"/>
      <c r="N31" s="471"/>
      <c r="O31" s="83"/>
      <c r="P31" s="83"/>
      <c r="Q31" s="427"/>
      <c r="R31" s="83"/>
      <c r="S31" s="83"/>
      <c r="T31" s="427"/>
      <c r="U31" s="83"/>
      <c r="V31" s="83"/>
      <c r="W31" s="427"/>
      <c r="X31" s="83"/>
      <c r="Y31" s="83"/>
      <c r="Z31" s="427"/>
      <c r="AA31" s="83"/>
      <c r="AB31" s="83"/>
      <c r="AC31" s="427"/>
      <c r="AD31" s="83"/>
    </row>
    <row r="32" spans="1:30" x14ac:dyDescent="0.2">
      <c r="A32" s="83" t="s">
        <v>662</v>
      </c>
      <c r="B32" s="527">
        <v>1.6500000000000001E-2</v>
      </c>
      <c r="C32" s="480"/>
      <c r="D32" s="472"/>
      <c r="E32" s="468">
        <f>E28*$B$32</f>
        <v>0</v>
      </c>
      <c r="F32" s="468">
        <f>F28*$B$32</f>
        <v>0</v>
      </c>
      <c r="G32" s="472"/>
      <c r="H32" s="468">
        <f>H28*$B$32</f>
        <v>0</v>
      </c>
      <c r="I32" s="468">
        <f>I28*$B$32</f>
        <v>0</v>
      </c>
      <c r="J32" s="472"/>
      <c r="K32" s="468">
        <f>K28*$B$32</f>
        <v>0</v>
      </c>
      <c r="L32" s="468">
        <f>L28*$B$32</f>
        <v>0</v>
      </c>
      <c r="M32" s="472"/>
      <c r="N32" s="468">
        <f>N28*$B$32</f>
        <v>0</v>
      </c>
      <c r="O32" s="468">
        <f>O28*$B$32</f>
        <v>0</v>
      </c>
      <c r="P32" s="472"/>
      <c r="Q32" s="468">
        <f>Q28*$B$32</f>
        <v>9.8187468225000014</v>
      </c>
      <c r="R32" s="468">
        <f>R28*$B$32</f>
        <v>47.938587427500003</v>
      </c>
      <c r="S32" s="472"/>
      <c r="T32" s="468">
        <f>T28*$B$32</f>
        <v>19.472472690000004</v>
      </c>
      <c r="U32" s="468">
        <f>U28*$B$32</f>
        <v>95.071484310000017</v>
      </c>
      <c r="V32" s="472"/>
      <c r="W32" s="468">
        <f>W28*$B$32</f>
        <v>19.142430780000002</v>
      </c>
      <c r="X32" s="468">
        <f>X28*$B$32</f>
        <v>93.460103219999979</v>
      </c>
      <c r="Y32" s="472"/>
      <c r="Z32" s="468">
        <f>Z28*$B$32</f>
        <v>18.812388870000007</v>
      </c>
      <c r="AA32" s="468">
        <f>AA28*$B$32</f>
        <v>91.848722130000013</v>
      </c>
      <c r="AB32" s="472"/>
      <c r="AC32" s="468">
        <f>AC28*$B$32</f>
        <v>18.482346960000005</v>
      </c>
      <c r="AD32" s="468">
        <f>AD28*$B$32</f>
        <v>90.23734103999999</v>
      </c>
    </row>
    <row r="33" spans="1:30" x14ac:dyDescent="0.2">
      <c r="A33" s="83" t="s">
        <v>663</v>
      </c>
      <c r="B33" s="527">
        <v>2.9499999999999998E-2</v>
      </c>
      <c r="C33" s="480"/>
      <c r="D33" s="472"/>
      <c r="E33" s="468">
        <f>E29*$B$33</f>
        <v>0</v>
      </c>
      <c r="F33" s="468">
        <f>F29*$B$33</f>
        <v>0</v>
      </c>
      <c r="G33" s="472"/>
      <c r="H33" s="468">
        <f>H29*$B$33</f>
        <v>0</v>
      </c>
      <c r="I33" s="468">
        <f>I29*$B$33</f>
        <v>0</v>
      </c>
      <c r="J33" s="472"/>
      <c r="K33" s="468">
        <f>K29*$B$33</f>
        <v>0</v>
      </c>
      <c r="L33" s="468">
        <f>L29*$B$33</f>
        <v>0</v>
      </c>
      <c r="M33" s="472"/>
      <c r="N33" s="468">
        <f>N29*$B$33</f>
        <v>0</v>
      </c>
      <c r="O33" s="468">
        <f>O29*$B$33</f>
        <v>0</v>
      </c>
      <c r="P33" s="472"/>
      <c r="Q33" s="468">
        <f>Q29*$B$33</f>
        <v>245.76620834500002</v>
      </c>
      <c r="R33" s="468">
        <f>R29*$B$33</f>
        <v>1199.9173701550001</v>
      </c>
      <c r="S33" s="472"/>
      <c r="T33" s="468">
        <f>T29*$B$33</f>
        <v>487.40189218000012</v>
      </c>
      <c r="U33" s="468">
        <f>U29*$B$33</f>
        <v>2379.6680618200003</v>
      </c>
      <c r="V33" s="472"/>
      <c r="W33" s="468">
        <f>W29*$B$33</f>
        <v>479.14084316000003</v>
      </c>
      <c r="X33" s="468">
        <f>X29*$B$33</f>
        <v>2339.3347048399996</v>
      </c>
      <c r="Y33" s="472"/>
      <c r="Z33" s="468">
        <f>Z29*$B$33</f>
        <v>470.87979414000012</v>
      </c>
      <c r="AA33" s="468">
        <f>AA29*$B$33</f>
        <v>2299.0013478600004</v>
      </c>
      <c r="AB33" s="472"/>
      <c r="AC33" s="468">
        <f>AC29*$B$33</f>
        <v>462.61874512000003</v>
      </c>
      <c r="AD33" s="468">
        <f>AD29*$B$33</f>
        <v>2258.6679908799997</v>
      </c>
    </row>
    <row r="34" spans="1:30" x14ac:dyDescent="0.2">
      <c r="A34" s="83" t="s">
        <v>664</v>
      </c>
      <c r="B34" s="527">
        <v>9.1899999999999996E-2</v>
      </c>
      <c r="C34" s="480"/>
      <c r="D34" s="472"/>
      <c r="E34" s="468">
        <f>E30*$B$34</f>
        <v>0</v>
      </c>
      <c r="F34" s="466">
        <f>F30*$B$34</f>
        <v>0</v>
      </c>
      <c r="G34" s="472"/>
      <c r="H34" s="468">
        <f>H30*$B$34</f>
        <v>0</v>
      </c>
      <c r="I34" s="466">
        <f>I30*$B$34</f>
        <v>0</v>
      </c>
      <c r="J34" s="472"/>
      <c r="K34" s="468">
        <f>K30*$B$34</f>
        <v>0</v>
      </c>
      <c r="L34" s="466">
        <f>L30*$B$34</f>
        <v>0</v>
      </c>
      <c r="M34" s="472"/>
      <c r="N34" s="468">
        <f>N30*$B$34</f>
        <v>0</v>
      </c>
      <c r="O34" s="466">
        <f>O30*$B$34</f>
        <v>0</v>
      </c>
      <c r="P34" s="472"/>
      <c r="Q34" s="468">
        <f>Q30*$B$34</f>
        <v>546.87444423500006</v>
      </c>
      <c r="R34" s="466">
        <f>R30*$B$34</f>
        <v>2670.034051265</v>
      </c>
      <c r="S34" s="472"/>
      <c r="T34" s="468">
        <f>T30*$B$34</f>
        <v>1084.5577213400002</v>
      </c>
      <c r="U34" s="466">
        <f>U30*$B$34</f>
        <v>5295.1935806600004</v>
      </c>
      <c r="V34" s="472"/>
      <c r="W34" s="468">
        <f>W30*$B$34</f>
        <v>1066.1753870800001</v>
      </c>
      <c r="X34" s="466">
        <f>X30*$B$34</f>
        <v>5205.4445369199993</v>
      </c>
      <c r="Y34" s="472"/>
      <c r="Z34" s="468">
        <f>Z30*$B$34</f>
        <v>1047.7930528200002</v>
      </c>
      <c r="AA34" s="466">
        <f>AA30*$B$34</f>
        <v>5115.6954931800001</v>
      </c>
      <c r="AB34" s="472"/>
      <c r="AC34" s="468">
        <f>AC30*$B$34</f>
        <v>1029.4107185600001</v>
      </c>
      <c r="AD34" s="466">
        <f>AD30*$B$34</f>
        <v>5025.946449439999</v>
      </c>
    </row>
    <row r="35" spans="1:30" x14ac:dyDescent="0.2">
      <c r="A35" s="473" t="s">
        <v>665</v>
      </c>
      <c r="B35" s="83"/>
      <c r="C35" s="480"/>
      <c r="D35" s="83"/>
      <c r="E35" s="474">
        <f>SUM(E32:E34)</f>
        <v>0</v>
      </c>
      <c r="F35" s="474">
        <f>SUM(F32:F34)</f>
        <v>0</v>
      </c>
      <c r="G35" s="83"/>
      <c r="H35" s="474">
        <f>SUM(H32:H34)</f>
        <v>0</v>
      </c>
      <c r="I35" s="474">
        <f>SUM(I32:I34)</f>
        <v>0</v>
      </c>
      <c r="J35" s="83"/>
      <c r="K35" s="474">
        <f>SUM(K32:K34)</f>
        <v>0</v>
      </c>
      <c r="L35" s="474">
        <f>SUM(L32:L34)</f>
        <v>0</v>
      </c>
      <c r="M35" s="83"/>
      <c r="N35" s="474">
        <f>SUM(N32:N34)</f>
        <v>0</v>
      </c>
      <c r="O35" s="474">
        <f>SUM(O32:O34)</f>
        <v>0</v>
      </c>
      <c r="P35" s="83"/>
      <c r="Q35" s="474">
        <f>SUM(Q32:Q34)</f>
        <v>802.45939940250014</v>
      </c>
      <c r="R35" s="474">
        <f>SUM(R32:R34)</f>
        <v>3917.8900088475002</v>
      </c>
      <c r="S35" s="83"/>
      <c r="T35" s="474">
        <f>SUM(T32:T34)</f>
        <v>1591.4320862100003</v>
      </c>
      <c r="U35" s="474">
        <f>SUM(U32:U34)</f>
        <v>7769.9331267900006</v>
      </c>
      <c r="V35" s="83"/>
      <c r="W35" s="474">
        <f>SUM(W32:W34)</f>
        <v>1564.4586610200001</v>
      </c>
      <c r="X35" s="474">
        <f>SUM(X32:X34)</f>
        <v>7638.2393449799984</v>
      </c>
      <c r="Y35" s="83"/>
      <c r="Z35" s="474">
        <f>SUM(Z32:Z34)</f>
        <v>1537.4852358300004</v>
      </c>
      <c r="AA35" s="474">
        <f>SUM(AA32:AA34)</f>
        <v>7506.5455631700006</v>
      </c>
      <c r="AB35" s="83"/>
      <c r="AC35" s="474">
        <f>SUM(AC32:AC34)</f>
        <v>1510.51181064</v>
      </c>
      <c r="AD35" s="474">
        <f>SUM(AD32:AD34)</f>
        <v>7374.8517813599992</v>
      </c>
    </row>
    <row r="36" spans="1:30" x14ac:dyDescent="0.2">
      <c r="A36" s="83"/>
      <c r="B36" s="83"/>
      <c r="C36" s="451"/>
      <c r="D36" s="83"/>
      <c r="E36" s="83"/>
      <c r="F36" s="83"/>
      <c r="G36" s="83"/>
      <c r="H36" s="83"/>
      <c r="I36" s="83"/>
      <c r="J36" s="83"/>
      <c r="K36" s="83"/>
      <c r="L36" s="83"/>
      <c r="M36" s="83"/>
      <c r="N36" s="83"/>
      <c r="O36" s="83"/>
      <c r="P36" s="83"/>
      <c r="Q36" s="83"/>
      <c r="R36" s="83"/>
      <c r="S36" s="83"/>
      <c r="T36" s="83"/>
      <c r="U36" s="83"/>
      <c r="V36" s="83"/>
      <c r="W36" s="83"/>
      <c r="X36" s="83"/>
      <c r="Y36" s="83"/>
      <c r="Z36" s="83"/>
      <c r="AA36" s="83"/>
      <c r="AB36" s="83"/>
      <c r="AC36" s="83"/>
      <c r="AD36" s="83"/>
    </row>
    <row r="37" spans="1:30" x14ac:dyDescent="0.2">
      <c r="A37" s="83" t="s">
        <v>119</v>
      </c>
      <c r="B37" s="83"/>
      <c r="C37" s="528"/>
      <c r="D37" s="83"/>
      <c r="E37" s="475">
        <f>E22+E23</f>
        <v>0</v>
      </c>
      <c r="F37" s="468">
        <f>F23</f>
        <v>0</v>
      </c>
      <c r="G37" s="83"/>
      <c r="H37" s="475">
        <f>H22+H23</f>
        <v>0</v>
      </c>
      <c r="I37" s="468">
        <f>I23</f>
        <v>0</v>
      </c>
      <c r="J37" s="83"/>
      <c r="K37" s="475">
        <f>K22+K23</f>
        <v>0</v>
      </c>
      <c r="L37" s="468">
        <f>L23</f>
        <v>0</v>
      </c>
      <c r="M37" s="83"/>
      <c r="N37" s="475">
        <f>N22+N23</f>
        <v>0</v>
      </c>
      <c r="O37" s="468">
        <f>O23</f>
        <v>0</v>
      </c>
      <c r="P37" s="83"/>
      <c r="Q37" s="475">
        <f>Q22+Q23</f>
        <v>0</v>
      </c>
      <c r="R37" s="468">
        <f>R23</f>
        <v>0</v>
      </c>
      <c r="S37" s="83"/>
      <c r="T37" s="475">
        <f>T22+T23</f>
        <v>0</v>
      </c>
      <c r="U37" s="468">
        <f>U23</f>
        <v>0</v>
      </c>
      <c r="V37" s="102"/>
      <c r="W37" s="475">
        <f>W22+W23</f>
        <v>0</v>
      </c>
      <c r="X37" s="468">
        <f>X23</f>
        <v>0</v>
      </c>
      <c r="Y37" s="83"/>
      <c r="Z37" s="475">
        <f>Z22+Z23</f>
        <v>0</v>
      </c>
      <c r="AA37" s="475">
        <f>AA23</f>
        <v>0</v>
      </c>
      <c r="AB37" s="83"/>
      <c r="AC37" s="475">
        <f>AC22+AC23</f>
        <v>0</v>
      </c>
      <c r="AD37" s="475">
        <f>AD23</f>
        <v>0</v>
      </c>
    </row>
    <row r="38" spans="1:30" x14ac:dyDescent="0.2">
      <c r="A38" s="83" t="s">
        <v>666</v>
      </c>
      <c r="B38" s="476"/>
      <c r="C38" s="480"/>
      <c r="D38" s="427">
        <f>D78</f>
        <v>0</v>
      </c>
      <c r="E38" s="468">
        <f>D38*E$20</f>
        <v>0</v>
      </c>
      <c r="F38" s="468">
        <f>D38*F$20</f>
        <v>0</v>
      </c>
      <c r="G38" s="427">
        <f>E78</f>
        <v>0</v>
      </c>
      <c r="H38" s="468">
        <f>G38*H$20</f>
        <v>0</v>
      </c>
      <c r="I38" s="468">
        <f>G38*I$20</f>
        <v>0</v>
      </c>
      <c r="J38" s="427">
        <f>F78</f>
        <v>0</v>
      </c>
      <c r="K38" s="468">
        <f>J38*K$20</f>
        <v>0</v>
      </c>
      <c r="L38" s="468">
        <f>J38*L$20</f>
        <v>0</v>
      </c>
      <c r="M38" s="427">
        <f>G78</f>
        <v>0</v>
      </c>
      <c r="N38" s="468">
        <f>M38*N$20</f>
        <v>0</v>
      </c>
      <c r="O38" s="468">
        <f>M38*O$20</f>
        <v>0</v>
      </c>
      <c r="P38" s="477">
        <f>H76+H77</f>
        <v>1470.7750000000001</v>
      </c>
      <c r="Q38" s="468">
        <f>P38*Q$20</f>
        <v>250.03175000000005</v>
      </c>
      <c r="R38" s="468">
        <f>P38*R$20</f>
        <v>1220.74325</v>
      </c>
      <c r="S38" s="477">
        <f>I76+I77</f>
        <v>2941.55</v>
      </c>
      <c r="T38" s="468">
        <f>S38*T$20</f>
        <v>500.06350000000009</v>
      </c>
      <c r="U38" s="468">
        <f>S38*U$20</f>
        <v>2441.4865</v>
      </c>
      <c r="V38" s="477">
        <f>J76+J77</f>
        <v>2941.55</v>
      </c>
      <c r="W38" s="468">
        <f>V38*W$20</f>
        <v>500.06350000000009</v>
      </c>
      <c r="X38" s="468">
        <f>V38*X$20</f>
        <v>2441.4865</v>
      </c>
      <c r="Y38" s="477">
        <f>K76+K77</f>
        <v>2941.55</v>
      </c>
      <c r="Z38" s="468">
        <f>Y38*Z$20</f>
        <v>500.06350000000009</v>
      </c>
      <c r="AA38" s="468">
        <f>Y38*AA$20</f>
        <v>2441.4865</v>
      </c>
      <c r="AB38" s="477">
        <f>L76+L77</f>
        <v>2941.55</v>
      </c>
      <c r="AC38" s="468">
        <f>AB38*AC$20</f>
        <v>500.06350000000009</v>
      </c>
      <c r="AD38" s="468">
        <f>AB38*AD$20</f>
        <v>2441.4865</v>
      </c>
    </row>
    <row r="39" spans="1:30" x14ac:dyDescent="0.2">
      <c r="A39" s="83" t="s">
        <v>667</v>
      </c>
      <c r="B39" s="476"/>
      <c r="C39" s="529"/>
      <c r="D39" s="83"/>
      <c r="E39" s="427">
        <f>E66</f>
        <v>0</v>
      </c>
      <c r="F39" s="427">
        <f>F66</f>
        <v>0</v>
      </c>
      <c r="G39" s="83"/>
      <c r="H39" s="427">
        <f>H66</f>
        <v>0</v>
      </c>
      <c r="I39" s="427">
        <f>I66</f>
        <v>0</v>
      </c>
      <c r="J39" s="83"/>
      <c r="K39" s="427">
        <f>K66</f>
        <v>0</v>
      </c>
      <c r="L39" s="427">
        <f>L66</f>
        <v>0</v>
      </c>
      <c r="M39" s="83"/>
      <c r="N39" s="427">
        <f>N66</f>
        <v>0</v>
      </c>
      <c r="O39" s="427">
        <f>O66</f>
        <v>0</v>
      </c>
      <c r="P39" s="476"/>
      <c r="Q39" s="427">
        <f>Q66</f>
        <v>0</v>
      </c>
      <c r="R39" s="427">
        <f>R66</f>
        <v>0</v>
      </c>
      <c r="S39" s="476"/>
      <c r="T39" s="427">
        <f>T66</f>
        <v>0</v>
      </c>
      <c r="U39" s="427">
        <f>U66</f>
        <v>0</v>
      </c>
      <c r="V39" s="476"/>
      <c r="W39" s="427">
        <f>W66</f>
        <v>0</v>
      </c>
      <c r="X39" s="427">
        <f>X66</f>
        <v>0</v>
      </c>
      <c r="Y39" s="476"/>
      <c r="Z39" s="427">
        <f>Z66</f>
        <v>0</v>
      </c>
      <c r="AA39" s="427">
        <f>AA66</f>
        <v>0</v>
      </c>
      <c r="AB39" s="476"/>
      <c r="AC39" s="427">
        <f>AC66</f>
        <v>0</v>
      </c>
      <c r="AD39" s="427">
        <f>AD66</f>
        <v>0</v>
      </c>
    </row>
    <row r="40" spans="1:30" x14ac:dyDescent="0.2">
      <c r="A40" s="83"/>
      <c r="B40" s="83"/>
      <c r="C40" s="451"/>
      <c r="D40" s="83"/>
      <c r="E40" s="83"/>
      <c r="F40" s="83"/>
      <c r="G40" s="83"/>
      <c r="H40" s="83"/>
      <c r="I40" s="83"/>
      <c r="J40" s="83"/>
      <c r="K40" s="83"/>
      <c r="L40" s="83"/>
      <c r="M40" s="83"/>
      <c r="N40" s="83"/>
      <c r="O40" s="83"/>
      <c r="P40" s="83"/>
      <c r="Q40" s="83"/>
      <c r="R40" s="83"/>
      <c r="S40" s="83"/>
      <c r="T40" s="83"/>
      <c r="U40" s="83"/>
      <c r="V40" s="83"/>
      <c r="W40" s="83"/>
      <c r="X40" s="83"/>
      <c r="Y40" s="83"/>
      <c r="Z40" s="83"/>
      <c r="AA40" s="83"/>
      <c r="AB40" s="83"/>
      <c r="AC40" s="83"/>
      <c r="AD40" s="83"/>
    </row>
    <row r="41" spans="1:30" ht="13.5" thickBot="1" x14ac:dyDescent="0.25">
      <c r="A41" s="60" t="s">
        <v>668</v>
      </c>
      <c r="B41" s="83"/>
      <c r="C41" s="480"/>
      <c r="D41" s="83"/>
      <c r="E41" s="478">
        <f>SUM(E35:E39)</f>
        <v>0</v>
      </c>
      <c r="F41" s="478">
        <f>SUM(F35:F39)</f>
        <v>0</v>
      </c>
      <c r="G41" s="83"/>
      <c r="H41" s="478">
        <f>SUM(H35:H39)</f>
        <v>0</v>
      </c>
      <c r="I41" s="478">
        <f>SUM(I35:I39)</f>
        <v>0</v>
      </c>
      <c r="J41" s="83"/>
      <c r="K41" s="478">
        <f>SUM(K35:K39)</f>
        <v>0</v>
      </c>
      <c r="L41" s="478">
        <f>SUM(L35:L39)</f>
        <v>0</v>
      </c>
      <c r="M41" s="83"/>
      <c r="N41" s="478">
        <f>SUM(N35:N39)</f>
        <v>0</v>
      </c>
      <c r="O41" s="478">
        <f>SUM(O35:O39)</f>
        <v>0</v>
      </c>
      <c r="P41" s="83"/>
      <c r="Q41" s="478">
        <f>SUM(Q35:Q39)</f>
        <v>1052.4911494025002</v>
      </c>
      <c r="R41" s="478">
        <f>SUM(R35:R39)</f>
        <v>5138.6332588474997</v>
      </c>
      <c r="S41" s="83"/>
      <c r="T41" s="478">
        <f>SUM(T35:T39)</f>
        <v>2091.4955862100005</v>
      </c>
      <c r="U41" s="478">
        <f>SUM(U35:U39)</f>
        <v>10211.419626790001</v>
      </c>
      <c r="V41" s="83"/>
      <c r="W41" s="478">
        <f>SUM(W35:W39)</f>
        <v>2064.5221610200001</v>
      </c>
      <c r="X41" s="478">
        <f>SUM(X35:X39)</f>
        <v>10079.725844979999</v>
      </c>
      <c r="Y41" s="83"/>
      <c r="Z41" s="478">
        <f>SUM(Z35:Z39)</f>
        <v>2037.5487358300006</v>
      </c>
      <c r="AA41" s="478">
        <f>SUM(AA35:AA39)</f>
        <v>9948.0320631700015</v>
      </c>
      <c r="AB41" s="83"/>
      <c r="AC41" s="478">
        <f>SUM(AC35:AC39)</f>
        <v>2010.5753106400002</v>
      </c>
      <c r="AD41" s="478">
        <f>SUM(AD35:AD39)</f>
        <v>9816.3382813600001</v>
      </c>
    </row>
    <row r="42" spans="1:30" x14ac:dyDescent="0.2">
      <c r="A42" s="83"/>
      <c r="B42" s="83"/>
      <c r="C42" s="480"/>
      <c r="D42" s="83"/>
      <c r="E42" s="480"/>
      <c r="F42" s="480"/>
      <c r="G42" s="83"/>
      <c r="H42" s="480"/>
      <c r="I42" s="480"/>
      <c r="J42" s="83"/>
      <c r="K42" s="480"/>
      <c r="L42" s="480"/>
      <c r="M42" s="83"/>
      <c r="N42" s="480"/>
      <c r="O42" s="480"/>
      <c r="P42" s="83"/>
      <c r="Q42" s="480"/>
      <c r="R42" s="480"/>
      <c r="S42" s="83"/>
      <c r="T42" s="480"/>
      <c r="U42" s="480"/>
      <c r="V42" s="83"/>
      <c r="W42" s="480"/>
      <c r="X42" s="480"/>
      <c r="Y42" s="83"/>
      <c r="Z42" s="480"/>
      <c r="AA42" s="480"/>
      <c r="AB42" s="83"/>
      <c r="AC42" s="480"/>
      <c r="AD42" s="480"/>
    </row>
    <row r="43" spans="1:30" x14ac:dyDescent="0.2">
      <c r="A43" s="83"/>
      <c r="B43" s="481"/>
      <c r="C43" s="468"/>
      <c r="D43" s="83"/>
      <c r="E43" s="468"/>
      <c r="F43" s="436"/>
      <c r="G43" s="83"/>
      <c r="H43" s="468"/>
      <c r="I43" s="436"/>
      <c r="J43" s="83"/>
      <c r="K43" s="468"/>
      <c r="L43" s="436"/>
      <c r="M43" s="83"/>
      <c r="N43" s="468"/>
      <c r="O43" s="436"/>
      <c r="P43" s="468"/>
      <c r="Q43" s="83"/>
      <c r="R43" s="468"/>
      <c r="S43" s="468"/>
      <c r="T43" s="83"/>
      <c r="U43" s="468"/>
      <c r="V43" s="468"/>
      <c r="W43" s="83"/>
      <c r="X43" s="468"/>
      <c r="Y43" s="468"/>
      <c r="Z43" s="83"/>
      <c r="AA43" s="468"/>
      <c r="AB43" s="468"/>
      <c r="AC43" s="83"/>
      <c r="AD43" s="468"/>
    </row>
    <row r="44" spans="1:30" x14ac:dyDescent="0.2">
      <c r="A44" s="83" t="s">
        <v>669</v>
      </c>
      <c r="B44" s="481"/>
      <c r="C44" s="468"/>
      <c r="D44" s="83"/>
      <c r="E44" s="468"/>
      <c r="F44" s="482">
        <f>F41</f>
        <v>0</v>
      </c>
      <c r="G44" s="83"/>
      <c r="H44" s="468"/>
      <c r="I44" s="482">
        <f>I41</f>
        <v>0</v>
      </c>
      <c r="J44" s="83"/>
      <c r="K44" s="468"/>
      <c r="L44" s="482">
        <f>L41</f>
        <v>0</v>
      </c>
      <c r="M44" s="83"/>
      <c r="N44" s="468"/>
      <c r="O44" s="482">
        <f>O41</f>
        <v>0</v>
      </c>
      <c r="P44" s="468"/>
      <c r="Q44" s="83"/>
      <c r="R44" s="482">
        <f>R41</f>
        <v>5138.6332588474997</v>
      </c>
      <c r="S44" s="468"/>
      <c r="T44" s="83"/>
      <c r="U44" s="482">
        <f>U41</f>
        <v>10211.419626790001</v>
      </c>
      <c r="V44" s="468"/>
      <c r="W44" s="83"/>
      <c r="X44" s="482">
        <f>X41</f>
        <v>10079.725844979999</v>
      </c>
      <c r="Y44" s="468"/>
      <c r="Z44" s="83"/>
      <c r="AA44" s="482">
        <f>AA41</f>
        <v>9948.0320631700015</v>
      </c>
      <c r="AB44" s="468"/>
      <c r="AC44" s="83"/>
      <c r="AD44" s="482">
        <f>AD41</f>
        <v>9816.3382813600001</v>
      </c>
    </row>
    <row r="45" spans="1:30" x14ac:dyDescent="0.2">
      <c r="A45" s="83"/>
      <c r="B45" s="483"/>
      <c r="C45" s="83"/>
      <c r="D45" s="83"/>
      <c r="E45" s="484"/>
      <c r="F45" s="436"/>
      <c r="G45" s="83"/>
      <c r="H45" s="484"/>
      <c r="I45" s="436"/>
      <c r="J45" s="83"/>
      <c r="K45" s="484"/>
      <c r="L45" s="436"/>
      <c r="M45" s="83"/>
      <c r="N45" s="484"/>
      <c r="O45" s="436"/>
      <c r="P45" s="83"/>
      <c r="Q45" s="485"/>
      <c r="R45" s="436"/>
      <c r="S45" s="83"/>
      <c r="T45" s="485"/>
      <c r="U45" s="436"/>
      <c r="V45" s="83"/>
      <c r="W45" s="485"/>
      <c r="X45" s="436"/>
      <c r="Y45" s="83"/>
      <c r="Z45" s="485"/>
      <c r="AA45" s="436"/>
      <c r="AB45" s="83"/>
      <c r="AC45" s="485"/>
      <c r="AD45" s="436"/>
    </row>
    <row r="46" spans="1:30" x14ac:dyDescent="0.2">
      <c r="A46" s="102" t="s">
        <v>869</v>
      </c>
      <c r="B46" s="83"/>
      <c r="C46" s="427"/>
      <c r="D46" s="427"/>
      <c r="E46" s="427"/>
      <c r="F46" s="482">
        <f>F44/12</f>
        <v>0</v>
      </c>
      <c r="G46" s="427"/>
      <c r="H46" s="427"/>
      <c r="I46" s="482">
        <f>I44/12</f>
        <v>0</v>
      </c>
      <c r="J46" s="427"/>
      <c r="K46" s="427"/>
      <c r="L46" s="482">
        <f>L44/12</f>
        <v>0</v>
      </c>
      <c r="M46" s="427"/>
      <c r="N46" s="427"/>
      <c r="O46" s="482">
        <f>O44/12</f>
        <v>0</v>
      </c>
      <c r="P46" s="427"/>
      <c r="Q46" s="83"/>
      <c r="R46" s="482">
        <f>R44/12</f>
        <v>428.21943823729163</v>
      </c>
      <c r="S46" s="427"/>
      <c r="T46" s="83"/>
      <c r="U46" s="482">
        <f>U44/12</f>
        <v>850.95163556583339</v>
      </c>
      <c r="V46" s="427"/>
      <c r="W46" s="83"/>
      <c r="X46" s="482">
        <f>X44/12</f>
        <v>839.97715374833331</v>
      </c>
      <c r="Y46" s="427"/>
      <c r="Z46" s="83"/>
      <c r="AA46" s="482">
        <f>AA44/12</f>
        <v>829.00267193083346</v>
      </c>
      <c r="AB46" s="427"/>
      <c r="AC46" s="83"/>
      <c r="AD46" s="482">
        <f>AD44/12</f>
        <v>818.02819011333338</v>
      </c>
    </row>
    <row r="47" spans="1:30" x14ac:dyDescent="0.2">
      <c r="A47" s="102"/>
      <c r="B47" s="83"/>
      <c r="C47" s="427"/>
      <c r="D47" s="427"/>
      <c r="E47" s="427"/>
      <c r="F47" s="427"/>
      <c r="G47" s="427"/>
      <c r="H47" s="427"/>
      <c r="I47" s="427"/>
      <c r="J47" s="427"/>
      <c r="K47" s="427"/>
      <c r="L47" s="427"/>
      <c r="M47" s="427"/>
      <c r="N47" s="427"/>
      <c r="O47" s="486"/>
      <c r="P47" s="427"/>
      <c r="Q47" s="83"/>
      <c r="R47" s="427"/>
      <c r="S47" s="427"/>
      <c r="T47" s="83"/>
      <c r="U47" s="83"/>
      <c r="V47" s="427"/>
      <c r="W47" s="83"/>
      <c r="X47" s="427"/>
      <c r="Y47" s="427"/>
      <c r="Z47" s="83"/>
      <c r="AA47" s="83"/>
      <c r="AB47" s="427"/>
      <c r="AC47" s="83"/>
      <c r="AD47" s="83"/>
    </row>
    <row r="48" spans="1:30" x14ac:dyDescent="0.2">
      <c r="A48" s="1748" t="s">
        <v>878</v>
      </c>
      <c r="B48" s="1748"/>
      <c r="C48" s="1748"/>
      <c r="D48" s="1748"/>
      <c r="E48" s="1748"/>
      <c r="F48" s="1748"/>
      <c r="G48" s="1748"/>
      <c r="H48" s="1748"/>
      <c r="I48" s="1748"/>
      <c r="J48" s="1748"/>
      <c r="K48" s="1748"/>
      <c r="L48" s="1748"/>
      <c r="M48" s="1748"/>
      <c r="N48" s="1748"/>
      <c r="O48" s="1748"/>
      <c r="P48" s="1748"/>
      <c r="Q48" s="1748"/>
      <c r="R48" s="1748"/>
      <c r="S48" s="1748"/>
      <c r="T48" s="1748"/>
      <c r="U48" s="1748"/>
    </row>
    <row r="49" spans="1:30" x14ac:dyDescent="0.2">
      <c r="A49" s="487" t="s">
        <v>879</v>
      </c>
      <c r="B49" s="1074"/>
      <c r="C49" s="1074"/>
      <c r="D49" s="1074"/>
      <c r="E49" s="1074"/>
      <c r="F49" s="1074"/>
      <c r="G49" s="1074"/>
      <c r="H49" s="1074"/>
      <c r="I49" s="1074"/>
      <c r="J49" s="1074"/>
      <c r="K49" s="1074"/>
      <c r="L49" s="1074"/>
      <c r="M49" s="1074"/>
      <c r="N49" s="1074"/>
      <c r="O49" s="1074"/>
      <c r="P49" s="1074"/>
      <c r="Q49" s="1074"/>
      <c r="R49" s="1074"/>
      <c r="S49" s="1074"/>
      <c r="T49" s="1074"/>
      <c r="U49" s="1074"/>
    </row>
    <row r="50" spans="1:30" x14ac:dyDescent="0.2">
      <c r="A50" s="1754" t="s">
        <v>1031</v>
      </c>
      <c r="B50" s="1754"/>
      <c r="C50" s="1754"/>
      <c r="D50" s="1754"/>
      <c r="E50" s="1754"/>
      <c r="F50" s="1754"/>
      <c r="G50" s="1754"/>
      <c r="H50" s="1754"/>
      <c r="I50" s="1754"/>
      <c r="J50" s="1754"/>
      <c r="K50" s="1754"/>
      <c r="L50" s="1754"/>
      <c r="M50" s="1754"/>
      <c r="N50" s="1754"/>
      <c r="O50" s="1754"/>
      <c r="P50" s="1754"/>
      <c r="Q50" s="1754"/>
      <c r="R50" s="1754"/>
      <c r="S50" s="1754"/>
      <c r="T50" s="1754"/>
      <c r="U50" s="1754"/>
      <c r="V50" s="1754"/>
    </row>
    <row r="51" spans="1:30" ht="15" x14ac:dyDescent="0.2">
      <c r="A51" s="1755"/>
      <c r="B51" s="1755"/>
      <c r="C51" s="530"/>
      <c r="D51" s="530"/>
      <c r="E51" s="530"/>
      <c r="F51" s="530"/>
      <c r="G51" s="530"/>
      <c r="H51" s="530"/>
      <c r="I51" s="530"/>
      <c r="J51" s="530"/>
      <c r="K51" s="530"/>
      <c r="L51" s="530"/>
      <c r="M51" s="530"/>
      <c r="N51" s="530"/>
      <c r="O51" s="530"/>
      <c r="P51" s="121"/>
    </row>
    <row r="52" spans="1:30" ht="16.5" thickBot="1" x14ac:dyDescent="0.3">
      <c r="A52" s="489" t="s">
        <v>670</v>
      </c>
      <c r="B52" s="1076"/>
      <c r="C52" s="530"/>
      <c r="D52" s="530"/>
      <c r="E52" s="530"/>
      <c r="F52" s="530"/>
      <c r="G52" s="530"/>
      <c r="H52" s="530"/>
      <c r="I52" s="530"/>
      <c r="J52" s="530"/>
      <c r="K52" s="530"/>
      <c r="L52" s="530"/>
      <c r="M52" s="530"/>
      <c r="N52" s="530"/>
      <c r="O52" s="530"/>
      <c r="P52" s="121"/>
    </row>
    <row r="53" spans="1:30" ht="13.5" thickBot="1" x14ac:dyDescent="0.25">
      <c r="A53" s="493"/>
      <c r="B53" s="1075"/>
      <c r="C53" s="488"/>
      <c r="D53" s="488"/>
      <c r="E53" s="1746">
        <f>D18</f>
        <v>2013</v>
      </c>
      <c r="F53" s="1747"/>
      <c r="G53" s="451"/>
      <c r="H53" s="1746">
        <f>G18</f>
        <v>2014</v>
      </c>
      <c r="I53" s="1747"/>
      <c r="J53" s="451"/>
      <c r="K53" s="1746">
        <f>J18</f>
        <v>2015</v>
      </c>
      <c r="L53" s="1747"/>
      <c r="M53" s="451"/>
      <c r="N53" s="1746">
        <f>M18</f>
        <v>2016</v>
      </c>
      <c r="O53" s="1747"/>
      <c r="P53" s="451"/>
      <c r="Q53" s="1746" t="str">
        <f>P18</f>
        <v>2017 Test Year</v>
      </c>
      <c r="R53" s="1747"/>
      <c r="S53" s="451"/>
      <c r="T53" s="1746">
        <f>S18</f>
        <v>2018</v>
      </c>
      <c r="U53" s="1747"/>
      <c r="V53" s="451"/>
      <c r="W53" s="1746">
        <f>V18</f>
        <v>2019</v>
      </c>
      <c r="X53" s="1747"/>
      <c r="Y53" s="451"/>
      <c r="Z53" s="1746">
        <f>Y18</f>
        <v>2020</v>
      </c>
      <c r="AA53" s="1747"/>
      <c r="AB53" s="451"/>
      <c r="AC53" s="1746">
        <f>AB18</f>
        <v>2021</v>
      </c>
      <c r="AD53" s="1747"/>
    </row>
    <row r="54" spans="1:30" x14ac:dyDescent="0.2">
      <c r="A54" s="491" t="s">
        <v>671</v>
      </c>
      <c r="B54" s="1075"/>
      <c r="C54" s="488"/>
      <c r="D54" s="488"/>
      <c r="E54" s="60" t="s">
        <v>654</v>
      </c>
      <c r="F54" s="422" t="s">
        <v>655</v>
      </c>
      <c r="G54" s="83"/>
      <c r="H54" s="60" t="s">
        <v>654</v>
      </c>
      <c r="I54" s="422" t="s">
        <v>655</v>
      </c>
      <c r="J54" s="83"/>
      <c r="K54" s="60" t="s">
        <v>654</v>
      </c>
      <c r="L54" s="422" t="s">
        <v>655</v>
      </c>
      <c r="M54" s="83"/>
      <c r="N54" s="60" t="s">
        <v>654</v>
      </c>
      <c r="O54" s="422" t="s">
        <v>655</v>
      </c>
      <c r="P54" s="83"/>
      <c r="Q54" s="60" t="s">
        <v>654</v>
      </c>
      <c r="R54" s="422" t="s">
        <v>655</v>
      </c>
      <c r="S54" s="83"/>
      <c r="T54" s="60" t="s">
        <v>654</v>
      </c>
      <c r="U54" s="422" t="s">
        <v>655</v>
      </c>
      <c r="V54" s="83"/>
      <c r="W54" s="60" t="s">
        <v>654</v>
      </c>
      <c r="X54" s="422" t="s">
        <v>655</v>
      </c>
      <c r="Y54" s="83"/>
      <c r="Z54" s="60" t="s">
        <v>654</v>
      </c>
      <c r="AA54" s="422" t="s">
        <v>655</v>
      </c>
      <c r="AB54" s="83"/>
      <c r="AC54" s="60" t="s">
        <v>654</v>
      </c>
      <c r="AD54" s="422" t="s">
        <v>655</v>
      </c>
    </row>
    <row r="55" spans="1:30" x14ac:dyDescent="0.2">
      <c r="A55" s="492"/>
      <c r="B55" s="1075"/>
      <c r="C55" s="488"/>
      <c r="D55" s="488"/>
      <c r="E55" s="60"/>
      <c r="F55" s="422"/>
      <c r="G55" s="454"/>
      <c r="H55" s="60"/>
      <c r="I55" s="422"/>
      <c r="J55" s="454"/>
      <c r="K55" s="60"/>
      <c r="L55" s="422"/>
      <c r="M55" s="454"/>
      <c r="N55" s="60"/>
      <c r="O55" s="422"/>
      <c r="P55" s="454"/>
      <c r="Q55" s="60"/>
      <c r="R55" s="422"/>
      <c r="S55" s="454"/>
      <c r="T55" s="60"/>
      <c r="U55" s="422"/>
      <c r="V55" s="454" t="s">
        <v>295</v>
      </c>
      <c r="W55" s="60"/>
      <c r="X55" s="422"/>
      <c r="Y55" s="454" t="s">
        <v>295</v>
      </c>
      <c r="Z55" s="60"/>
      <c r="AA55" s="422"/>
      <c r="AB55" s="454" t="s">
        <v>295</v>
      </c>
      <c r="AC55" s="60"/>
      <c r="AD55" s="422"/>
    </row>
    <row r="56" spans="1:30" x14ac:dyDescent="0.2">
      <c r="A56" s="493" t="s">
        <v>672</v>
      </c>
      <c r="B56" s="1075"/>
      <c r="C56" s="488"/>
      <c r="D56" s="488"/>
      <c r="E56" s="439">
        <f>E34</f>
        <v>0</v>
      </c>
      <c r="F56" s="494">
        <f>F34</f>
        <v>0</v>
      </c>
      <c r="G56" s="439"/>
      <c r="H56" s="439">
        <f>H34</f>
        <v>0</v>
      </c>
      <c r="I56" s="494">
        <f>I34</f>
        <v>0</v>
      </c>
      <c r="J56" s="439"/>
      <c r="K56" s="439">
        <f>K34</f>
        <v>0</v>
      </c>
      <c r="L56" s="494">
        <f>L34</f>
        <v>0</v>
      </c>
      <c r="M56" s="439"/>
      <c r="N56" s="439">
        <f>N34</f>
        <v>0</v>
      </c>
      <c r="O56" s="494">
        <f>O34</f>
        <v>0</v>
      </c>
      <c r="P56" s="439"/>
      <c r="Q56" s="439">
        <f>Q34</f>
        <v>546.87444423500006</v>
      </c>
      <c r="R56" s="494">
        <f>R34</f>
        <v>2670.034051265</v>
      </c>
      <c r="S56" s="439"/>
      <c r="T56" s="439">
        <f>T34</f>
        <v>1084.5577213400002</v>
      </c>
      <c r="U56" s="494">
        <f>U34</f>
        <v>5295.1935806600004</v>
      </c>
      <c r="V56" s="439"/>
      <c r="W56" s="439">
        <f>W34</f>
        <v>1066.1753870800001</v>
      </c>
      <c r="X56" s="494">
        <f>X34</f>
        <v>5205.4445369199993</v>
      </c>
      <c r="Y56" s="439"/>
      <c r="Z56" s="439">
        <f>Z34</f>
        <v>1047.7930528200002</v>
      </c>
      <c r="AA56" s="494">
        <f>AA34</f>
        <v>5115.6954931800001</v>
      </c>
      <c r="AB56" s="439"/>
      <c r="AC56" s="439">
        <f>AC34</f>
        <v>1029.4107185600001</v>
      </c>
      <c r="AD56" s="494">
        <f>AD34</f>
        <v>5025.946449439999</v>
      </c>
    </row>
    <row r="57" spans="1:30" x14ac:dyDescent="0.2">
      <c r="A57" s="493" t="s">
        <v>880</v>
      </c>
      <c r="B57" s="1075"/>
      <c r="C57" s="488"/>
      <c r="D57" s="488"/>
      <c r="E57" s="459">
        <f>E38</f>
        <v>0</v>
      </c>
      <c r="F57" s="459">
        <f>F38</f>
        <v>0</v>
      </c>
      <c r="G57" s="438"/>
      <c r="H57" s="459">
        <f>H38</f>
        <v>0</v>
      </c>
      <c r="I57" s="459">
        <f>I38</f>
        <v>0</v>
      </c>
      <c r="J57" s="438"/>
      <c r="K57" s="459">
        <f>K38</f>
        <v>0</v>
      </c>
      <c r="L57" s="459">
        <f>L38</f>
        <v>0</v>
      </c>
      <c r="M57" s="438"/>
      <c r="N57" s="459">
        <f>N38</f>
        <v>0</v>
      </c>
      <c r="O57" s="459">
        <f>O38</f>
        <v>0</v>
      </c>
      <c r="P57" s="438"/>
      <c r="Q57" s="459">
        <f>Q38</f>
        <v>250.03175000000005</v>
      </c>
      <c r="R57" s="459">
        <f>R38</f>
        <v>1220.74325</v>
      </c>
      <c r="S57" s="438"/>
      <c r="T57" s="459">
        <f>T38</f>
        <v>500.06350000000009</v>
      </c>
      <c r="U57" s="459">
        <f>U38</f>
        <v>2441.4865</v>
      </c>
      <c r="V57" s="438"/>
      <c r="W57" s="459">
        <f>W38</f>
        <v>500.06350000000009</v>
      </c>
      <c r="X57" s="459">
        <f>X38</f>
        <v>2441.4865</v>
      </c>
      <c r="Y57" s="438"/>
      <c r="Z57" s="459">
        <f>Z38</f>
        <v>500.06350000000009</v>
      </c>
      <c r="AA57" s="459">
        <f>AA38</f>
        <v>2441.4865</v>
      </c>
      <c r="AB57" s="438"/>
      <c r="AC57" s="459">
        <f>AC38</f>
        <v>500.06350000000009</v>
      </c>
      <c r="AD57" s="459">
        <f>AD38</f>
        <v>2441.4865</v>
      </c>
    </row>
    <row r="58" spans="1:30" x14ac:dyDescent="0.2">
      <c r="A58" s="493" t="s">
        <v>881</v>
      </c>
      <c r="B58" s="1075"/>
      <c r="C58" s="488"/>
      <c r="D58" s="488"/>
      <c r="E58" s="438">
        <f>-D94*E$20</f>
        <v>0</v>
      </c>
      <c r="F58" s="438">
        <f>-D94*F$20</f>
        <v>0</v>
      </c>
      <c r="G58" s="438"/>
      <c r="H58" s="438">
        <f>-E94*H$20</f>
        <v>0</v>
      </c>
      <c r="I58" s="438">
        <f>-E94*I$20</f>
        <v>0</v>
      </c>
      <c r="J58" s="438"/>
      <c r="K58" s="438">
        <f>-F94*K$20</f>
        <v>0</v>
      </c>
      <c r="L58" s="438">
        <f>-F94*L$20</f>
        <v>0</v>
      </c>
      <c r="M58" s="438"/>
      <c r="N58" s="438">
        <f>-G94*N$20</f>
        <v>0</v>
      </c>
      <c r="O58" s="438">
        <f>-G94*O$20</f>
        <v>0</v>
      </c>
      <c r="P58" s="438"/>
      <c r="Q58" s="438">
        <f>-H94*Q$20</f>
        <v>-1200.1524000000002</v>
      </c>
      <c r="R58" s="438">
        <f>-H94*R$20</f>
        <v>-5859.5676000000003</v>
      </c>
      <c r="S58" s="438"/>
      <c r="T58" s="438">
        <f>-I94*T$20</f>
        <v>-2304.2926080000002</v>
      </c>
      <c r="U58" s="438">
        <f>-I94*U$20</f>
        <v>-11250.369792</v>
      </c>
      <c r="V58" s="438"/>
      <c r="W58" s="438">
        <f>-J94*W$20</f>
        <v>-2119.9491993600004</v>
      </c>
      <c r="X58" s="438">
        <f>-J94*X$20</f>
        <v>-10350.34020864</v>
      </c>
      <c r="Y58" s="438"/>
      <c r="Z58" s="438">
        <f>-K94*Z$20</f>
        <v>-1950.3532634112</v>
      </c>
      <c r="AA58" s="438">
        <f>-K94*AA$20</f>
        <v>-9522.3129919488001</v>
      </c>
      <c r="AB58" s="438"/>
      <c r="AC58" s="438">
        <f>-L94*AC$20</f>
        <v>-1794.3250023383039</v>
      </c>
      <c r="AD58" s="438">
        <f>-L94*AD$20</f>
        <v>-8760.5279525928945</v>
      </c>
    </row>
    <row r="59" spans="1:30" x14ac:dyDescent="0.2">
      <c r="A59" s="492" t="s">
        <v>675</v>
      </c>
      <c r="B59" s="1075"/>
      <c r="C59" s="488"/>
      <c r="D59" s="488"/>
      <c r="E59" s="496">
        <f>SUM(E56:E58)</f>
        <v>0</v>
      </c>
      <c r="F59" s="496">
        <f>SUM(F56:F58)</f>
        <v>0</v>
      </c>
      <c r="G59" s="438"/>
      <c r="H59" s="496">
        <f>SUM(H56:H58)</f>
        <v>0</v>
      </c>
      <c r="I59" s="496">
        <f>SUM(I56:I58)</f>
        <v>0</v>
      </c>
      <c r="J59" s="438"/>
      <c r="K59" s="496">
        <f>SUM(K56:K58)</f>
        <v>0</v>
      </c>
      <c r="L59" s="496">
        <f>SUM(L56:L58)</f>
        <v>0</v>
      </c>
      <c r="M59" s="438"/>
      <c r="N59" s="496">
        <f>SUM(N56:N58)</f>
        <v>0</v>
      </c>
      <c r="O59" s="496">
        <f>SUM(O56:O58)</f>
        <v>0</v>
      </c>
      <c r="P59" s="438"/>
      <c r="Q59" s="496">
        <f>SUM(Q56:Q58)</f>
        <v>-403.24620576500001</v>
      </c>
      <c r="R59" s="496">
        <f>SUM(R56:R58)</f>
        <v>-1968.7902987350003</v>
      </c>
      <c r="S59" s="438"/>
      <c r="T59" s="496">
        <f>SUM(T56:T58)</f>
        <v>-719.67138665999983</v>
      </c>
      <c r="U59" s="496">
        <f>SUM(U56:U58)</f>
        <v>-3513.6897113399991</v>
      </c>
      <c r="V59" s="496"/>
      <c r="W59" s="496">
        <f>SUM(W56:W58)</f>
        <v>-553.71031228000038</v>
      </c>
      <c r="X59" s="496">
        <f>SUM(X56:X58)</f>
        <v>-2703.4091717200008</v>
      </c>
      <c r="Y59" s="496"/>
      <c r="Z59" s="496">
        <f>SUM(Z56:Z58)</f>
        <v>-402.49671059119987</v>
      </c>
      <c r="AA59" s="496">
        <f>SUM(AA56:AA58)</f>
        <v>-1965.1309987688001</v>
      </c>
      <c r="AB59" s="496"/>
      <c r="AC59" s="496">
        <f>SUM(AC56:AC58)</f>
        <v>-264.85078377830359</v>
      </c>
      <c r="AD59" s="496">
        <f>SUM(AD56:AD58)</f>
        <v>-1293.0950031528955</v>
      </c>
    </row>
    <row r="60" spans="1:30" x14ac:dyDescent="0.2">
      <c r="A60" s="102"/>
      <c r="B60" s="1075"/>
      <c r="C60" s="488"/>
      <c r="D60" s="488"/>
      <c r="E60" s="102"/>
      <c r="F60" s="102"/>
      <c r="G60" s="102"/>
      <c r="H60" s="102"/>
      <c r="I60" s="102"/>
      <c r="J60" s="102"/>
      <c r="K60" s="102"/>
      <c r="L60" s="102"/>
      <c r="M60" s="102"/>
      <c r="N60" s="102"/>
      <c r="O60" s="102"/>
      <c r="P60" s="102"/>
      <c r="Q60" s="102"/>
      <c r="R60" s="102"/>
      <c r="S60" s="102"/>
      <c r="T60" s="102"/>
      <c r="U60" s="102"/>
      <c r="V60" s="102"/>
      <c r="W60" s="102"/>
      <c r="X60" s="102"/>
      <c r="Y60" s="102"/>
      <c r="Z60" s="102"/>
      <c r="AA60" s="102"/>
      <c r="AB60" s="102"/>
      <c r="AC60" s="102"/>
      <c r="AD60" s="102"/>
    </row>
    <row r="61" spans="1:30" x14ac:dyDescent="0.2">
      <c r="A61" s="493" t="s">
        <v>676</v>
      </c>
      <c r="B61" s="488"/>
      <c r="C61" s="488"/>
      <c r="D61" s="488"/>
      <c r="E61" s="497"/>
      <c r="F61" s="497"/>
      <c r="G61" s="495"/>
      <c r="H61" s="497"/>
      <c r="I61" s="497"/>
      <c r="J61" s="495"/>
      <c r="K61" s="497"/>
      <c r="L61" s="497"/>
      <c r="M61" s="495"/>
      <c r="N61" s="497"/>
      <c r="O61" s="497"/>
      <c r="P61" s="495"/>
      <c r="Q61" s="497"/>
      <c r="R61" s="497"/>
      <c r="S61" s="495"/>
      <c r="T61" s="497"/>
      <c r="U61" s="497"/>
      <c r="V61" s="495"/>
      <c r="W61" s="497"/>
      <c r="X61" s="497"/>
      <c r="Y61" s="438"/>
      <c r="Z61" s="497"/>
      <c r="AA61" s="497"/>
      <c r="AB61" s="438"/>
      <c r="AC61" s="497"/>
      <c r="AD61" s="497"/>
    </row>
    <row r="62" spans="1:30" x14ac:dyDescent="0.2">
      <c r="A62" s="493"/>
      <c r="B62" s="488"/>
      <c r="C62" s="488"/>
      <c r="D62" s="488"/>
      <c r="E62" s="531"/>
      <c r="F62" s="531"/>
      <c r="G62" s="495"/>
      <c r="H62" s="531"/>
      <c r="I62" s="531"/>
      <c r="J62" s="495"/>
      <c r="K62" s="531"/>
      <c r="L62" s="531"/>
      <c r="M62" s="495"/>
      <c r="N62" s="531"/>
      <c r="O62" s="531"/>
      <c r="P62" s="495"/>
      <c r="Q62" s="531"/>
      <c r="R62" s="531"/>
      <c r="S62" s="495"/>
      <c r="T62" s="531"/>
      <c r="U62" s="531"/>
      <c r="V62" s="495"/>
      <c r="W62" s="531"/>
      <c r="X62" s="531"/>
      <c r="Y62" s="438"/>
      <c r="Z62" s="531"/>
      <c r="AA62" s="531"/>
      <c r="AB62" s="438"/>
      <c r="AC62" s="531"/>
      <c r="AD62" s="531"/>
    </row>
    <row r="63" spans="1:30" x14ac:dyDescent="0.2">
      <c r="A63" s="493" t="s">
        <v>677</v>
      </c>
      <c r="B63" s="1075"/>
      <c r="C63" s="488"/>
      <c r="D63" s="488"/>
      <c r="E63" s="498">
        <f>E59*E61</f>
        <v>0</v>
      </c>
      <c r="F63" s="498">
        <f>F59*F61</f>
        <v>0</v>
      </c>
      <c r="G63" s="438"/>
      <c r="H63" s="498">
        <f>H59*H61</f>
        <v>0</v>
      </c>
      <c r="I63" s="498">
        <f>I59*I61</f>
        <v>0</v>
      </c>
      <c r="J63" s="438"/>
      <c r="K63" s="498">
        <f>K59*K61</f>
        <v>0</v>
      </c>
      <c r="L63" s="498">
        <f>L59*L61</f>
        <v>0</v>
      </c>
      <c r="M63" s="438"/>
      <c r="N63" s="498">
        <f>N59*N61</f>
        <v>0</v>
      </c>
      <c r="O63" s="498">
        <f>O59*O61</f>
        <v>0</v>
      </c>
      <c r="P63" s="438"/>
      <c r="Q63" s="498">
        <f>Q59*Q61</f>
        <v>0</v>
      </c>
      <c r="R63" s="498">
        <f>R59*R61</f>
        <v>0</v>
      </c>
      <c r="S63" s="438"/>
      <c r="T63" s="498">
        <f>T59*T61</f>
        <v>0</v>
      </c>
      <c r="U63" s="498">
        <f>U59*U61</f>
        <v>0</v>
      </c>
      <c r="V63" s="438"/>
      <c r="W63" s="498">
        <f>W59*W61</f>
        <v>0</v>
      </c>
      <c r="X63" s="498">
        <f>X59*X61</f>
        <v>0</v>
      </c>
      <c r="Y63" s="438"/>
      <c r="Z63" s="498">
        <f>Z59*Z61</f>
        <v>0</v>
      </c>
      <c r="AA63" s="498">
        <f>AA59*AA61</f>
        <v>0</v>
      </c>
      <c r="AB63" s="438"/>
      <c r="AC63" s="498">
        <f>AC59*AC61</f>
        <v>0</v>
      </c>
      <c r="AD63" s="498">
        <f>AD59*AD61</f>
        <v>0</v>
      </c>
    </row>
    <row r="64" spans="1:30" x14ac:dyDescent="0.2">
      <c r="A64" s="499" t="s">
        <v>678</v>
      </c>
      <c r="B64" s="1075"/>
      <c r="C64" s="488"/>
      <c r="D64" s="488"/>
      <c r="E64" s="493"/>
      <c r="F64" s="493"/>
      <c r="G64" s="490"/>
      <c r="H64" s="493"/>
      <c r="I64" s="493"/>
      <c r="J64" s="490"/>
      <c r="K64" s="493"/>
      <c r="L64" s="493"/>
      <c r="M64" s="490"/>
      <c r="N64" s="493"/>
      <c r="O64" s="493"/>
      <c r="P64" s="490"/>
      <c r="Q64" s="493"/>
      <c r="R64" s="493"/>
      <c r="S64" s="490"/>
      <c r="T64" s="493"/>
      <c r="U64" s="493"/>
      <c r="V64" s="490"/>
      <c r="W64" s="493"/>
      <c r="X64" s="493"/>
      <c r="Y64" s="490"/>
      <c r="Z64" s="493"/>
      <c r="AA64" s="493"/>
      <c r="AB64" s="490"/>
      <c r="AC64" s="493"/>
      <c r="AD64" s="493"/>
    </row>
    <row r="65" spans="1:30" x14ac:dyDescent="0.2">
      <c r="A65" s="493" t="s">
        <v>677</v>
      </c>
      <c r="B65" s="1075"/>
      <c r="C65" s="488"/>
      <c r="D65" s="488"/>
      <c r="E65" s="500">
        <f>E63/(1-E61)</f>
        <v>0</v>
      </c>
      <c r="F65" s="500">
        <f>F63/(1-F61)</f>
        <v>0</v>
      </c>
      <c r="G65" s="501"/>
      <c r="H65" s="500">
        <f>H63/(1-H61)</f>
        <v>0</v>
      </c>
      <c r="I65" s="500">
        <f>I63/(1-I61)</f>
        <v>0</v>
      </c>
      <c r="J65" s="501"/>
      <c r="K65" s="500">
        <f>K63/(1-K61)</f>
        <v>0</v>
      </c>
      <c r="L65" s="500">
        <f>L63/(1-L61)</f>
        <v>0</v>
      </c>
      <c r="M65" s="501"/>
      <c r="N65" s="500">
        <f>N63/(1-N61)</f>
        <v>0</v>
      </c>
      <c r="O65" s="500">
        <f>O63/(1-O61)</f>
        <v>0</v>
      </c>
      <c r="P65" s="501"/>
      <c r="Q65" s="500">
        <f>Q63/(1-Q61)</f>
        <v>0</v>
      </c>
      <c r="R65" s="500">
        <f>R63/(1-R61)</f>
        <v>0</v>
      </c>
      <c r="S65" s="501"/>
      <c r="T65" s="500">
        <f>T63/(1-T61)</f>
        <v>0</v>
      </c>
      <c r="U65" s="500">
        <f>U63/(1-U61)</f>
        <v>0</v>
      </c>
      <c r="V65" s="501"/>
      <c r="W65" s="500">
        <f>W63/(1-W61)</f>
        <v>0</v>
      </c>
      <c r="X65" s="500">
        <f>X63/(1-X61)</f>
        <v>0</v>
      </c>
      <c r="Y65" s="501"/>
      <c r="Z65" s="500">
        <f>Z63/(1-Z61)</f>
        <v>0</v>
      </c>
      <c r="AA65" s="500">
        <f>AA63/(1-AA61)</f>
        <v>0</v>
      </c>
      <c r="AB65" s="501"/>
      <c r="AC65" s="500">
        <f>AC63/(1-AC61)</f>
        <v>0</v>
      </c>
      <c r="AD65" s="500">
        <f>AD63/(1-AD61)</f>
        <v>0</v>
      </c>
    </row>
    <row r="66" spans="1:30" x14ac:dyDescent="0.2">
      <c r="A66" s="492" t="s">
        <v>679</v>
      </c>
      <c r="B66" s="1075"/>
      <c r="C66" s="488"/>
      <c r="D66" s="488"/>
      <c r="E66" s="502">
        <f>SUM(E65:E65)</f>
        <v>0</v>
      </c>
      <c r="F66" s="502">
        <f>SUM(F65:F65)</f>
        <v>0</v>
      </c>
      <c r="G66" s="503"/>
      <c r="H66" s="502">
        <f>SUM(H65:H65)</f>
        <v>0</v>
      </c>
      <c r="I66" s="502">
        <f>SUM(I65:I65)</f>
        <v>0</v>
      </c>
      <c r="J66" s="503"/>
      <c r="K66" s="502">
        <f>SUM(K65:K65)</f>
        <v>0</v>
      </c>
      <c r="L66" s="502">
        <f>SUM(L65:L65)</f>
        <v>0</v>
      </c>
      <c r="M66" s="503"/>
      <c r="N66" s="502">
        <f>SUM(N65:N65)</f>
        <v>0</v>
      </c>
      <c r="O66" s="502">
        <f>SUM(O65:O65)</f>
        <v>0</v>
      </c>
      <c r="P66" s="503"/>
      <c r="Q66" s="502">
        <f>SUM(Q65:Q65)</f>
        <v>0</v>
      </c>
      <c r="R66" s="502">
        <f>SUM(R65:R65)</f>
        <v>0</v>
      </c>
      <c r="S66" s="503"/>
      <c r="T66" s="502">
        <f>SUM(T65:T65)</f>
        <v>0</v>
      </c>
      <c r="U66" s="502">
        <f>SUM(U65:U65)</f>
        <v>0</v>
      </c>
      <c r="V66" s="503"/>
      <c r="W66" s="502">
        <f>SUM(W65:W65)</f>
        <v>0</v>
      </c>
      <c r="X66" s="502">
        <f>SUM(X65:X65)</f>
        <v>0</v>
      </c>
      <c r="Y66" s="503"/>
      <c r="Z66" s="502">
        <f>SUM(Z65:Z65)</f>
        <v>0</v>
      </c>
      <c r="AA66" s="502">
        <f>SUM(AA65:AA65)</f>
        <v>0</v>
      </c>
      <c r="AB66" s="503"/>
      <c r="AC66" s="502">
        <f>SUM(AC65:AC65)</f>
        <v>0</v>
      </c>
      <c r="AD66" s="502">
        <f>SUM(AD65:AD65)</f>
        <v>0</v>
      </c>
    </row>
    <row r="67" spans="1:30" x14ac:dyDescent="0.2">
      <c r="A67" s="83"/>
      <c r="B67" s="1074"/>
      <c r="C67" s="504"/>
      <c r="D67" s="504"/>
      <c r="E67" s="504"/>
      <c r="F67" s="504"/>
      <c r="G67" s="504"/>
      <c r="H67" s="504"/>
      <c r="I67" s="504"/>
      <c r="J67" s="504"/>
      <c r="K67" s="504"/>
      <c r="L67" s="504"/>
      <c r="M67" s="504"/>
      <c r="N67" s="504"/>
      <c r="O67" s="504"/>
      <c r="P67" s="83"/>
      <c r="Q67" s="83"/>
      <c r="R67" s="83"/>
      <c r="S67" s="83"/>
      <c r="T67" s="83"/>
      <c r="U67" s="83"/>
      <c r="V67" s="83"/>
      <c r="W67" s="83"/>
      <c r="X67" s="83"/>
      <c r="Y67" s="83"/>
      <c r="Z67" s="83"/>
      <c r="AA67" s="83"/>
    </row>
    <row r="68" spans="1:30" ht="13.5" thickBot="1" x14ac:dyDescent="0.25">
      <c r="A68" s="83"/>
      <c r="B68" s="1074"/>
      <c r="C68" s="504"/>
      <c r="D68" s="504"/>
      <c r="E68" s="504"/>
      <c r="F68" s="504"/>
      <c r="G68" s="504"/>
      <c r="H68" s="504"/>
      <c r="I68" s="504"/>
      <c r="J68" s="504"/>
      <c r="K68" s="504"/>
      <c r="L68" s="504"/>
      <c r="M68" s="504"/>
      <c r="N68" s="504"/>
      <c r="O68" s="504"/>
      <c r="P68" s="83"/>
      <c r="Q68" s="83"/>
    </row>
    <row r="69" spans="1:30" ht="15.75" thickBot="1" x14ac:dyDescent="0.25">
      <c r="A69" s="510" t="s">
        <v>680</v>
      </c>
      <c r="B69" s="505"/>
      <c r="C69" s="532"/>
      <c r="D69" s="506">
        <v>2011</v>
      </c>
      <c r="E69" s="506">
        <v>2012</v>
      </c>
      <c r="F69" s="506">
        <v>2013</v>
      </c>
      <c r="G69" s="506">
        <v>2014</v>
      </c>
      <c r="H69" s="507">
        <v>2015</v>
      </c>
      <c r="I69" s="507">
        <v>2016</v>
      </c>
      <c r="J69" s="507">
        <v>2017</v>
      </c>
      <c r="K69" s="533">
        <v>2018</v>
      </c>
      <c r="L69" s="533">
        <v>2019</v>
      </c>
      <c r="M69" s="508"/>
      <c r="N69" s="509"/>
      <c r="O69" s="509"/>
      <c r="P69" s="509"/>
      <c r="Q69" s="509"/>
      <c r="R69" s="509"/>
    </row>
    <row r="70" spans="1:30" x14ac:dyDescent="0.2">
      <c r="A70" s="505"/>
      <c r="B70" s="515" t="s">
        <v>681</v>
      </c>
      <c r="C70" s="516">
        <v>60</v>
      </c>
      <c r="D70" s="459"/>
      <c r="E70" s="459"/>
      <c r="F70" s="459"/>
      <c r="G70" s="459"/>
      <c r="H70" s="459"/>
      <c r="I70" s="102"/>
      <c r="J70" s="459"/>
      <c r="K70" s="102"/>
      <c r="L70" s="102"/>
      <c r="M70" s="102"/>
      <c r="N70" s="102"/>
      <c r="O70" s="102"/>
      <c r="P70" s="102"/>
      <c r="Q70" s="509"/>
      <c r="R70" s="509"/>
    </row>
    <row r="71" spans="1:30" x14ac:dyDescent="0.2">
      <c r="A71" s="505" t="s">
        <v>682</v>
      </c>
      <c r="B71" s="505"/>
      <c r="C71" s="438"/>
      <c r="D71" s="496"/>
      <c r="E71" s="496">
        <f t="shared" ref="E71:L71" si="0">D73</f>
        <v>0</v>
      </c>
      <c r="F71" s="496">
        <f t="shared" si="0"/>
        <v>0</v>
      </c>
      <c r="G71" s="496">
        <f t="shared" si="0"/>
        <v>0</v>
      </c>
      <c r="H71" s="496">
        <f t="shared" si="0"/>
        <v>0</v>
      </c>
      <c r="I71" s="496">
        <f t="shared" si="0"/>
        <v>176493</v>
      </c>
      <c r="J71" s="496">
        <f t="shared" si="0"/>
        <v>176493</v>
      </c>
      <c r="K71" s="496">
        <f t="shared" si="0"/>
        <v>176493</v>
      </c>
      <c r="L71" s="496">
        <f t="shared" si="0"/>
        <v>176493</v>
      </c>
      <c r="M71" s="102"/>
      <c r="N71" s="102"/>
      <c r="O71" s="102"/>
      <c r="P71" s="102"/>
      <c r="Q71" s="509"/>
      <c r="R71" s="509"/>
    </row>
    <row r="72" spans="1:30" x14ac:dyDescent="0.2">
      <c r="A72" s="505" t="s">
        <v>683</v>
      </c>
      <c r="B72" s="505"/>
      <c r="C72" s="534"/>
      <c r="D72" s="512">
        <f>'App.2-FA Proposed REG Invest.'!C99</f>
        <v>0</v>
      </c>
      <c r="E72" s="512">
        <f>'App.2-FA Proposed REG Invest.'!D99</f>
        <v>0</v>
      </c>
      <c r="F72" s="512">
        <f>'App.2-FA Proposed REG Invest.'!E99</f>
        <v>0</v>
      </c>
      <c r="G72" s="512">
        <f>'App.2-FA Proposed REG Invest.'!F99</f>
        <v>0</v>
      </c>
      <c r="H72" s="512">
        <f>'App.2-FA Proposed REG Invest.'!G99</f>
        <v>176493</v>
      </c>
      <c r="I72" s="512">
        <f>'App.2-FA Proposed REG Invest.'!H99</f>
        <v>0</v>
      </c>
      <c r="J72" s="512">
        <f>'App.2-FA Proposed REG Invest.'!I99</f>
        <v>0</v>
      </c>
      <c r="K72" s="512">
        <f>'App.2-FA Proposed REG Invest.'!J99</f>
        <v>0</v>
      </c>
      <c r="L72" s="512">
        <f>'App.2-FA Proposed REG Invest.'!K99</f>
        <v>0</v>
      </c>
      <c r="M72" s="102"/>
      <c r="N72" s="102"/>
      <c r="O72" s="102"/>
      <c r="P72" s="517"/>
      <c r="Q72" s="509"/>
      <c r="R72" s="509"/>
    </row>
    <row r="73" spans="1:30" x14ac:dyDescent="0.2">
      <c r="A73" s="505" t="s">
        <v>684</v>
      </c>
      <c r="B73" s="505"/>
      <c r="C73" s="438"/>
      <c r="D73" s="496">
        <f t="shared" ref="D73:L73" si="1">SUM(D71:D72)</f>
        <v>0</v>
      </c>
      <c r="E73" s="496">
        <f t="shared" si="1"/>
        <v>0</v>
      </c>
      <c r="F73" s="496">
        <f t="shared" si="1"/>
        <v>0</v>
      </c>
      <c r="G73" s="496">
        <f t="shared" si="1"/>
        <v>0</v>
      </c>
      <c r="H73" s="496">
        <f t="shared" si="1"/>
        <v>176493</v>
      </c>
      <c r="I73" s="496">
        <f t="shared" si="1"/>
        <v>176493</v>
      </c>
      <c r="J73" s="496">
        <f t="shared" si="1"/>
        <v>176493</v>
      </c>
      <c r="K73" s="496">
        <f t="shared" si="1"/>
        <v>176493</v>
      </c>
      <c r="L73" s="496">
        <f t="shared" si="1"/>
        <v>176493</v>
      </c>
      <c r="M73" s="509"/>
      <c r="N73" s="509"/>
      <c r="O73" s="509"/>
      <c r="P73" s="509"/>
      <c r="Q73" s="509"/>
      <c r="R73" s="509"/>
    </row>
    <row r="74" spans="1:30" x14ac:dyDescent="0.2">
      <c r="A74" s="505"/>
      <c r="B74" s="505"/>
      <c r="C74" s="438"/>
      <c r="D74" s="438"/>
      <c r="E74" s="438"/>
      <c r="F74" s="438"/>
      <c r="G74" s="438"/>
      <c r="H74" s="459"/>
      <c r="I74" s="102"/>
      <c r="J74" s="459"/>
      <c r="K74" s="102"/>
      <c r="L74" s="102"/>
      <c r="M74" s="102"/>
      <c r="N74" s="509"/>
      <c r="O74" s="509"/>
      <c r="P74" s="509"/>
      <c r="Q74" s="509"/>
      <c r="R74" s="509"/>
    </row>
    <row r="75" spans="1:30" x14ac:dyDescent="0.2">
      <c r="A75" s="505" t="s">
        <v>685</v>
      </c>
      <c r="B75" s="505"/>
      <c r="C75" s="438"/>
      <c r="D75" s="496"/>
      <c r="E75" s="496">
        <f>+D78</f>
        <v>0</v>
      </c>
      <c r="F75" s="496">
        <f t="shared" ref="F75:L75" si="2">E78</f>
        <v>0</v>
      </c>
      <c r="G75" s="496">
        <f t="shared" si="2"/>
        <v>0</v>
      </c>
      <c r="H75" s="496">
        <f t="shared" si="2"/>
        <v>0</v>
      </c>
      <c r="I75" s="496">
        <f t="shared" si="2"/>
        <v>1470.7750000000001</v>
      </c>
      <c r="J75" s="496">
        <f t="shared" si="2"/>
        <v>4412.3250000000007</v>
      </c>
      <c r="K75" s="496">
        <f t="shared" si="2"/>
        <v>7353.8750000000009</v>
      </c>
      <c r="L75" s="496">
        <f t="shared" si="2"/>
        <v>10295.425000000001</v>
      </c>
      <c r="M75" s="102"/>
      <c r="N75" s="509"/>
      <c r="O75" s="509"/>
      <c r="P75" s="509"/>
      <c r="Q75" s="509"/>
      <c r="R75" s="509"/>
    </row>
    <row r="76" spans="1:30" x14ac:dyDescent="0.2">
      <c r="A76" s="505" t="s">
        <v>686</v>
      </c>
      <c r="B76" s="505"/>
      <c r="C76" s="438"/>
      <c r="D76" s="535"/>
      <c r="E76" s="438">
        <f>IF(ISERROR(E71/$C$70), 0, E71/$C$70)</f>
        <v>0</v>
      </c>
      <c r="F76" s="438">
        <f>IF(ISERROR(F71/$C$70), 0, F71/$C$70)</f>
        <v>0</v>
      </c>
      <c r="G76" s="438">
        <f>IF(ISERROR(G71/$C$70), 0, G71/$C$70)</f>
        <v>0</v>
      </c>
      <c r="H76" s="438">
        <f>H71/$C$70</f>
        <v>0</v>
      </c>
      <c r="I76" s="438">
        <f>I71/$C$70</f>
        <v>2941.55</v>
      </c>
      <c r="J76" s="438">
        <f>J71/$C$70</f>
        <v>2941.55</v>
      </c>
      <c r="K76" s="438">
        <f>K71/$C$70</f>
        <v>2941.55</v>
      </c>
      <c r="L76" s="438">
        <f>L71/$C$70</f>
        <v>2941.55</v>
      </c>
      <c r="M76" s="102"/>
      <c r="N76" s="509"/>
      <c r="O76" s="509"/>
      <c r="P76" s="509"/>
      <c r="Q76" s="509"/>
      <c r="R76" s="509"/>
    </row>
    <row r="77" spans="1:30" x14ac:dyDescent="0.2">
      <c r="A77" s="505" t="s">
        <v>687</v>
      </c>
      <c r="B77" s="83"/>
      <c r="C77" s="83"/>
      <c r="D77" s="459">
        <f>D72/C70/2</f>
        <v>0</v>
      </c>
      <c r="E77" s="459">
        <f>E72/C70/2</f>
        <v>0</v>
      </c>
      <c r="F77" s="459">
        <f>F72/C70/2</f>
        <v>0</v>
      </c>
      <c r="G77" s="459">
        <f>G72/C70/2</f>
        <v>0</v>
      </c>
      <c r="H77" s="459">
        <f>H72/C70/2</f>
        <v>1470.7750000000001</v>
      </c>
      <c r="I77" s="459">
        <f>I72/C70/2</f>
        <v>0</v>
      </c>
      <c r="J77" s="459">
        <f>J72/C70/2</f>
        <v>0</v>
      </c>
      <c r="K77" s="459">
        <f>K72/C70/2</f>
        <v>0</v>
      </c>
      <c r="L77" s="536">
        <f>L72/C70/2</f>
        <v>0</v>
      </c>
      <c r="M77" s="102"/>
      <c r="N77" s="509"/>
      <c r="O77" s="509"/>
      <c r="P77" s="509"/>
      <c r="Q77" s="509"/>
      <c r="R77" s="509"/>
    </row>
    <row r="78" spans="1:30" x14ac:dyDescent="0.2">
      <c r="A78" s="505" t="s">
        <v>688</v>
      </c>
      <c r="B78" s="505"/>
      <c r="C78" s="438"/>
      <c r="D78" s="496">
        <f>SUM(D75+D77)</f>
        <v>0</v>
      </c>
      <c r="E78" s="496">
        <f t="shared" ref="E78:L78" si="3">SUM(E75:E77)</f>
        <v>0</v>
      </c>
      <c r="F78" s="496">
        <f t="shared" si="3"/>
        <v>0</v>
      </c>
      <c r="G78" s="496">
        <f t="shared" si="3"/>
        <v>0</v>
      </c>
      <c r="H78" s="496">
        <f t="shared" si="3"/>
        <v>1470.7750000000001</v>
      </c>
      <c r="I78" s="496">
        <f t="shared" si="3"/>
        <v>4412.3250000000007</v>
      </c>
      <c r="J78" s="496">
        <f t="shared" si="3"/>
        <v>7353.8750000000009</v>
      </c>
      <c r="K78" s="496">
        <f t="shared" si="3"/>
        <v>10295.425000000001</v>
      </c>
      <c r="L78" s="496">
        <f t="shared" si="3"/>
        <v>13236.975000000002</v>
      </c>
      <c r="M78" s="102"/>
      <c r="N78" s="509"/>
      <c r="O78" s="509"/>
      <c r="P78" s="509"/>
      <c r="Q78" s="509"/>
      <c r="R78" s="509"/>
    </row>
    <row r="79" spans="1:30" x14ac:dyDescent="0.2">
      <c r="A79" s="505"/>
      <c r="B79" s="505"/>
      <c r="C79" s="438"/>
      <c r="D79" s="459"/>
      <c r="E79" s="459"/>
      <c r="F79" s="459"/>
      <c r="G79" s="459"/>
      <c r="H79" s="459"/>
      <c r="I79" s="459"/>
      <c r="J79" s="459"/>
      <c r="K79" s="459"/>
      <c r="L79" s="459"/>
      <c r="M79" s="102"/>
      <c r="N79" s="509"/>
      <c r="O79" s="517"/>
      <c r="P79" s="102"/>
      <c r="Q79" s="509"/>
      <c r="R79" s="509"/>
    </row>
    <row r="80" spans="1:30" x14ac:dyDescent="0.2">
      <c r="A80" s="505" t="s">
        <v>689</v>
      </c>
      <c r="B80" s="505"/>
      <c r="C80" s="438"/>
      <c r="D80" s="459">
        <f>D71-D75</f>
        <v>0</v>
      </c>
      <c r="E80" s="459">
        <f>E71-E75</f>
        <v>0</v>
      </c>
      <c r="F80" s="459">
        <f>F71-F75</f>
        <v>0</v>
      </c>
      <c r="G80" s="459">
        <f>G71-G75</f>
        <v>0</v>
      </c>
      <c r="H80" s="459">
        <f>G81</f>
        <v>0</v>
      </c>
      <c r="I80" s="459">
        <f>H81</f>
        <v>175022.22500000001</v>
      </c>
      <c r="J80" s="459">
        <f>I81</f>
        <v>172080.67499999999</v>
      </c>
      <c r="K80" s="459">
        <f>J81</f>
        <v>169139.125</v>
      </c>
      <c r="L80" s="459">
        <f>K81</f>
        <v>166197.57500000001</v>
      </c>
      <c r="M80" s="102"/>
      <c r="N80" s="509"/>
      <c r="O80" s="102"/>
      <c r="P80" s="509"/>
      <c r="Q80" s="509"/>
      <c r="R80" s="509"/>
    </row>
    <row r="81" spans="1:18" x14ac:dyDescent="0.2">
      <c r="A81" s="505" t="s">
        <v>690</v>
      </c>
      <c r="B81" s="505"/>
      <c r="C81" s="438"/>
      <c r="D81" s="496">
        <f t="shared" ref="D81:L81" si="4">D73-D78</f>
        <v>0</v>
      </c>
      <c r="E81" s="496">
        <f t="shared" si="4"/>
        <v>0</v>
      </c>
      <c r="F81" s="496">
        <f t="shared" si="4"/>
        <v>0</v>
      </c>
      <c r="G81" s="496">
        <f t="shared" si="4"/>
        <v>0</v>
      </c>
      <c r="H81" s="496">
        <f t="shared" si="4"/>
        <v>175022.22500000001</v>
      </c>
      <c r="I81" s="496">
        <f t="shared" si="4"/>
        <v>172080.67499999999</v>
      </c>
      <c r="J81" s="496">
        <f t="shared" si="4"/>
        <v>169139.125</v>
      </c>
      <c r="K81" s="496">
        <f t="shared" si="4"/>
        <v>166197.57500000001</v>
      </c>
      <c r="L81" s="496">
        <f t="shared" si="4"/>
        <v>163256.02499999999</v>
      </c>
      <c r="M81" s="102"/>
      <c r="N81" s="509"/>
      <c r="O81" s="509"/>
      <c r="P81" s="509"/>
      <c r="Q81" s="509"/>
      <c r="R81" s="509"/>
    </row>
    <row r="82" spans="1:18" ht="13.5" thickBot="1" x14ac:dyDescent="0.25">
      <c r="A82" s="511" t="s">
        <v>691</v>
      </c>
      <c r="B82" s="505"/>
      <c r="C82" s="438"/>
      <c r="D82" s="518">
        <f t="shared" ref="D82:L82" si="5">SUM(D80:D81)/2</f>
        <v>0</v>
      </c>
      <c r="E82" s="518">
        <f t="shared" si="5"/>
        <v>0</v>
      </c>
      <c r="F82" s="518">
        <f t="shared" si="5"/>
        <v>0</v>
      </c>
      <c r="G82" s="518">
        <f t="shared" si="5"/>
        <v>0</v>
      </c>
      <c r="H82" s="518">
        <f t="shared" si="5"/>
        <v>87511.112500000003</v>
      </c>
      <c r="I82" s="518">
        <f t="shared" si="5"/>
        <v>173551.45</v>
      </c>
      <c r="J82" s="518">
        <f t="shared" si="5"/>
        <v>170609.9</v>
      </c>
      <c r="K82" s="518">
        <f t="shared" si="5"/>
        <v>167668.35</v>
      </c>
      <c r="L82" s="518">
        <f t="shared" si="5"/>
        <v>164726.79999999999</v>
      </c>
      <c r="M82" s="102"/>
      <c r="N82" s="509"/>
      <c r="O82" s="509"/>
      <c r="P82" s="509"/>
      <c r="Q82" s="509"/>
      <c r="R82" s="509"/>
    </row>
    <row r="83" spans="1:18" x14ac:dyDescent="0.2">
      <c r="A83" s="505"/>
      <c r="B83" s="505"/>
      <c r="C83" s="438"/>
      <c r="D83" s="459"/>
      <c r="E83" s="459"/>
      <c r="F83" s="459"/>
      <c r="G83" s="459"/>
      <c r="H83" s="459"/>
      <c r="I83" s="102"/>
      <c r="J83" s="459"/>
      <c r="K83" s="102"/>
      <c r="L83" s="102"/>
      <c r="M83" s="102"/>
      <c r="N83" s="509"/>
      <c r="O83" s="509"/>
      <c r="P83" s="509"/>
      <c r="Q83" s="509"/>
      <c r="R83" s="509"/>
    </row>
    <row r="84" spans="1:18" ht="13.5" thickBot="1" x14ac:dyDescent="0.25">
      <c r="A84" s="510" t="s">
        <v>692</v>
      </c>
      <c r="B84" s="511"/>
      <c r="C84" s="459"/>
      <c r="D84" s="459"/>
      <c r="E84" s="459"/>
      <c r="F84" s="459"/>
      <c r="G84" s="459"/>
      <c r="H84" s="459"/>
      <c r="I84" s="102"/>
      <c r="J84" s="459"/>
      <c r="K84" s="102"/>
      <c r="L84" s="102"/>
      <c r="M84" s="102"/>
      <c r="N84" s="509"/>
      <c r="O84" s="509"/>
      <c r="P84" s="509"/>
      <c r="Q84" s="509"/>
      <c r="R84" s="509"/>
    </row>
    <row r="85" spans="1:18" ht="13.5" thickBot="1" x14ac:dyDescent="0.25">
      <c r="A85" s="511"/>
      <c r="B85" s="102"/>
      <c r="C85" s="511"/>
      <c r="D85" s="506">
        <v>2014</v>
      </c>
      <c r="E85" s="506">
        <v>2014</v>
      </c>
      <c r="F85" s="506">
        <v>2014</v>
      </c>
      <c r="G85" s="506">
        <v>2014</v>
      </c>
      <c r="H85" s="507">
        <v>2015</v>
      </c>
      <c r="I85" s="507">
        <v>2016</v>
      </c>
      <c r="J85" s="507">
        <v>2017</v>
      </c>
      <c r="K85" s="533">
        <v>2018</v>
      </c>
      <c r="L85" s="533">
        <v>2019</v>
      </c>
      <c r="M85" s="102"/>
      <c r="N85" s="509"/>
      <c r="O85" s="509"/>
      <c r="P85" s="509"/>
      <c r="Q85" s="509"/>
      <c r="R85" s="509"/>
    </row>
    <row r="86" spans="1:18" x14ac:dyDescent="0.2">
      <c r="A86" s="505"/>
      <c r="B86" s="102"/>
      <c r="C86" s="505"/>
      <c r="D86" s="459"/>
      <c r="E86" s="459"/>
      <c r="F86" s="459"/>
      <c r="G86" s="459"/>
      <c r="H86" s="459"/>
      <c r="I86" s="459"/>
      <c r="J86" s="459"/>
      <c r="K86" s="459"/>
      <c r="L86" s="459"/>
      <c r="M86" s="102"/>
      <c r="N86" s="509"/>
      <c r="O86" s="509"/>
      <c r="P86" s="509"/>
      <c r="Q86" s="509"/>
      <c r="R86" s="509"/>
    </row>
    <row r="87" spans="1:18" x14ac:dyDescent="0.2">
      <c r="A87" s="505" t="s">
        <v>693</v>
      </c>
      <c r="B87" s="102"/>
      <c r="C87" s="505"/>
      <c r="D87" s="496"/>
      <c r="E87" s="496">
        <f t="shared" ref="E87:L87" si="6">D95</f>
        <v>0</v>
      </c>
      <c r="F87" s="496">
        <f t="shared" si="6"/>
        <v>0</v>
      </c>
      <c r="G87" s="496">
        <f t="shared" si="6"/>
        <v>0</v>
      </c>
      <c r="H87" s="496">
        <f t="shared" si="6"/>
        <v>0</v>
      </c>
      <c r="I87" s="496">
        <f t="shared" si="6"/>
        <v>169433.28</v>
      </c>
      <c r="J87" s="496">
        <f t="shared" si="6"/>
        <v>155878.6176</v>
      </c>
      <c r="K87" s="496">
        <f t="shared" si="6"/>
        <v>143408.32819199999</v>
      </c>
      <c r="L87" s="496">
        <f t="shared" si="6"/>
        <v>131935.66193663998</v>
      </c>
      <c r="M87" s="102"/>
      <c r="N87" s="509"/>
      <c r="O87" s="509"/>
      <c r="P87" s="509"/>
      <c r="Q87" s="509"/>
      <c r="R87" s="509"/>
    </row>
    <row r="88" spans="1:18" x14ac:dyDescent="0.2">
      <c r="A88" s="505" t="s">
        <v>694</v>
      </c>
      <c r="B88" s="102"/>
      <c r="C88" s="505"/>
      <c r="D88" s="459">
        <f t="shared" ref="D88:L88" si="7">D72</f>
        <v>0</v>
      </c>
      <c r="E88" s="459">
        <f t="shared" si="7"/>
        <v>0</v>
      </c>
      <c r="F88" s="459">
        <f t="shared" si="7"/>
        <v>0</v>
      </c>
      <c r="G88" s="459">
        <f t="shared" si="7"/>
        <v>0</v>
      </c>
      <c r="H88" s="459">
        <f t="shared" si="7"/>
        <v>176493</v>
      </c>
      <c r="I88" s="459">
        <f t="shared" si="7"/>
        <v>0</v>
      </c>
      <c r="J88" s="459">
        <f t="shared" si="7"/>
        <v>0</v>
      </c>
      <c r="K88" s="459">
        <f t="shared" si="7"/>
        <v>0</v>
      </c>
      <c r="L88" s="459">
        <f t="shared" si="7"/>
        <v>0</v>
      </c>
      <c r="M88" s="102"/>
      <c r="N88" s="509"/>
      <c r="O88" s="517"/>
      <c r="P88" s="102"/>
      <c r="Q88" s="509"/>
      <c r="R88" s="509"/>
    </row>
    <row r="89" spans="1:18" x14ac:dyDescent="0.2">
      <c r="A89" s="505" t="s">
        <v>695</v>
      </c>
      <c r="B89" s="102"/>
      <c r="C89" s="505"/>
      <c r="D89" s="496">
        <f t="shared" ref="D89:L89" si="8">SUM(D87:D88)</f>
        <v>0</v>
      </c>
      <c r="E89" s="496">
        <f t="shared" si="8"/>
        <v>0</v>
      </c>
      <c r="F89" s="496">
        <f t="shared" si="8"/>
        <v>0</v>
      </c>
      <c r="G89" s="496">
        <f t="shared" si="8"/>
        <v>0</v>
      </c>
      <c r="H89" s="496">
        <f t="shared" si="8"/>
        <v>176493</v>
      </c>
      <c r="I89" s="496">
        <f t="shared" si="8"/>
        <v>169433.28</v>
      </c>
      <c r="J89" s="496">
        <f t="shared" si="8"/>
        <v>155878.6176</v>
      </c>
      <c r="K89" s="496">
        <f t="shared" si="8"/>
        <v>143408.32819199999</v>
      </c>
      <c r="L89" s="496">
        <f t="shared" si="8"/>
        <v>131935.66193663998</v>
      </c>
      <c r="M89" s="102"/>
      <c r="N89" s="509"/>
      <c r="O89" s="102"/>
      <c r="P89" s="509"/>
      <c r="Q89" s="509"/>
      <c r="R89" s="509"/>
    </row>
    <row r="90" spans="1:18" x14ac:dyDescent="0.2">
      <c r="A90" s="505" t="s">
        <v>696</v>
      </c>
      <c r="B90" s="102"/>
      <c r="C90" s="505"/>
      <c r="D90" s="459">
        <f t="shared" ref="D90:L90" si="9">D88/2</f>
        <v>0</v>
      </c>
      <c r="E90" s="459">
        <f t="shared" si="9"/>
        <v>0</v>
      </c>
      <c r="F90" s="459">
        <f t="shared" si="9"/>
        <v>0</v>
      </c>
      <c r="G90" s="459">
        <f t="shared" si="9"/>
        <v>0</v>
      </c>
      <c r="H90" s="459">
        <f t="shared" si="9"/>
        <v>88246.5</v>
      </c>
      <c r="I90" s="459">
        <f t="shared" si="9"/>
        <v>0</v>
      </c>
      <c r="J90" s="459">
        <f t="shared" si="9"/>
        <v>0</v>
      </c>
      <c r="K90" s="459">
        <f t="shared" si="9"/>
        <v>0</v>
      </c>
      <c r="L90" s="459">
        <f t="shared" si="9"/>
        <v>0</v>
      </c>
      <c r="M90" s="102"/>
      <c r="N90" s="509"/>
      <c r="O90" s="509"/>
      <c r="P90" s="509"/>
      <c r="Q90" s="509"/>
      <c r="R90" s="509"/>
    </row>
    <row r="91" spans="1:18" x14ac:dyDescent="0.2">
      <c r="A91" s="505" t="s">
        <v>697</v>
      </c>
      <c r="B91" s="102"/>
      <c r="C91" s="505"/>
      <c r="D91" s="496">
        <f t="shared" ref="D91:L91" si="10">D89-D90</f>
        <v>0</v>
      </c>
      <c r="E91" s="496">
        <f t="shared" si="10"/>
        <v>0</v>
      </c>
      <c r="F91" s="496">
        <f t="shared" si="10"/>
        <v>0</v>
      </c>
      <c r="G91" s="496">
        <f t="shared" si="10"/>
        <v>0</v>
      </c>
      <c r="H91" s="496">
        <f t="shared" si="10"/>
        <v>88246.5</v>
      </c>
      <c r="I91" s="496">
        <f t="shared" si="10"/>
        <v>169433.28</v>
      </c>
      <c r="J91" s="496">
        <f t="shared" si="10"/>
        <v>155878.6176</v>
      </c>
      <c r="K91" s="496">
        <f t="shared" si="10"/>
        <v>143408.32819199999</v>
      </c>
      <c r="L91" s="496">
        <f t="shared" si="10"/>
        <v>131935.66193663998</v>
      </c>
      <c r="M91" s="509"/>
      <c r="N91" s="509"/>
      <c r="O91" s="509"/>
      <c r="P91" s="509"/>
      <c r="Q91" s="509"/>
      <c r="R91" s="509"/>
    </row>
    <row r="92" spans="1:18" x14ac:dyDescent="0.2">
      <c r="A92" s="505" t="s">
        <v>698</v>
      </c>
      <c r="B92" s="102"/>
      <c r="C92" s="519">
        <v>47</v>
      </c>
      <c r="D92" s="519">
        <f>$C$92</f>
        <v>47</v>
      </c>
      <c r="E92" s="519">
        <f t="shared" ref="E92:L92" si="11">$C$92</f>
        <v>47</v>
      </c>
      <c r="F92" s="519">
        <f t="shared" si="11"/>
        <v>47</v>
      </c>
      <c r="G92" s="519">
        <f t="shared" si="11"/>
        <v>47</v>
      </c>
      <c r="H92" s="519">
        <f t="shared" si="11"/>
        <v>47</v>
      </c>
      <c r="I92" s="519">
        <f t="shared" si="11"/>
        <v>47</v>
      </c>
      <c r="J92" s="519">
        <f t="shared" si="11"/>
        <v>47</v>
      </c>
      <c r="K92" s="519">
        <f t="shared" si="11"/>
        <v>47</v>
      </c>
      <c r="L92" s="519">
        <f t="shared" si="11"/>
        <v>47</v>
      </c>
      <c r="M92" s="509"/>
      <c r="N92" s="509"/>
      <c r="O92" s="509"/>
      <c r="P92" s="509"/>
      <c r="Q92" s="509"/>
      <c r="R92" s="509"/>
    </row>
    <row r="93" spans="1:18" x14ac:dyDescent="0.2">
      <c r="A93" s="505" t="s">
        <v>699</v>
      </c>
      <c r="B93" s="102"/>
      <c r="C93" s="520">
        <v>0.08</v>
      </c>
      <c r="D93" s="520">
        <f>$C$93</f>
        <v>0.08</v>
      </c>
      <c r="E93" s="520">
        <f t="shared" ref="E93:L93" si="12">$C$93</f>
        <v>0.08</v>
      </c>
      <c r="F93" s="520">
        <f t="shared" si="12"/>
        <v>0.08</v>
      </c>
      <c r="G93" s="520">
        <f t="shared" si="12"/>
        <v>0.08</v>
      </c>
      <c r="H93" s="520">
        <f t="shared" si="12"/>
        <v>0.08</v>
      </c>
      <c r="I93" s="520">
        <f t="shared" si="12"/>
        <v>0.08</v>
      </c>
      <c r="J93" s="520">
        <f t="shared" si="12"/>
        <v>0.08</v>
      </c>
      <c r="K93" s="520">
        <f t="shared" si="12"/>
        <v>0.08</v>
      </c>
      <c r="L93" s="520">
        <f t="shared" si="12"/>
        <v>0.08</v>
      </c>
      <c r="M93" s="102"/>
      <c r="N93" s="509"/>
      <c r="O93" s="509"/>
      <c r="P93" s="509"/>
      <c r="Q93" s="509"/>
      <c r="R93" s="509"/>
    </row>
    <row r="94" spans="1:18" x14ac:dyDescent="0.2">
      <c r="A94" s="505" t="s">
        <v>700</v>
      </c>
      <c r="B94" s="102"/>
      <c r="C94" s="505"/>
      <c r="D94" s="496">
        <f t="shared" ref="D94:L94" si="13">D91*D$93</f>
        <v>0</v>
      </c>
      <c r="E94" s="496">
        <f t="shared" si="13"/>
        <v>0</v>
      </c>
      <c r="F94" s="496">
        <f t="shared" si="13"/>
        <v>0</v>
      </c>
      <c r="G94" s="496">
        <f t="shared" si="13"/>
        <v>0</v>
      </c>
      <c r="H94" s="496">
        <f t="shared" si="13"/>
        <v>7059.72</v>
      </c>
      <c r="I94" s="496">
        <f t="shared" si="13"/>
        <v>13554.662400000001</v>
      </c>
      <c r="J94" s="496">
        <f t="shared" si="13"/>
        <v>12470.289408000001</v>
      </c>
      <c r="K94" s="496">
        <f t="shared" si="13"/>
        <v>11472.66625536</v>
      </c>
      <c r="L94" s="496">
        <f t="shared" si="13"/>
        <v>10554.852954931199</v>
      </c>
      <c r="M94" s="102"/>
      <c r="N94" s="509"/>
      <c r="O94" s="509"/>
      <c r="P94" s="509"/>
      <c r="Q94" s="509"/>
      <c r="R94" s="509"/>
    </row>
    <row r="95" spans="1:18" ht="13.5" thickBot="1" x14ac:dyDescent="0.25">
      <c r="A95" s="511" t="s">
        <v>701</v>
      </c>
      <c r="B95" s="102"/>
      <c r="C95" s="505"/>
      <c r="D95" s="518">
        <f t="shared" ref="D95:L95" si="14">D89-D94</f>
        <v>0</v>
      </c>
      <c r="E95" s="518">
        <f t="shared" si="14"/>
        <v>0</v>
      </c>
      <c r="F95" s="518">
        <f t="shared" si="14"/>
        <v>0</v>
      </c>
      <c r="G95" s="518">
        <f t="shared" si="14"/>
        <v>0</v>
      </c>
      <c r="H95" s="518">
        <f t="shared" si="14"/>
        <v>169433.28</v>
      </c>
      <c r="I95" s="518">
        <f t="shared" si="14"/>
        <v>155878.6176</v>
      </c>
      <c r="J95" s="518">
        <f t="shared" si="14"/>
        <v>143408.32819199999</v>
      </c>
      <c r="K95" s="518">
        <f t="shared" si="14"/>
        <v>131935.66193663998</v>
      </c>
      <c r="L95" s="518">
        <f t="shared" si="14"/>
        <v>121380.80898170879</v>
      </c>
      <c r="M95" s="102"/>
      <c r="N95" s="509"/>
      <c r="O95" s="509"/>
      <c r="P95" s="509"/>
      <c r="Q95" s="509"/>
      <c r="R95" s="509"/>
    </row>
    <row r="96" spans="1:18" x14ac:dyDescent="0.2">
      <c r="A96" s="505"/>
      <c r="B96" s="505"/>
      <c r="C96" s="459"/>
      <c r="D96" s="459"/>
      <c r="E96" s="459"/>
      <c r="F96" s="459"/>
      <c r="G96" s="459"/>
      <c r="H96" s="459"/>
      <c r="I96" s="102"/>
      <c r="J96" s="459"/>
      <c r="K96" s="102"/>
      <c r="M96" s="102"/>
      <c r="N96" s="509"/>
      <c r="O96" s="509"/>
      <c r="P96" s="509"/>
      <c r="Q96" s="509"/>
      <c r="R96" s="509"/>
    </row>
    <row r="97" spans="13:24" x14ac:dyDescent="0.2">
      <c r="S97" s="102"/>
      <c r="T97" s="509"/>
      <c r="U97" s="509"/>
      <c r="V97" s="509"/>
      <c r="W97" s="509"/>
      <c r="X97" s="509"/>
    </row>
    <row r="98" spans="13:24" x14ac:dyDescent="0.2">
      <c r="S98" s="102"/>
      <c r="T98" s="509"/>
      <c r="U98" s="509"/>
      <c r="V98" s="509"/>
      <c r="W98" s="509"/>
      <c r="X98" s="509"/>
    </row>
    <row r="99" spans="13:24" x14ac:dyDescent="0.2">
      <c r="S99" s="102"/>
      <c r="T99" s="509"/>
      <c r="U99" s="509"/>
      <c r="V99" s="509"/>
      <c r="W99" s="509"/>
      <c r="X99" s="509"/>
    </row>
    <row r="100" spans="13:24" x14ac:dyDescent="0.2">
      <c r="S100" s="102"/>
      <c r="T100" s="509"/>
      <c r="U100" s="517"/>
      <c r="V100" s="102"/>
      <c r="W100" s="509"/>
      <c r="X100" s="509"/>
    </row>
    <row r="101" spans="13:24" x14ac:dyDescent="0.2">
      <c r="S101" s="102"/>
      <c r="T101" s="509"/>
      <c r="U101" s="102"/>
      <c r="V101" s="509"/>
      <c r="W101" s="509"/>
      <c r="X101" s="509"/>
    </row>
    <row r="102" spans="13:24" x14ac:dyDescent="0.2">
      <c r="M102" s="102"/>
      <c r="S102" s="102"/>
      <c r="T102" s="509"/>
      <c r="U102" s="509"/>
      <c r="V102" s="509"/>
      <c r="W102" s="509"/>
      <c r="X102" s="509"/>
    </row>
    <row r="105" spans="13:24" x14ac:dyDescent="0.2">
      <c r="S105" s="102"/>
    </row>
    <row r="106" spans="13:24" x14ac:dyDescent="0.2">
      <c r="S106" s="102"/>
    </row>
    <row r="107" spans="13:24" x14ac:dyDescent="0.2">
      <c r="S107" s="102"/>
    </row>
    <row r="108" spans="13:24" x14ac:dyDescent="0.2">
      <c r="S108" s="102"/>
    </row>
    <row r="109" spans="13:24" x14ac:dyDescent="0.2">
      <c r="S109" s="102"/>
    </row>
    <row r="110" spans="13:24" x14ac:dyDescent="0.2">
      <c r="S110" s="102"/>
    </row>
    <row r="111" spans="13:24" x14ac:dyDescent="0.2">
      <c r="S111" s="102"/>
    </row>
    <row r="112" spans="13:24" x14ac:dyDescent="0.2">
      <c r="S112" s="102"/>
      <c r="U112" s="427"/>
      <c r="V112" s="102"/>
    </row>
    <row r="113" spans="19:21" x14ac:dyDescent="0.2">
      <c r="S113" s="102"/>
      <c r="U113" s="102"/>
    </row>
    <row r="114" spans="19:21" x14ac:dyDescent="0.2">
      <c r="S114" s="102"/>
    </row>
  </sheetData>
  <mergeCells count="26">
    <mergeCell ref="A9:O9"/>
    <mergeCell ref="A10:O10"/>
    <mergeCell ref="A12:O12"/>
    <mergeCell ref="A13:O13"/>
    <mergeCell ref="A15:O15"/>
    <mergeCell ref="D18:F18"/>
    <mergeCell ref="G18:I18"/>
    <mergeCell ref="J18:L18"/>
    <mergeCell ref="M18:O18"/>
    <mergeCell ref="P18:R18"/>
    <mergeCell ref="S18:U18"/>
    <mergeCell ref="V18:X18"/>
    <mergeCell ref="Y18:AA18"/>
    <mergeCell ref="AB18:AD18"/>
    <mergeCell ref="W53:X53"/>
    <mergeCell ref="Z53:AA53"/>
    <mergeCell ref="AC53:AD53"/>
    <mergeCell ref="A48:U48"/>
    <mergeCell ref="A50:V50"/>
    <mergeCell ref="A51:B51"/>
    <mergeCell ref="E53:F53"/>
    <mergeCell ref="H53:I53"/>
    <mergeCell ref="K53:L53"/>
    <mergeCell ref="N53:O53"/>
    <mergeCell ref="Q53:R53"/>
    <mergeCell ref="T53:U53"/>
  </mergeCells>
  <dataValidations disablePrompts="1" count="1">
    <dataValidation allowBlank="1" showInputMessage="1" showErrorMessage="1" promptTitle="Date Format" prompt="E.g:  &quot;August 1, 2011&quot;" sqref="JB7 SX7 ACT7 AMP7 AWL7 BGH7 BQD7 BZZ7 CJV7 CTR7 DDN7 DNJ7 DXF7 EHB7 EQX7 FAT7 FKP7 FUL7 GEH7 GOD7 GXZ7 HHV7 HRR7 IBN7 ILJ7 IVF7 JFB7 JOX7 JYT7 KIP7 KSL7 LCH7 LMD7 LVZ7 MFV7 MPR7 MZN7 NJJ7 NTF7 ODB7 OMX7 OWT7 PGP7 PQL7 QAH7 QKD7 QTZ7 RDV7 RNR7 RXN7 SHJ7 SRF7 TBB7 TKX7 TUT7 UEP7 UOL7 UYH7 VID7 VRZ7 WBV7 WLR7 WVN7"/>
  </dataValidations>
  <pageMargins left="0.70866141732283472" right="0.70866141732283472" top="0.74803149606299213" bottom="0.74803149606299213" header="0.31496062992125984" footer="0.31496062992125984"/>
  <pageSetup scale="27" orientation="landscape" r:id="rId1"/>
</worksheet>
</file>

<file path=xl/worksheets/sheet2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59">
    <tabColor rgb="FF00B0F0"/>
    <pageSetUpPr fitToPage="1"/>
  </sheetPr>
  <dimension ref="A1:P40"/>
  <sheetViews>
    <sheetView showGridLines="0" zoomScaleNormal="100" workbookViewId="0">
      <selection activeCell="A9" sqref="A9:P40"/>
    </sheetView>
  </sheetViews>
  <sheetFormatPr defaultColWidth="8.85546875" defaultRowHeight="15" x14ac:dyDescent="0.25"/>
  <cols>
    <col min="1" max="1" width="9.7109375" style="415" customWidth="1"/>
    <col min="2" max="3" width="10.28515625" style="415" customWidth="1"/>
    <col min="4" max="5" width="8.85546875" style="415"/>
    <col min="6" max="6" width="9.5703125" style="415" bestFit="1" customWidth="1"/>
    <col min="7" max="10" width="8.85546875" style="415"/>
    <col min="11" max="11" width="8.85546875" style="415" customWidth="1"/>
    <col min="12" max="16384" width="8.85546875" style="415"/>
  </cols>
  <sheetData>
    <row r="1" spans="1:16" s="375" customFormat="1" x14ac:dyDescent="0.25">
      <c r="A1" s="52"/>
      <c r="B1" s="52"/>
      <c r="C1" s="52"/>
      <c r="D1" s="52"/>
      <c r="E1" s="52"/>
      <c r="F1" s="52"/>
      <c r="G1" s="52"/>
      <c r="H1" s="52"/>
      <c r="I1" s="52"/>
      <c r="J1" s="52"/>
      <c r="K1" s="52"/>
      <c r="M1" s="60" t="s">
        <v>301</v>
      </c>
      <c r="O1" s="1675" t="str">
        <f>EBNUMBER</f>
        <v>EB-2016-0066</v>
      </c>
      <c r="P1" s="1675"/>
    </row>
    <row r="2" spans="1:16" s="375" customFormat="1" x14ac:dyDescent="0.25">
      <c r="A2" s="52"/>
      <c r="B2" s="52"/>
      <c r="C2" s="52"/>
      <c r="D2" s="52"/>
      <c r="E2" s="52"/>
      <c r="F2" s="52"/>
      <c r="G2" s="52"/>
      <c r="H2" s="52"/>
      <c r="I2" s="52"/>
      <c r="J2" s="52"/>
      <c r="K2" s="52"/>
      <c r="M2" s="60" t="s">
        <v>302</v>
      </c>
      <c r="O2" s="1766"/>
      <c r="P2" s="1766"/>
    </row>
    <row r="3" spans="1:16" s="375" customFormat="1" x14ac:dyDescent="0.25">
      <c r="A3" s="52"/>
      <c r="B3" s="52"/>
      <c r="C3" s="52"/>
      <c r="D3" s="52"/>
      <c r="E3" s="52"/>
      <c r="F3" s="52"/>
      <c r="G3" s="52"/>
      <c r="H3" s="52"/>
      <c r="I3" s="52"/>
      <c r="J3" s="52"/>
      <c r="K3" s="52"/>
      <c r="M3" s="60" t="s">
        <v>303</v>
      </c>
      <c r="O3" s="1766"/>
      <c r="P3" s="1766"/>
    </row>
    <row r="4" spans="1:16" s="375" customFormat="1" x14ac:dyDescent="0.25">
      <c r="A4" s="52"/>
      <c r="B4" s="52"/>
      <c r="C4" s="52"/>
      <c r="D4" s="52"/>
      <c r="E4" s="52"/>
      <c r="F4" s="52"/>
      <c r="G4" s="52"/>
      <c r="H4" s="52"/>
      <c r="I4" s="52"/>
      <c r="J4" s="52"/>
      <c r="K4" s="52"/>
      <c r="M4" s="60" t="s">
        <v>304</v>
      </c>
      <c r="O4" s="1766"/>
      <c r="P4" s="1766"/>
    </row>
    <row r="5" spans="1:16" s="375" customFormat="1" x14ac:dyDescent="0.25">
      <c r="A5" s="52"/>
      <c r="B5" s="52"/>
      <c r="C5" s="52"/>
      <c r="D5" s="52"/>
      <c r="E5" s="52"/>
      <c r="F5" s="52"/>
      <c r="G5" s="52"/>
      <c r="H5" s="52"/>
      <c r="I5" s="52"/>
      <c r="J5" s="52"/>
      <c r="K5" s="52"/>
      <c r="M5" s="60" t="s">
        <v>305</v>
      </c>
      <c r="O5" s="1767"/>
      <c r="P5" s="1767"/>
    </row>
    <row r="6" spans="1:16" s="375" customFormat="1" x14ac:dyDescent="0.25">
      <c r="A6" s="52"/>
      <c r="B6" s="52"/>
      <c r="C6" s="52"/>
      <c r="D6" s="52"/>
      <c r="E6" s="52"/>
      <c r="F6" s="52"/>
      <c r="G6" s="52"/>
      <c r="H6" s="52"/>
      <c r="I6" s="52"/>
      <c r="J6" s="52"/>
      <c r="K6" s="52"/>
      <c r="M6" s="60"/>
      <c r="O6" s="61"/>
    </row>
    <row r="7" spans="1:16" s="375" customFormat="1" x14ac:dyDescent="0.25">
      <c r="A7" s="52"/>
      <c r="B7" s="52"/>
      <c r="C7" s="52"/>
      <c r="D7" s="52"/>
      <c r="E7" s="52"/>
      <c r="F7" s="52"/>
      <c r="G7" s="52"/>
      <c r="H7" s="52"/>
      <c r="I7" s="52"/>
      <c r="J7" s="52"/>
      <c r="K7" s="52"/>
      <c r="M7" s="60" t="s">
        <v>306</v>
      </c>
      <c r="O7" s="1767"/>
      <c r="P7" s="1767"/>
    </row>
    <row r="8" spans="1:16" s="375" customFormat="1" x14ac:dyDescent="0.25">
      <c r="A8" s="56"/>
      <c r="B8" s="56"/>
      <c r="C8" s="56"/>
      <c r="D8" s="56"/>
      <c r="E8" s="56"/>
      <c r="F8" s="56"/>
      <c r="G8" s="56"/>
      <c r="H8" s="56"/>
      <c r="I8" s="56"/>
      <c r="J8" s="413"/>
      <c r="K8" s="413"/>
      <c r="L8" s="413"/>
      <c r="M8" s="413"/>
      <c r="N8" s="413"/>
      <c r="O8" s="413"/>
    </row>
    <row r="9" spans="1:16" s="375" customFormat="1" ht="18" x14ac:dyDescent="0.25">
      <c r="A9" s="1591" t="s">
        <v>118</v>
      </c>
      <c r="B9" s="1591"/>
      <c r="C9" s="1591"/>
      <c r="D9" s="1591"/>
      <c r="E9" s="1591"/>
      <c r="F9" s="1591"/>
      <c r="G9" s="1591"/>
      <c r="H9" s="1591"/>
      <c r="I9" s="1591"/>
      <c r="J9" s="1591"/>
      <c r="K9" s="1591"/>
      <c r="L9" s="1591"/>
      <c r="M9" s="1591"/>
      <c r="N9" s="1591"/>
      <c r="O9" s="1591"/>
      <c r="P9" s="1591"/>
    </row>
    <row r="10" spans="1:16" s="375" customFormat="1" ht="18" x14ac:dyDescent="0.25">
      <c r="A10" s="1591" t="s">
        <v>1036</v>
      </c>
      <c r="B10" s="1591"/>
      <c r="C10" s="1591"/>
      <c r="D10" s="1591"/>
      <c r="E10" s="1591"/>
      <c r="F10" s="1591"/>
      <c r="G10" s="1591"/>
      <c r="H10" s="1591"/>
      <c r="I10" s="1591"/>
      <c r="J10" s="1591"/>
      <c r="K10" s="1591"/>
      <c r="L10" s="1591"/>
      <c r="M10" s="1591"/>
      <c r="N10" s="1591"/>
      <c r="O10" s="1591"/>
      <c r="P10" s="1591"/>
    </row>
    <row r="11" spans="1:16" s="375" customFormat="1" ht="18" x14ac:dyDescent="0.25">
      <c r="A11" s="1591" t="s">
        <v>1277</v>
      </c>
      <c r="B11" s="1591"/>
      <c r="C11" s="1591"/>
      <c r="D11" s="1591"/>
      <c r="E11" s="1591"/>
      <c r="F11" s="1591"/>
      <c r="G11" s="1591"/>
      <c r="H11" s="1591"/>
      <c r="I11" s="1591"/>
      <c r="J11" s="1591"/>
      <c r="K11" s="1591"/>
      <c r="L11" s="1591"/>
      <c r="M11" s="1591"/>
      <c r="N11" s="1591"/>
      <c r="O11" s="1591"/>
      <c r="P11" s="1591"/>
    </row>
    <row r="12" spans="1:16" s="375" customFormat="1" ht="18" x14ac:dyDescent="0.25">
      <c r="A12" s="1097"/>
      <c r="B12" s="1097"/>
      <c r="C12" s="1097"/>
      <c r="D12" s="1097"/>
      <c r="E12" s="1097"/>
      <c r="F12" s="1097"/>
      <c r="G12" s="1097"/>
      <c r="H12" s="1097"/>
      <c r="I12" s="1097"/>
      <c r="J12" s="1097"/>
      <c r="K12" s="1097"/>
      <c r="L12" s="413"/>
      <c r="M12" s="413"/>
      <c r="N12" s="413"/>
      <c r="O12" s="413"/>
    </row>
    <row r="13" spans="1:16" s="375" customFormat="1" ht="18" customHeight="1" x14ac:dyDescent="0.25">
      <c r="A13" s="1774" t="s">
        <v>1037</v>
      </c>
      <c r="B13" s="1774"/>
      <c r="C13" s="1774"/>
      <c r="D13" s="1774"/>
      <c r="E13" s="1774"/>
      <c r="F13" s="1774"/>
      <c r="G13" s="1774"/>
      <c r="H13" s="1774"/>
      <c r="I13" s="1774"/>
      <c r="J13" s="1774"/>
      <c r="K13" s="1774"/>
      <c r="L13" s="1774"/>
      <c r="M13" s="1774"/>
      <c r="N13" s="1774"/>
      <c r="O13" s="1774"/>
      <c r="P13" s="1774"/>
    </row>
    <row r="14" spans="1:16" ht="15.75" thickBot="1" x14ac:dyDescent="0.3">
      <c r="A14" s="449"/>
      <c r="B14" s="449"/>
      <c r="C14" s="449"/>
      <c r="D14" s="449"/>
      <c r="E14" s="449"/>
      <c r="F14" s="449"/>
      <c r="G14" s="449"/>
      <c r="H14" s="449"/>
      <c r="I14" s="449"/>
      <c r="J14" s="449"/>
      <c r="K14" s="449"/>
      <c r="L14" s="449"/>
      <c r="M14" s="449"/>
      <c r="N14" s="449"/>
      <c r="O14" s="449"/>
    </row>
    <row r="15" spans="1:16" ht="15.75" thickBot="1" x14ac:dyDescent="0.3">
      <c r="A15" s="1760" t="s">
        <v>443</v>
      </c>
      <c r="B15" s="1762" t="s">
        <v>1004</v>
      </c>
      <c r="C15" s="1763"/>
      <c r="D15" s="1763"/>
      <c r="E15" s="1763"/>
      <c r="F15" s="1763"/>
      <c r="G15" s="1764" t="s">
        <v>1005</v>
      </c>
      <c r="H15" s="1763"/>
      <c r="I15" s="1763"/>
      <c r="J15" s="1763"/>
      <c r="K15" s="1765"/>
      <c r="L15" s="1764" t="s">
        <v>1276</v>
      </c>
      <c r="M15" s="1763"/>
      <c r="N15" s="1763"/>
      <c r="O15" s="1763"/>
      <c r="P15" s="1765"/>
    </row>
    <row r="16" spans="1:16" x14ac:dyDescent="0.25">
      <c r="A16" s="1761"/>
      <c r="B16" s="537">
        <f>TestYear-6</f>
        <v>2011</v>
      </c>
      <c r="C16" s="1077">
        <f>TestYear-5</f>
        <v>2012</v>
      </c>
      <c r="D16" s="538">
        <f>TestYear-4</f>
        <v>2013</v>
      </c>
      <c r="E16" s="538">
        <f>TestYear-3</f>
        <v>2014</v>
      </c>
      <c r="F16" s="539">
        <f>TestYear-2</f>
        <v>2015</v>
      </c>
      <c r="G16" s="537">
        <f t="shared" ref="G16:P16" si="0">B16</f>
        <v>2011</v>
      </c>
      <c r="H16" s="1077">
        <f t="shared" si="0"/>
        <v>2012</v>
      </c>
      <c r="I16" s="538">
        <f t="shared" si="0"/>
        <v>2013</v>
      </c>
      <c r="J16" s="538">
        <f t="shared" si="0"/>
        <v>2014</v>
      </c>
      <c r="K16" s="539">
        <f t="shared" si="0"/>
        <v>2015</v>
      </c>
      <c r="L16" s="537">
        <f t="shared" si="0"/>
        <v>2011</v>
      </c>
      <c r="M16" s="1431">
        <f t="shared" si="0"/>
        <v>2012</v>
      </c>
      <c r="N16" s="538">
        <f t="shared" si="0"/>
        <v>2013</v>
      </c>
      <c r="O16" s="538">
        <f t="shared" si="0"/>
        <v>2014</v>
      </c>
      <c r="P16" s="539">
        <f t="shared" si="0"/>
        <v>2015</v>
      </c>
    </row>
    <row r="17" spans="1:16" x14ac:dyDescent="0.25">
      <c r="A17" s="540" t="s">
        <v>507</v>
      </c>
      <c r="B17" s="541">
        <v>3.58</v>
      </c>
      <c r="C17" s="541">
        <v>0.19</v>
      </c>
      <c r="D17" s="542">
        <v>1.24</v>
      </c>
      <c r="E17" s="542">
        <v>3.97</v>
      </c>
      <c r="F17" s="543">
        <v>5.36</v>
      </c>
      <c r="G17" s="544">
        <v>0.8</v>
      </c>
      <c r="H17" s="541">
        <v>1.22</v>
      </c>
      <c r="I17" s="542">
        <v>1.05</v>
      </c>
      <c r="J17" s="542">
        <v>1.1200000000000001</v>
      </c>
      <c r="K17" s="542">
        <v>0.61</v>
      </c>
      <c r="L17" s="544">
        <v>0.8</v>
      </c>
      <c r="M17" s="541">
        <v>1.22</v>
      </c>
      <c r="N17" s="542">
        <v>1.05</v>
      </c>
      <c r="O17" s="542">
        <v>1.1200000000000001</v>
      </c>
      <c r="P17" s="542">
        <v>0.61</v>
      </c>
    </row>
    <row r="18" spans="1:16" ht="15.75" thickBot="1" x14ac:dyDescent="0.3">
      <c r="A18" s="545" t="s">
        <v>508</v>
      </c>
      <c r="B18" s="546">
        <v>1.71</v>
      </c>
      <c r="C18" s="546">
        <v>0.06</v>
      </c>
      <c r="D18" s="547">
        <v>0.47</v>
      </c>
      <c r="E18" s="547">
        <v>1.8</v>
      </c>
      <c r="F18" s="548">
        <v>0.56999999999999995</v>
      </c>
      <c r="G18" s="549">
        <v>0.41</v>
      </c>
      <c r="H18" s="546">
        <v>0.34</v>
      </c>
      <c r="I18" s="547">
        <v>0.44</v>
      </c>
      <c r="J18" s="547">
        <v>0.5</v>
      </c>
      <c r="K18" s="547">
        <v>0.21</v>
      </c>
      <c r="L18" s="549">
        <v>0.41</v>
      </c>
      <c r="M18" s="546">
        <v>0.34</v>
      </c>
      <c r="N18" s="547">
        <v>0.44</v>
      </c>
      <c r="O18" s="547">
        <v>0.5</v>
      </c>
      <c r="P18" s="547">
        <v>0.21</v>
      </c>
    </row>
    <row r="19" spans="1:16" x14ac:dyDescent="0.25">
      <c r="A19" s="43"/>
      <c r="B19" s="43"/>
      <c r="C19" s="43"/>
      <c r="D19" s="43"/>
      <c r="E19" s="43"/>
      <c r="F19" s="43"/>
      <c r="G19" s="43"/>
      <c r="H19" s="43"/>
      <c r="I19" s="43"/>
      <c r="J19" s="43"/>
      <c r="K19" s="43"/>
      <c r="L19" s="449"/>
      <c r="M19" s="449"/>
      <c r="N19" s="449"/>
      <c r="O19" s="449"/>
    </row>
    <row r="20" spans="1:16" ht="15.75" thickBot="1" x14ac:dyDescent="0.3">
      <c r="A20" s="1773" t="s">
        <v>634</v>
      </c>
      <c r="B20" s="1773"/>
      <c r="C20" s="1773"/>
      <c r="D20" s="1773"/>
      <c r="E20" s="1773"/>
      <c r="F20" s="1773"/>
      <c r="G20" s="1773"/>
      <c r="H20" s="1773"/>
      <c r="I20" s="1773"/>
      <c r="J20" s="1773"/>
      <c r="K20" s="1773"/>
      <c r="L20" s="1773"/>
      <c r="M20" s="1773"/>
      <c r="N20" s="1773"/>
      <c r="O20" s="1773"/>
      <c r="P20" s="1773"/>
    </row>
    <row r="21" spans="1:16" ht="15.75" thickBot="1" x14ac:dyDescent="0.3">
      <c r="A21" s="550" t="s">
        <v>507</v>
      </c>
      <c r="B21" s="1772"/>
      <c r="C21" s="1772"/>
      <c r="D21" s="1772"/>
      <c r="E21" s="1772"/>
      <c r="F21" s="551">
        <f>IF(ISERROR(AVERAGE(B17:F17)), "", AVERAGE(B17:F17))</f>
        <v>2.8679999999999999</v>
      </c>
      <c r="G21" s="1771"/>
      <c r="H21" s="1772"/>
      <c r="I21" s="1772"/>
      <c r="J21" s="1772"/>
      <c r="K21" s="551">
        <f>IF(ISERROR(AVERAGE(G17:K17)), "", AVERAGE(G17:K17))</f>
        <v>0.96000000000000019</v>
      </c>
      <c r="L21" s="1771"/>
      <c r="M21" s="1772"/>
      <c r="N21" s="1772"/>
      <c r="O21" s="1772"/>
      <c r="P21" s="551">
        <f>IF(ISERROR(AVERAGE(L17:P17)), "", AVERAGE(L17:P17))</f>
        <v>0.96000000000000019</v>
      </c>
    </row>
    <row r="22" spans="1:16" ht="15.75" thickBot="1" x14ac:dyDescent="0.3">
      <c r="A22" s="552" t="s">
        <v>508</v>
      </c>
      <c r="B22" s="1759"/>
      <c r="C22" s="1759"/>
      <c r="D22" s="1759"/>
      <c r="E22" s="1759"/>
      <c r="F22" s="551">
        <f>IF(ISERROR(AVERAGE(B18:F18)), "", AVERAGE(B18:F18))</f>
        <v>0.92200000000000004</v>
      </c>
      <c r="G22" s="1758"/>
      <c r="H22" s="1759"/>
      <c r="I22" s="1759"/>
      <c r="J22" s="1759"/>
      <c r="K22" s="551">
        <f>IF(ISERROR(AVERAGE(G18:K18)), "", AVERAGE(G18:K18))</f>
        <v>0.38</v>
      </c>
      <c r="L22" s="1758"/>
      <c r="M22" s="1759"/>
      <c r="N22" s="1759"/>
      <c r="O22" s="1759"/>
      <c r="P22" s="551">
        <f>IF(ISERROR(AVERAGE(L18:P18)), "", AVERAGE(L18:P18))</f>
        <v>0.38</v>
      </c>
    </row>
    <row r="23" spans="1:16" x14ac:dyDescent="0.25">
      <c r="A23" s="43"/>
      <c r="B23" s="43"/>
      <c r="C23" s="43"/>
      <c r="D23" s="43"/>
      <c r="E23" s="43"/>
      <c r="F23" s="43"/>
      <c r="G23" s="43"/>
      <c r="H23" s="43"/>
      <c r="I23" s="43"/>
      <c r="J23" s="43"/>
      <c r="K23" s="43"/>
    </row>
    <row r="24" spans="1:16" x14ac:dyDescent="0.25">
      <c r="A24" s="1775" t="s">
        <v>509</v>
      </c>
      <c r="B24" s="1775"/>
      <c r="C24" s="1775"/>
      <c r="D24" s="1775"/>
      <c r="E24" s="1775"/>
      <c r="F24" s="1775"/>
      <c r="G24" s="1775"/>
      <c r="H24" s="1775"/>
      <c r="I24" s="1775"/>
      <c r="J24" s="1775"/>
      <c r="K24" s="1775"/>
    </row>
    <row r="25" spans="1:16" x14ac:dyDescent="0.25">
      <c r="A25" s="1775" t="s">
        <v>510</v>
      </c>
      <c r="B25" s="1775"/>
      <c r="C25" s="1775"/>
      <c r="D25" s="1775"/>
      <c r="E25" s="1775"/>
      <c r="F25" s="1775"/>
      <c r="G25" s="1775"/>
      <c r="H25" s="1775"/>
      <c r="I25" s="1775"/>
      <c r="J25" s="1775"/>
      <c r="K25" s="1775"/>
    </row>
    <row r="26" spans="1:16" x14ac:dyDescent="0.25">
      <c r="A26" s="1098"/>
      <c r="B26" s="1098"/>
      <c r="C26" s="1098"/>
      <c r="D26" s="1098"/>
      <c r="E26" s="1098"/>
      <c r="F26" s="1098"/>
      <c r="G26" s="1098"/>
      <c r="H26" s="1098"/>
      <c r="I26" s="1098"/>
      <c r="J26" s="1098"/>
      <c r="K26" s="1098"/>
    </row>
    <row r="27" spans="1:16" ht="15.75" x14ac:dyDescent="0.25">
      <c r="A27" s="1774" t="s">
        <v>1038</v>
      </c>
      <c r="B27" s="1774"/>
      <c r="C27" s="1774"/>
      <c r="D27" s="1774"/>
      <c r="E27" s="1774"/>
      <c r="F27" s="1774"/>
      <c r="G27" s="1774"/>
      <c r="H27" s="1774"/>
      <c r="I27" s="1774"/>
      <c r="J27" s="1774"/>
      <c r="K27" s="1774"/>
    </row>
    <row r="28" spans="1:16" ht="15.75" thickBot="1" x14ac:dyDescent="0.3"/>
    <row r="29" spans="1:16" ht="51" customHeight="1" thickBot="1" x14ac:dyDescent="0.3">
      <c r="A29" s="1768" t="s">
        <v>914</v>
      </c>
      <c r="B29" s="1769"/>
      <c r="C29" s="1769"/>
      <c r="D29" s="1770"/>
      <c r="E29" s="1778" t="s">
        <v>913</v>
      </c>
      <c r="F29" s="1779"/>
      <c r="G29" s="553">
        <f>B16</f>
        <v>2011</v>
      </c>
      <c r="H29" s="553">
        <f>C16</f>
        <v>2012</v>
      </c>
      <c r="I29" s="553">
        <f>D16</f>
        <v>2013</v>
      </c>
      <c r="J29" s="554">
        <f>E16</f>
        <v>2014</v>
      </c>
      <c r="K29" s="555">
        <f>F16</f>
        <v>2015</v>
      </c>
    </row>
    <row r="30" spans="1:16" ht="20.25" customHeight="1" x14ac:dyDescent="0.25">
      <c r="A30" s="1784" t="s">
        <v>915</v>
      </c>
      <c r="B30" s="1785"/>
      <c r="C30" s="1785"/>
      <c r="D30" s="1786"/>
      <c r="E30" s="1780">
        <v>0.9</v>
      </c>
      <c r="F30" s="1781"/>
      <c r="G30" s="556">
        <v>1</v>
      </c>
      <c r="H30" s="556">
        <v>0.96799999999999997</v>
      </c>
      <c r="I30" s="556">
        <v>0.94399999999999995</v>
      </c>
      <c r="J30" s="556">
        <v>0.92900000000000005</v>
      </c>
      <c r="K30" s="557">
        <v>0.94899999999999995</v>
      </c>
    </row>
    <row r="31" spans="1:16" ht="20.25" customHeight="1" x14ac:dyDescent="0.25">
      <c r="A31" s="1787" t="s">
        <v>916</v>
      </c>
      <c r="B31" s="1788"/>
      <c r="C31" s="1788"/>
      <c r="D31" s="1789"/>
      <c r="E31" s="1776">
        <v>0.9</v>
      </c>
      <c r="F31" s="1777"/>
      <c r="G31" s="1454" t="s">
        <v>266</v>
      </c>
      <c r="H31" s="1454" t="s">
        <v>266</v>
      </c>
      <c r="I31" s="1454" t="s">
        <v>266</v>
      </c>
      <c r="J31" s="1454" t="s">
        <v>266</v>
      </c>
      <c r="K31" s="1454">
        <v>1</v>
      </c>
    </row>
    <row r="32" spans="1:16" ht="20.25" customHeight="1" x14ac:dyDescent="0.25">
      <c r="A32" s="1787" t="s">
        <v>917</v>
      </c>
      <c r="B32" s="1788"/>
      <c r="C32" s="1788"/>
      <c r="D32" s="1789"/>
      <c r="E32" s="1776">
        <v>0.65</v>
      </c>
      <c r="F32" s="1777"/>
      <c r="G32" s="558">
        <v>0.96399999999999997</v>
      </c>
      <c r="H32" s="558">
        <v>0.97</v>
      </c>
      <c r="I32" s="558">
        <v>0.97399999999999998</v>
      </c>
      <c r="J32" s="558">
        <v>0.97</v>
      </c>
      <c r="K32" s="559">
        <v>0.97499999999999998</v>
      </c>
    </row>
    <row r="33" spans="1:11" ht="20.25" customHeight="1" x14ac:dyDescent="0.25">
      <c r="A33" s="1787" t="s">
        <v>918</v>
      </c>
      <c r="B33" s="1788"/>
      <c r="C33" s="1788"/>
      <c r="D33" s="1789"/>
      <c r="E33" s="1776">
        <v>0.9</v>
      </c>
      <c r="F33" s="1777"/>
      <c r="G33" s="558">
        <v>0.96599999999999997</v>
      </c>
      <c r="H33" s="558">
        <v>1</v>
      </c>
      <c r="I33" s="558">
        <v>0.96199999999999997</v>
      </c>
      <c r="J33" s="558">
        <v>1</v>
      </c>
      <c r="K33" s="559">
        <v>1</v>
      </c>
    </row>
    <row r="34" spans="1:11" ht="20.25" customHeight="1" x14ac:dyDescent="0.25">
      <c r="A34" s="1787" t="s">
        <v>919</v>
      </c>
      <c r="B34" s="1788"/>
      <c r="C34" s="1788"/>
      <c r="D34" s="1789"/>
      <c r="E34" s="1776">
        <v>0.8</v>
      </c>
      <c r="F34" s="1777"/>
      <c r="G34" s="558">
        <v>0.89600000000000002</v>
      </c>
      <c r="H34" s="558">
        <v>0.94399999999999995</v>
      </c>
      <c r="I34" s="558">
        <v>0.90200000000000002</v>
      </c>
      <c r="J34" s="558">
        <v>0.98699999999999999</v>
      </c>
      <c r="K34" s="559">
        <v>0.93300000000000005</v>
      </c>
    </row>
    <row r="35" spans="1:11" ht="20.25" customHeight="1" x14ac:dyDescent="0.25">
      <c r="A35" s="1787" t="s">
        <v>920</v>
      </c>
      <c r="B35" s="1788"/>
      <c r="C35" s="1788"/>
      <c r="D35" s="1789"/>
      <c r="E35" s="1776">
        <v>0.8</v>
      </c>
      <c r="F35" s="1777"/>
      <c r="G35" s="558">
        <v>1</v>
      </c>
      <c r="H35" s="558">
        <v>1</v>
      </c>
      <c r="I35" s="558">
        <v>1</v>
      </c>
      <c r="J35" s="558">
        <v>0.92900000000000005</v>
      </c>
      <c r="K35" s="559">
        <v>0.96899999999999997</v>
      </c>
    </row>
    <row r="36" spans="1:11" ht="20.25" customHeight="1" x14ac:dyDescent="0.25">
      <c r="A36" s="1787" t="s">
        <v>921</v>
      </c>
      <c r="B36" s="1788"/>
      <c r="C36" s="1788"/>
      <c r="D36" s="1789"/>
      <c r="E36" s="1776">
        <v>0.8</v>
      </c>
      <c r="F36" s="1777"/>
      <c r="G36" s="1454" t="s">
        <v>266</v>
      </c>
      <c r="H36" s="1454" t="s">
        <v>266</v>
      </c>
      <c r="I36" s="1454" t="s">
        <v>266</v>
      </c>
      <c r="J36" s="1454" t="s">
        <v>266</v>
      </c>
      <c r="K36" s="1454" t="s">
        <v>266</v>
      </c>
    </row>
    <row r="37" spans="1:11" ht="20.25" customHeight="1" x14ac:dyDescent="0.25">
      <c r="A37" s="1787" t="s">
        <v>922</v>
      </c>
      <c r="B37" s="1788"/>
      <c r="C37" s="1788"/>
      <c r="D37" s="1789"/>
      <c r="E37" s="1776">
        <v>0.1</v>
      </c>
      <c r="F37" s="1777"/>
      <c r="G37" s="558">
        <v>0.02</v>
      </c>
      <c r="H37" s="558">
        <v>0.01</v>
      </c>
      <c r="I37" s="558">
        <v>0.01</v>
      </c>
      <c r="J37" s="558">
        <v>0.01</v>
      </c>
      <c r="K37" s="559">
        <v>0.01</v>
      </c>
    </row>
    <row r="38" spans="1:11" ht="20.25" customHeight="1" x14ac:dyDescent="0.25">
      <c r="A38" s="1787" t="s">
        <v>923</v>
      </c>
      <c r="B38" s="1788"/>
      <c r="C38" s="1788"/>
      <c r="D38" s="1789"/>
      <c r="E38" s="1776">
        <v>0.9</v>
      </c>
      <c r="F38" s="1777"/>
      <c r="G38" s="558">
        <v>1</v>
      </c>
      <c r="H38" s="558">
        <v>0.98899999999999999</v>
      </c>
      <c r="I38" s="558">
        <v>0.97299999999999998</v>
      </c>
      <c r="J38" s="558">
        <v>1</v>
      </c>
      <c r="K38" s="559">
        <v>1</v>
      </c>
    </row>
    <row r="39" spans="1:11" ht="20.25" customHeight="1" x14ac:dyDescent="0.25">
      <c r="A39" s="1787" t="s">
        <v>924</v>
      </c>
      <c r="B39" s="1788"/>
      <c r="C39" s="1788"/>
      <c r="D39" s="1789"/>
      <c r="E39" s="1776">
        <v>1</v>
      </c>
      <c r="F39" s="1777"/>
      <c r="G39" s="558">
        <v>1</v>
      </c>
      <c r="H39" s="1454" t="s">
        <v>266</v>
      </c>
      <c r="I39" s="1454" t="s">
        <v>266</v>
      </c>
      <c r="J39" s="558">
        <v>1</v>
      </c>
      <c r="K39" s="559">
        <v>1</v>
      </c>
    </row>
    <row r="40" spans="1:11" ht="20.25" customHeight="1" thickBot="1" x14ac:dyDescent="0.3">
      <c r="A40" s="1790" t="s">
        <v>925</v>
      </c>
      <c r="B40" s="1791"/>
      <c r="C40" s="1791"/>
      <c r="D40" s="1792"/>
      <c r="E40" s="1782">
        <v>0.85</v>
      </c>
      <c r="F40" s="1783"/>
      <c r="G40" s="1454" t="s">
        <v>266</v>
      </c>
      <c r="H40" s="1454" t="s">
        <v>266</v>
      </c>
      <c r="I40" s="560">
        <v>1</v>
      </c>
      <c r="J40" s="560">
        <v>1</v>
      </c>
      <c r="K40" s="561">
        <v>1</v>
      </c>
    </row>
  </sheetData>
  <mergeCells count="48">
    <mergeCell ref="E38:F38"/>
    <mergeCell ref="E39:F39"/>
    <mergeCell ref="E40:F40"/>
    <mergeCell ref="A30:D30"/>
    <mergeCell ref="A31:D31"/>
    <mergeCell ref="A32:D32"/>
    <mergeCell ref="A33:D33"/>
    <mergeCell ref="A34:D34"/>
    <mergeCell ref="A35:D35"/>
    <mergeCell ref="A36:D36"/>
    <mergeCell ref="A37:D37"/>
    <mergeCell ref="A38:D38"/>
    <mergeCell ref="A39:D39"/>
    <mergeCell ref="A40:D40"/>
    <mergeCell ref="E33:F33"/>
    <mergeCell ref="E34:F34"/>
    <mergeCell ref="E35:F35"/>
    <mergeCell ref="E36:F36"/>
    <mergeCell ref="E37:F37"/>
    <mergeCell ref="E29:F29"/>
    <mergeCell ref="E30:F30"/>
    <mergeCell ref="E31:F31"/>
    <mergeCell ref="E32:F32"/>
    <mergeCell ref="A29:D29"/>
    <mergeCell ref="O7:P7"/>
    <mergeCell ref="L15:P15"/>
    <mergeCell ref="L21:O21"/>
    <mergeCell ref="L22:O22"/>
    <mergeCell ref="A20:P20"/>
    <mergeCell ref="A9:P9"/>
    <mergeCell ref="A10:P10"/>
    <mergeCell ref="A11:P11"/>
    <mergeCell ref="A13:P13"/>
    <mergeCell ref="B21:E21"/>
    <mergeCell ref="G21:J21"/>
    <mergeCell ref="A24:K24"/>
    <mergeCell ref="A25:K25"/>
    <mergeCell ref="A27:K27"/>
    <mergeCell ref="B22:E22"/>
    <mergeCell ref="G22:J22"/>
    <mergeCell ref="A15:A16"/>
    <mergeCell ref="B15:F15"/>
    <mergeCell ref="G15:K15"/>
    <mergeCell ref="O1:P1"/>
    <mergeCell ref="O2:P2"/>
    <mergeCell ref="O3:P3"/>
    <mergeCell ref="O4:P4"/>
    <mergeCell ref="O5:P5"/>
  </mergeCells>
  <dataValidations count="1">
    <dataValidation allowBlank="1" showInputMessage="1" showErrorMessage="1" promptTitle="Date Format" prompt="E.g:  &quot;August 1, 2011&quot;" sqref="JE7 TA7 ACW7 AMS7 AWO7 BGK7 BQG7 CAC7 CJY7 CTU7 DDQ7 DNM7 DXI7 EHE7 ERA7 FAW7 FKS7 FUO7 GEK7 GOG7 GYC7 HHY7 HRU7 IBQ7 ILM7 IVI7 JFE7 JPA7 JYW7 KIS7 KSO7 LCK7 LMG7 LWC7 MFY7 MPU7 MZQ7 NJM7 NTI7 ODE7 ONA7 OWW7 PGS7 PQO7 QAK7 QKG7 QUC7 RDY7 RNU7 RXQ7 SHM7 SRI7 TBE7 TLA7 TUW7 UES7 UOO7 UYK7 VIG7 VSC7 WBY7 WLU7 WVQ7"/>
  </dataValidations>
  <pageMargins left="0.7" right="0.7" top="0.75" bottom="0.75" header="0.3" footer="0.3"/>
  <pageSetup scale="63" orientation="portrait" r:id="rId1"/>
  <legacyDrawing r:id="rId2"/>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tabColor theme="9" tint="0.39997558519241921"/>
    <pageSetUpPr fitToPage="1"/>
  </sheetPr>
  <dimension ref="A1:H72"/>
  <sheetViews>
    <sheetView showGridLines="0" zoomScaleNormal="100" workbookViewId="0">
      <selection activeCell="A11" sqref="A11:H36"/>
    </sheetView>
  </sheetViews>
  <sheetFormatPr defaultRowHeight="12.75" x14ac:dyDescent="0.2"/>
  <cols>
    <col min="1" max="1" width="14.140625" style="43" customWidth="1"/>
    <col min="2" max="2" width="42.85546875" style="43" bestFit="1" customWidth="1"/>
    <col min="3" max="8" width="13.7109375" style="43" customWidth="1"/>
    <col min="9" max="16384" width="9.140625" style="43"/>
  </cols>
  <sheetData>
    <row r="1" spans="1:8" x14ac:dyDescent="0.2">
      <c r="F1" s="60"/>
      <c r="G1" s="562" t="s">
        <v>301</v>
      </c>
      <c r="H1" s="1092" t="str">
        <f>EBNUMBER</f>
        <v>EB-2016-0066</v>
      </c>
    </row>
    <row r="2" spans="1:8" x14ac:dyDescent="0.2">
      <c r="F2" s="60"/>
      <c r="G2" s="562" t="s">
        <v>302</v>
      </c>
      <c r="H2" s="62"/>
    </row>
    <row r="3" spans="1:8" x14ac:dyDescent="0.2">
      <c r="F3" s="60"/>
      <c r="G3" s="562" t="s">
        <v>303</v>
      </c>
      <c r="H3" s="62"/>
    </row>
    <row r="4" spans="1:8" x14ac:dyDescent="0.2">
      <c r="F4" s="60"/>
      <c r="G4" s="562" t="s">
        <v>304</v>
      </c>
      <c r="H4" s="62"/>
    </row>
    <row r="5" spans="1:8" x14ac:dyDescent="0.2">
      <c r="F5" s="60"/>
      <c r="G5" s="562" t="s">
        <v>305</v>
      </c>
      <c r="H5" s="63"/>
    </row>
    <row r="6" spans="1:8" x14ac:dyDescent="0.2">
      <c r="F6" s="60"/>
      <c r="G6" s="562"/>
      <c r="H6" s="61"/>
    </row>
    <row r="7" spans="1:8" x14ac:dyDescent="0.2">
      <c r="F7" s="60"/>
      <c r="G7" s="562" t="s">
        <v>306</v>
      </c>
      <c r="H7" s="63"/>
    </row>
    <row r="8" spans="1:8" x14ac:dyDescent="0.2">
      <c r="G8" s="1078"/>
    </row>
    <row r="9" spans="1:8" ht="18" x14ac:dyDescent="0.25">
      <c r="A9" s="1546" t="s">
        <v>427</v>
      </c>
      <c r="B9" s="1546"/>
      <c r="C9" s="1546"/>
      <c r="D9" s="1546"/>
      <c r="E9" s="1546"/>
      <c r="F9" s="1546"/>
      <c r="G9" s="1546"/>
      <c r="H9" s="1546"/>
    </row>
    <row r="10" spans="1:8" ht="18" x14ac:dyDescent="0.25">
      <c r="A10" s="1546" t="s">
        <v>28</v>
      </c>
      <c r="B10" s="1546"/>
      <c r="C10" s="1546"/>
      <c r="D10" s="1546"/>
      <c r="E10" s="1546"/>
      <c r="F10" s="1546"/>
      <c r="G10" s="1546"/>
      <c r="H10" s="1546"/>
    </row>
    <row r="11" spans="1:8" ht="13.5" thickBot="1" x14ac:dyDescent="0.25">
      <c r="A11" s="1486" t="s">
        <v>1430</v>
      </c>
    </row>
    <row r="12" spans="1:8" x14ac:dyDescent="0.2">
      <c r="A12" s="563" t="s">
        <v>27</v>
      </c>
      <c r="B12" s="564" t="s">
        <v>87</v>
      </c>
      <c r="C12" s="1086" t="str">
        <f>F13-3 &amp; " Actual"</f>
        <v>2012 Actual</v>
      </c>
      <c r="D12" s="1094" t="str">
        <f>G13-3 &amp; " Actual"</f>
        <v>2013 Actual</v>
      </c>
      <c r="E12" s="1094" t="str">
        <f>H13-3 &amp; " Actual"</f>
        <v>2014 Actual</v>
      </c>
      <c r="F12" s="1094" t="s">
        <v>1355</v>
      </c>
      <c r="G12" s="1082" t="str">
        <f>"Bridge Year" &amp; CHAR(178)</f>
        <v>Bridge Year²</v>
      </c>
      <c r="H12" s="565" t="s">
        <v>314</v>
      </c>
    </row>
    <row r="13" spans="1:8" x14ac:dyDescent="0.2">
      <c r="A13" s="566"/>
      <c r="B13" s="567"/>
      <c r="C13" s="568">
        <v>2012</v>
      </c>
      <c r="D13" s="568">
        <v>2013</v>
      </c>
      <c r="E13" s="568">
        <v>2014</v>
      </c>
      <c r="F13" s="569">
        <v>2015</v>
      </c>
      <c r="G13" s="569">
        <f>BridgeYear</f>
        <v>2016</v>
      </c>
      <c r="H13" s="570">
        <f>TestYear</f>
        <v>2017</v>
      </c>
    </row>
    <row r="14" spans="1:8" x14ac:dyDescent="0.2">
      <c r="A14" s="566"/>
      <c r="B14" s="571" t="s">
        <v>103</v>
      </c>
      <c r="C14" s="68" t="s">
        <v>104</v>
      </c>
      <c r="D14" s="68" t="s">
        <v>104</v>
      </c>
      <c r="E14" s="68" t="s">
        <v>104</v>
      </c>
      <c r="F14" s="68" t="s">
        <v>105</v>
      </c>
      <c r="G14" s="572" t="s">
        <v>105</v>
      </c>
      <c r="H14" s="573" t="s">
        <v>105</v>
      </c>
    </row>
    <row r="15" spans="1:8" x14ac:dyDescent="0.2">
      <c r="A15" s="1467">
        <v>4082</v>
      </c>
      <c r="B15" s="1468" t="s">
        <v>31</v>
      </c>
      <c r="C15" s="1460">
        <v>16055.1</v>
      </c>
      <c r="D15" s="173">
        <v>0</v>
      </c>
      <c r="E15" s="173">
        <v>0</v>
      </c>
      <c r="F15" s="173">
        <v>0</v>
      </c>
      <c r="G15" s="574">
        <v>0</v>
      </c>
      <c r="H15" s="575">
        <v>0</v>
      </c>
    </row>
    <row r="16" spans="1:8" x14ac:dyDescent="0.2">
      <c r="A16" s="1467">
        <v>4084</v>
      </c>
      <c r="B16" s="1468" t="s">
        <v>1381</v>
      </c>
      <c r="C16" s="173">
        <v>255.5</v>
      </c>
      <c r="D16" s="173">
        <v>0</v>
      </c>
      <c r="E16" s="173">
        <v>0</v>
      </c>
      <c r="F16" s="173">
        <v>0</v>
      </c>
      <c r="G16" s="574">
        <v>0</v>
      </c>
      <c r="H16" s="575">
        <v>0</v>
      </c>
    </row>
    <row r="17" spans="1:8" x14ac:dyDescent="0.2">
      <c r="A17" s="1467">
        <v>4210</v>
      </c>
      <c r="B17" s="1468" t="s">
        <v>1382</v>
      </c>
      <c r="C17" s="173">
        <v>46273.27</v>
      </c>
      <c r="D17" s="173">
        <v>46005.58</v>
      </c>
      <c r="E17" s="173">
        <v>46336.23</v>
      </c>
      <c r="F17" s="173">
        <v>45894.02</v>
      </c>
      <c r="G17" s="574">
        <v>46000</v>
      </c>
      <c r="H17" s="575">
        <v>45947.01</v>
      </c>
    </row>
    <row r="18" spans="1:8" x14ac:dyDescent="0.2">
      <c r="A18" s="1467">
        <v>4215</v>
      </c>
      <c r="B18" s="1468" t="s">
        <v>1383</v>
      </c>
      <c r="C18" s="173">
        <v>21380.720000000001</v>
      </c>
      <c r="D18" s="173">
        <v>50086.04</v>
      </c>
      <c r="E18" s="173">
        <v>14720.03</v>
      </c>
      <c r="F18" s="173">
        <v>0</v>
      </c>
      <c r="G18" s="574">
        <v>5000</v>
      </c>
      <c r="H18" s="575">
        <v>2500</v>
      </c>
    </row>
    <row r="19" spans="1:8" x14ac:dyDescent="0.2">
      <c r="A19" s="1467">
        <v>4220</v>
      </c>
      <c r="B19" s="1468" t="s">
        <v>1384</v>
      </c>
      <c r="C19" s="173">
        <v>376254.17</v>
      </c>
      <c r="D19" s="173">
        <v>227226.32</v>
      </c>
      <c r="E19" s="173">
        <v>2983.2</v>
      </c>
      <c r="F19" s="173">
        <v>0</v>
      </c>
      <c r="G19" s="574">
        <v>0</v>
      </c>
      <c r="H19" s="575">
        <v>0</v>
      </c>
    </row>
    <row r="20" spans="1:8" x14ac:dyDescent="0.2">
      <c r="A20" s="1467">
        <v>4225</v>
      </c>
      <c r="B20" s="1468" t="s">
        <v>30</v>
      </c>
      <c r="C20" s="173">
        <v>108646.19</v>
      </c>
      <c r="D20" s="173">
        <v>111041.39</v>
      </c>
      <c r="E20" s="173">
        <v>107335.98</v>
      </c>
      <c r="F20" s="173">
        <v>120091.65</v>
      </c>
      <c r="G20" s="574">
        <v>126000</v>
      </c>
      <c r="H20" s="575">
        <v>114623.03999999999</v>
      </c>
    </row>
    <row r="21" spans="1:8" x14ac:dyDescent="0.2">
      <c r="A21" s="1467">
        <v>4235</v>
      </c>
      <c r="B21" s="1468" t="s">
        <v>1385</v>
      </c>
      <c r="C21" s="173">
        <v>108922.3</v>
      </c>
      <c r="D21" s="173">
        <v>72073.05</v>
      </c>
      <c r="E21" s="173">
        <v>77124.710000000006</v>
      </c>
      <c r="F21" s="173">
        <v>75228.649999999994</v>
      </c>
      <c r="G21" s="574">
        <v>75000</v>
      </c>
      <c r="H21" s="575">
        <v>83170</v>
      </c>
    </row>
    <row r="22" spans="1:8" x14ac:dyDescent="0.2">
      <c r="A22" s="1467">
        <v>4305</v>
      </c>
      <c r="B22" s="1468" t="s">
        <v>1393</v>
      </c>
      <c r="C22" s="173">
        <v>0</v>
      </c>
      <c r="D22" s="173">
        <v>-459136</v>
      </c>
      <c r="E22" s="173">
        <v>0</v>
      </c>
      <c r="F22" s="173">
        <v>0</v>
      </c>
      <c r="G22" s="574">
        <v>0</v>
      </c>
      <c r="H22" s="575">
        <v>0</v>
      </c>
    </row>
    <row r="23" spans="1:8" x14ac:dyDescent="0.2">
      <c r="A23" s="1467">
        <v>4325</v>
      </c>
      <c r="B23" s="1468" t="s">
        <v>1386</v>
      </c>
      <c r="C23" s="173">
        <v>25.2</v>
      </c>
      <c r="D23" s="173">
        <v>21.9</v>
      </c>
      <c r="E23" s="173">
        <v>0</v>
      </c>
      <c r="F23" s="173">
        <v>0</v>
      </c>
      <c r="G23" s="574">
        <v>0</v>
      </c>
      <c r="H23" s="575">
        <v>0</v>
      </c>
    </row>
    <row r="24" spans="1:8" x14ac:dyDescent="0.2">
      <c r="A24" s="1467">
        <v>4330</v>
      </c>
      <c r="B24" s="1468" t="s">
        <v>1387</v>
      </c>
      <c r="C24" s="173">
        <v>-11775.54</v>
      </c>
      <c r="D24" s="173">
        <v>0</v>
      </c>
      <c r="E24" s="173">
        <v>0</v>
      </c>
      <c r="F24" s="173">
        <v>0</v>
      </c>
      <c r="G24" s="574">
        <v>0</v>
      </c>
      <c r="H24" s="575">
        <v>0</v>
      </c>
    </row>
    <row r="25" spans="1:8" x14ac:dyDescent="0.2">
      <c r="A25" s="1467">
        <v>4355</v>
      </c>
      <c r="B25" s="1468" t="s">
        <v>1388</v>
      </c>
      <c r="C25" s="173">
        <v>20222</v>
      </c>
      <c r="D25" s="173">
        <v>0</v>
      </c>
      <c r="E25" s="173">
        <v>20000</v>
      </c>
      <c r="F25" s="173">
        <v>0</v>
      </c>
      <c r="G25" s="574">
        <v>50259</v>
      </c>
      <c r="H25" s="575">
        <v>0</v>
      </c>
    </row>
    <row r="26" spans="1:8" x14ac:dyDescent="0.2">
      <c r="A26" s="1467">
        <v>4375</v>
      </c>
      <c r="B26" s="1468" t="s">
        <v>1389</v>
      </c>
      <c r="C26" s="173">
        <v>465964.23</v>
      </c>
      <c r="D26" s="173">
        <v>631399.80000000005</v>
      </c>
      <c r="E26" s="173">
        <v>448790.48</v>
      </c>
      <c r="F26" s="173">
        <v>739901.32</v>
      </c>
      <c r="G26" s="574">
        <v>571513.96</v>
      </c>
      <c r="H26" s="575">
        <v>571513.96</v>
      </c>
    </row>
    <row r="27" spans="1:8" x14ac:dyDescent="0.2">
      <c r="A27" s="1467">
        <v>4380</v>
      </c>
      <c r="B27" s="1468" t="s">
        <v>1390</v>
      </c>
      <c r="C27" s="173">
        <v>-144016.53</v>
      </c>
      <c r="D27" s="173">
        <v>-471977.88</v>
      </c>
      <c r="E27" s="173">
        <v>-329184.76</v>
      </c>
      <c r="F27" s="173">
        <v>-329072.17</v>
      </c>
      <c r="G27" s="574">
        <v>-318562.84000000003</v>
      </c>
      <c r="H27" s="575">
        <v>-318562.84000000003</v>
      </c>
    </row>
    <row r="28" spans="1:8" x14ac:dyDescent="0.2">
      <c r="A28" s="1467">
        <v>4390</v>
      </c>
      <c r="B28" s="1468" t="s">
        <v>1391</v>
      </c>
      <c r="C28" s="173">
        <v>925.35</v>
      </c>
      <c r="D28" s="173">
        <v>547.75</v>
      </c>
      <c r="E28" s="173">
        <v>0</v>
      </c>
      <c r="F28" s="173">
        <v>24582.02</v>
      </c>
      <c r="G28" s="574">
        <v>8685.0400000000009</v>
      </c>
      <c r="H28" s="575">
        <v>8685.0400000000009</v>
      </c>
    </row>
    <row r="29" spans="1:8" x14ac:dyDescent="0.2">
      <c r="A29" s="1461">
        <v>6300</v>
      </c>
      <c r="B29" s="797" t="s">
        <v>1392</v>
      </c>
      <c r="C29" s="173">
        <v>11025.72</v>
      </c>
      <c r="D29" s="173">
        <v>16457.400000000001</v>
      </c>
      <c r="E29" s="173">
        <v>6494.4</v>
      </c>
      <c r="F29" s="173">
        <v>136240.97</v>
      </c>
      <c r="G29" s="574">
        <v>0</v>
      </c>
      <c r="H29" s="575">
        <v>0</v>
      </c>
    </row>
    <row r="30" spans="1:8" x14ac:dyDescent="0.2">
      <c r="A30" s="1461">
        <v>4405</v>
      </c>
      <c r="B30" s="797" t="s">
        <v>1395</v>
      </c>
      <c r="C30" s="173">
        <f t="shared" ref="C30:H30" si="0">C61</f>
        <v>79663.100000000006</v>
      </c>
      <c r="D30" s="173">
        <f t="shared" si="0"/>
        <v>189490.89</v>
      </c>
      <c r="E30" s="173">
        <f t="shared" si="0"/>
        <v>183342.62</v>
      </c>
      <c r="F30" s="173">
        <f t="shared" si="0"/>
        <v>42121.89</v>
      </c>
      <c r="G30" s="173">
        <f t="shared" si="0"/>
        <v>42121.89</v>
      </c>
      <c r="H30" s="173">
        <f t="shared" si="0"/>
        <v>42121.89</v>
      </c>
    </row>
    <row r="31" spans="1:8" ht="7.5" customHeight="1" x14ac:dyDescent="0.2">
      <c r="A31" s="1796"/>
      <c r="B31" s="1797"/>
      <c r="C31" s="1797"/>
      <c r="D31" s="1797"/>
      <c r="E31" s="1797"/>
      <c r="F31" s="1797"/>
      <c r="G31" s="1798"/>
      <c r="H31" s="1799"/>
    </row>
    <row r="32" spans="1:8" x14ac:dyDescent="0.2">
      <c r="A32" s="1794" t="s">
        <v>29</v>
      </c>
      <c r="B32" s="1795"/>
      <c r="C32" s="576">
        <f t="shared" ref="C32:H32" si="1">C21</f>
        <v>108922.3</v>
      </c>
      <c r="D32" s="576">
        <f t="shared" si="1"/>
        <v>72073.05</v>
      </c>
      <c r="E32" s="576">
        <f t="shared" si="1"/>
        <v>77124.710000000006</v>
      </c>
      <c r="F32" s="576">
        <f t="shared" si="1"/>
        <v>75228.649999999994</v>
      </c>
      <c r="G32" s="576">
        <f t="shared" si="1"/>
        <v>75000</v>
      </c>
      <c r="H32" s="576">
        <f t="shared" si="1"/>
        <v>83170</v>
      </c>
    </row>
    <row r="33" spans="1:8" x14ac:dyDescent="0.2">
      <c r="A33" s="1794" t="s">
        <v>30</v>
      </c>
      <c r="B33" s="1795"/>
      <c r="C33" s="577">
        <f t="shared" ref="C33:H33" si="2">C20</f>
        <v>108646.19</v>
      </c>
      <c r="D33" s="577">
        <f t="shared" si="2"/>
        <v>111041.39</v>
      </c>
      <c r="E33" s="577">
        <f t="shared" si="2"/>
        <v>107335.98</v>
      </c>
      <c r="F33" s="577">
        <f t="shared" si="2"/>
        <v>120091.65</v>
      </c>
      <c r="G33" s="577">
        <f t="shared" si="2"/>
        <v>126000</v>
      </c>
      <c r="H33" s="577">
        <f t="shared" si="2"/>
        <v>114623.03999999999</v>
      </c>
    </row>
    <row r="34" spans="1:8" x14ac:dyDescent="0.2">
      <c r="A34" s="1794" t="s">
        <v>221</v>
      </c>
      <c r="B34" s="1795"/>
      <c r="C34" s="1469">
        <f t="shared" ref="C34:H34" si="3">C15+C16+C17+C18+C19</f>
        <v>460218.76</v>
      </c>
      <c r="D34" s="1469">
        <f t="shared" si="3"/>
        <v>323317.94</v>
      </c>
      <c r="E34" s="1469">
        <f t="shared" si="3"/>
        <v>64039.46</v>
      </c>
      <c r="F34" s="1469">
        <f t="shared" si="3"/>
        <v>45894.02</v>
      </c>
      <c r="G34" s="1469">
        <f t="shared" si="3"/>
        <v>51000</v>
      </c>
      <c r="H34" s="1469">
        <f t="shared" si="3"/>
        <v>48447.01</v>
      </c>
    </row>
    <row r="35" spans="1:8" ht="13.5" thickBot="1" x14ac:dyDescent="0.25">
      <c r="A35" s="1801" t="s">
        <v>222</v>
      </c>
      <c r="B35" s="1802"/>
      <c r="C35" s="1470">
        <f t="shared" ref="C35:H35" si="4">C22+C23+C24+C25+C26+C27+C28+C30</f>
        <v>411007.80999999994</v>
      </c>
      <c r="D35" s="1470">
        <f t="shared" si="4"/>
        <v>-109653.53999999992</v>
      </c>
      <c r="E35" s="1470">
        <f t="shared" si="4"/>
        <v>322948.33999999997</v>
      </c>
      <c r="F35" s="1470">
        <f t="shared" si="4"/>
        <v>477533.06</v>
      </c>
      <c r="G35" s="1470">
        <f t="shared" si="4"/>
        <v>354017.04999999993</v>
      </c>
      <c r="H35" s="1470">
        <f t="shared" si="4"/>
        <v>303758.04999999993</v>
      </c>
    </row>
    <row r="36" spans="1:8" ht="14.25" thickTop="1" thickBot="1" x14ac:dyDescent="0.25">
      <c r="A36" s="1803" t="s">
        <v>295</v>
      </c>
      <c r="B36" s="1804"/>
      <c r="C36" s="264">
        <f t="shared" ref="C36:H36" si="5">SUM(C32:C35)</f>
        <v>1088795.06</v>
      </c>
      <c r="D36" s="264">
        <f t="shared" si="5"/>
        <v>396778.84000000008</v>
      </c>
      <c r="E36" s="264">
        <f t="shared" si="5"/>
        <v>571448.49</v>
      </c>
      <c r="F36" s="264">
        <f t="shared" si="5"/>
        <v>718747.38</v>
      </c>
      <c r="G36" s="264">
        <f t="shared" si="5"/>
        <v>606017.04999999993</v>
      </c>
      <c r="H36" s="580">
        <f t="shared" si="5"/>
        <v>549998.09999999986</v>
      </c>
    </row>
    <row r="38" spans="1:8" x14ac:dyDescent="0.2">
      <c r="A38" s="423" t="s">
        <v>235</v>
      </c>
      <c r="B38" s="60"/>
      <c r="C38" s="423" t="s">
        <v>109</v>
      </c>
    </row>
    <row r="39" spans="1:8" x14ac:dyDescent="0.2">
      <c r="A39" s="1800" t="s">
        <v>108</v>
      </c>
      <c r="B39" s="1800"/>
      <c r="C39" s="1078">
        <v>4235</v>
      </c>
    </row>
    <row r="40" spans="1:8" x14ac:dyDescent="0.2">
      <c r="A40" s="1800" t="s">
        <v>110</v>
      </c>
      <c r="B40" s="1800"/>
      <c r="C40" s="1078">
        <v>4225</v>
      </c>
    </row>
    <row r="41" spans="1:8" x14ac:dyDescent="0.2">
      <c r="A41" s="1800" t="s">
        <v>111</v>
      </c>
      <c r="B41" s="1800"/>
      <c r="C41" s="1800" t="s">
        <v>183</v>
      </c>
      <c r="D41" s="1800"/>
      <c r="E41" s="1800"/>
      <c r="F41" s="1800"/>
      <c r="G41" s="1800"/>
      <c r="H41" s="1800"/>
    </row>
    <row r="42" spans="1:8" x14ac:dyDescent="0.2">
      <c r="A42" s="1800" t="s">
        <v>112</v>
      </c>
      <c r="B42" s="1800"/>
      <c r="C42" s="1549" t="s">
        <v>79</v>
      </c>
      <c r="D42" s="1549"/>
      <c r="E42" s="1549"/>
      <c r="F42" s="1549"/>
      <c r="G42" s="1549"/>
      <c r="H42" s="1549"/>
    </row>
    <row r="43" spans="1:8" x14ac:dyDescent="0.2">
      <c r="C43" s="1549"/>
      <c r="D43" s="1549"/>
      <c r="E43" s="1549"/>
      <c r="F43" s="1549"/>
      <c r="G43" s="1549"/>
      <c r="H43" s="1549"/>
    </row>
    <row r="45" spans="1:8" x14ac:dyDescent="0.2">
      <c r="A45" s="60" t="s">
        <v>223</v>
      </c>
      <c r="B45" s="83"/>
      <c r="C45" s="1080"/>
      <c r="D45" s="1080"/>
      <c r="E45" s="1080"/>
      <c r="F45" s="1080"/>
      <c r="G45" s="1080"/>
      <c r="H45" s="1080"/>
    </row>
    <row r="46" spans="1:8" x14ac:dyDescent="0.2">
      <c r="A46" s="1793"/>
      <c r="B46" s="1793"/>
      <c r="C46" s="1793"/>
      <c r="D46" s="1793"/>
      <c r="E46" s="1793"/>
      <c r="F46" s="1793"/>
      <c r="G46" s="1793"/>
      <c r="H46" s="1793"/>
    </row>
    <row r="47" spans="1:8" ht="12.75" customHeight="1" x14ac:dyDescent="0.2">
      <c r="A47" s="581" t="s">
        <v>224</v>
      </c>
      <c r="B47" s="582"/>
      <c r="C47" s="582"/>
      <c r="D47" s="582"/>
      <c r="E47" s="582"/>
      <c r="F47" s="582"/>
      <c r="G47" s="582"/>
      <c r="H47" s="582"/>
    </row>
    <row r="48" spans="1:8" x14ac:dyDescent="0.2">
      <c r="A48" s="582"/>
      <c r="B48" s="582"/>
      <c r="C48" s="582"/>
      <c r="D48" s="582"/>
      <c r="E48" s="582"/>
      <c r="F48" s="582"/>
      <c r="G48" s="582"/>
      <c r="H48" s="582"/>
    </row>
    <row r="49" spans="1:8" x14ac:dyDescent="0.2">
      <c r="A49" s="1809" t="s">
        <v>225</v>
      </c>
      <c r="B49" s="1809"/>
      <c r="C49" s="1809"/>
      <c r="D49" s="1809"/>
      <c r="E49" s="1809"/>
      <c r="F49" s="1809"/>
      <c r="G49" s="1809"/>
      <c r="H49" s="1809"/>
    </row>
    <row r="50" spans="1:8" x14ac:dyDescent="0.2">
      <c r="A50" s="1809"/>
      <c r="B50" s="1809"/>
      <c r="C50" s="1809"/>
      <c r="D50" s="1809"/>
      <c r="E50" s="1809"/>
      <c r="F50" s="1809"/>
      <c r="G50" s="1809"/>
      <c r="H50" s="1809"/>
    </row>
    <row r="52" spans="1:8" ht="13.5" thickBot="1" x14ac:dyDescent="0.25">
      <c r="A52" s="60" t="s">
        <v>113</v>
      </c>
    </row>
    <row r="53" spans="1:8" x14ac:dyDescent="0.2">
      <c r="A53" s="583"/>
      <c r="B53" s="584"/>
      <c r="C53" s="1086" t="str">
        <f t="shared" ref="C53:H53" si="6">C12</f>
        <v>2012 Actual</v>
      </c>
      <c r="D53" s="1086" t="str">
        <f t="shared" si="6"/>
        <v>2013 Actual</v>
      </c>
      <c r="E53" s="1086" t="str">
        <f t="shared" si="6"/>
        <v>2014 Actual</v>
      </c>
      <c r="F53" s="1086" t="str">
        <f t="shared" si="6"/>
        <v>2015 Actual</v>
      </c>
      <c r="G53" s="1086" t="str">
        <f t="shared" si="6"/>
        <v>Bridge Year²</v>
      </c>
      <c r="H53" s="585" t="str">
        <f t="shared" si="6"/>
        <v>Test Year</v>
      </c>
    </row>
    <row r="54" spans="1:8" x14ac:dyDescent="0.2">
      <c r="A54" s="586"/>
      <c r="B54" s="587"/>
      <c r="C54" s="588"/>
      <c r="D54" s="588"/>
      <c r="E54" s="588"/>
      <c r="F54" s="588">
        <f>F13</f>
        <v>2015</v>
      </c>
      <c r="G54" s="588">
        <f>G13</f>
        <v>2016</v>
      </c>
      <c r="H54" s="589">
        <f>H13</f>
        <v>2017</v>
      </c>
    </row>
    <row r="55" spans="1:8" x14ac:dyDescent="0.2">
      <c r="A55" s="1810" t="s">
        <v>103</v>
      </c>
      <c r="B55" s="1811"/>
      <c r="C55" s="590" t="str">
        <f t="shared" ref="C55:H55" si="7">IF(C14=0, "", C14)</f>
        <v>CGAAP</v>
      </c>
      <c r="D55" s="590" t="str">
        <f t="shared" si="7"/>
        <v>CGAAP</v>
      </c>
      <c r="E55" s="590" t="str">
        <f t="shared" si="7"/>
        <v>CGAAP</v>
      </c>
      <c r="F55" s="590" t="str">
        <f t="shared" si="7"/>
        <v>MIFRS</v>
      </c>
      <c r="G55" s="590" t="str">
        <f t="shared" si="7"/>
        <v>MIFRS</v>
      </c>
      <c r="H55" s="590" t="str">
        <f t="shared" si="7"/>
        <v>MIFRS</v>
      </c>
    </row>
    <row r="56" spans="1:8" x14ac:dyDescent="0.2">
      <c r="A56" s="1807" t="s">
        <v>1394</v>
      </c>
      <c r="B56" s="1808"/>
      <c r="C56" s="173">
        <v>79663.100000000006</v>
      </c>
      <c r="D56" s="173">
        <v>189490.89</v>
      </c>
      <c r="E56" s="173">
        <v>183342.62</v>
      </c>
      <c r="F56" s="1460">
        <v>42121.89</v>
      </c>
      <c r="G56" s="173">
        <v>42121.89</v>
      </c>
      <c r="H56" s="173">
        <v>42121.89</v>
      </c>
    </row>
    <row r="57" spans="1:8" x14ac:dyDescent="0.2">
      <c r="A57" s="1814"/>
      <c r="B57" s="1815"/>
      <c r="C57" s="173"/>
      <c r="D57" s="173"/>
      <c r="E57" s="173"/>
      <c r="F57" s="173"/>
      <c r="G57" s="173"/>
      <c r="H57" s="173"/>
    </row>
    <row r="58" spans="1:8" x14ac:dyDescent="0.2">
      <c r="A58" s="1816"/>
      <c r="B58" s="1817"/>
      <c r="C58" s="592"/>
      <c r="D58" s="592"/>
      <c r="E58" s="592"/>
      <c r="F58" s="592"/>
      <c r="G58" s="593"/>
      <c r="H58" s="594"/>
    </row>
    <row r="59" spans="1:8" ht="14.25" x14ac:dyDescent="0.2">
      <c r="A59" s="1818" t="s">
        <v>88</v>
      </c>
      <c r="B59" s="1819"/>
      <c r="C59" s="173"/>
      <c r="D59" s="173"/>
      <c r="E59" s="173"/>
      <c r="F59" s="173"/>
      <c r="G59" s="591"/>
      <c r="H59" s="575"/>
    </row>
    <row r="60" spans="1:8" ht="13.5" thickBot="1" x14ac:dyDescent="0.25">
      <c r="A60" s="1820"/>
      <c r="B60" s="1821"/>
      <c r="C60" s="257"/>
      <c r="D60" s="257"/>
      <c r="E60" s="257"/>
      <c r="F60" s="257"/>
      <c r="G60" s="595"/>
      <c r="H60" s="596"/>
    </row>
    <row r="61" spans="1:8" ht="14.25" thickTop="1" thickBot="1" x14ac:dyDescent="0.25">
      <c r="A61" s="1812" t="s">
        <v>295</v>
      </c>
      <c r="B61" s="1813"/>
      <c r="C61" s="264">
        <f t="shared" ref="C61:H61" si="8">SUM(C56:C60)</f>
        <v>79663.100000000006</v>
      </c>
      <c r="D61" s="264">
        <f t="shared" si="8"/>
        <v>189490.89</v>
      </c>
      <c r="E61" s="264">
        <f t="shared" si="8"/>
        <v>183342.62</v>
      </c>
      <c r="F61" s="264">
        <f t="shared" si="8"/>
        <v>42121.89</v>
      </c>
      <c r="G61" s="264">
        <f t="shared" si="8"/>
        <v>42121.89</v>
      </c>
      <c r="H61" s="597">
        <f t="shared" si="8"/>
        <v>42121.89</v>
      </c>
    </row>
    <row r="64" spans="1:8" x14ac:dyDescent="0.2">
      <c r="A64" s="422" t="s">
        <v>11</v>
      </c>
    </row>
    <row r="65" spans="1:8" x14ac:dyDescent="0.2">
      <c r="A65" s="598">
        <v>1</v>
      </c>
      <c r="B65" s="83" t="s">
        <v>867</v>
      </c>
    </row>
    <row r="66" spans="1:8" ht="30.75" customHeight="1" x14ac:dyDescent="0.2">
      <c r="A66" s="598">
        <v>2</v>
      </c>
      <c r="B66" s="1544" t="s">
        <v>1006</v>
      </c>
      <c r="C66" s="1544"/>
      <c r="D66" s="1544"/>
      <c r="E66" s="1544"/>
      <c r="F66" s="1544"/>
      <c r="G66" s="1544"/>
      <c r="H66" s="1544"/>
    </row>
    <row r="67" spans="1:8" ht="30.75" customHeight="1" x14ac:dyDescent="0.2">
      <c r="A67" s="598"/>
    </row>
    <row r="68" spans="1:8" ht="31.5" customHeight="1" x14ac:dyDescent="0.2">
      <c r="A68" s="598"/>
    </row>
    <row r="70" spans="1:8" x14ac:dyDescent="0.2">
      <c r="B70" s="1805"/>
      <c r="C70" s="1806"/>
      <c r="D70" s="1806"/>
      <c r="E70" s="1806"/>
      <c r="F70" s="1806"/>
      <c r="G70" s="1806"/>
      <c r="H70" s="1806"/>
    </row>
    <row r="71" spans="1:8" x14ac:dyDescent="0.2">
      <c r="B71" s="1805"/>
      <c r="C71" s="1806"/>
      <c r="D71" s="1806"/>
      <c r="E71" s="1806"/>
      <c r="F71" s="1806"/>
      <c r="G71" s="1806"/>
      <c r="H71" s="1806"/>
    </row>
    <row r="72" spans="1:8" x14ac:dyDescent="0.2">
      <c r="B72" s="1805"/>
      <c r="C72" s="1806"/>
      <c r="D72" s="1806"/>
      <c r="E72" s="1806"/>
      <c r="F72" s="1806"/>
      <c r="G72" s="1806"/>
      <c r="H72" s="1806"/>
    </row>
  </sheetData>
  <mergeCells count="27">
    <mergeCell ref="B72:H72"/>
    <mergeCell ref="B70:H70"/>
    <mergeCell ref="B71:H71"/>
    <mergeCell ref="A56:B56"/>
    <mergeCell ref="A49:H50"/>
    <mergeCell ref="A55:B55"/>
    <mergeCell ref="A61:B61"/>
    <mergeCell ref="A57:B57"/>
    <mergeCell ref="A58:B58"/>
    <mergeCell ref="A59:B59"/>
    <mergeCell ref="A60:B60"/>
    <mergeCell ref="B66:H66"/>
    <mergeCell ref="A46:H46"/>
    <mergeCell ref="A33:B33"/>
    <mergeCell ref="A34:B34"/>
    <mergeCell ref="A9:H9"/>
    <mergeCell ref="A10:H10"/>
    <mergeCell ref="A31:H31"/>
    <mergeCell ref="A32:B32"/>
    <mergeCell ref="C41:H41"/>
    <mergeCell ref="C42:H43"/>
    <mergeCell ref="A35:B35"/>
    <mergeCell ref="A36:B36"/>
    <mergeCell ref="A39:B39"/>
    <mergeCell ref="A40:B40"/>
    <mergeCell ref="A41:B41"/>
    <mergeCell ref="A42:B42"/>
  </mergeCells>
  <phoneticPr fontId="16" type="noConversion"/>
  <dataValidations disablePrompts="1" count="1">
    <dataValidation type="list" allowBlank="1" showInputMessage="1" showErrorMessage="1" sqref="C14:H14">
      <formula1>"CGAAP, MIFRS, USGAAP, ASPE"</formula1>
    </dataValidation>
  </dataValidations>
  <pageMargins left="0.75" right="0.75" top="1" bottom="1" header="0.5" footer="0.5"/>
  <pageSetup scale="65" orientation="portrait" r:id="rId1"/>
  <headerFooter alignWithMargins="0"/>
</worksheet>
</file>

<file path=xl/worksheets/sheet2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24">
    <tabColor theme="9" tint="0.39997558519241921"/>
    <pageSetUpPr fitToPage="1"/>
  </sheetPr>
  <dimension ref="A1:O141"/>
  <sheetViews>
    <sheetView showGridLines="0" zoomScaleNormal="100" workbookViewId="0">
      <selection activeCell="A9" sqref="A9:H9"/>
    </sheetView>
  </sheetViews>
  <sheetFormatPr defaultRowHeight="15" x14ac:dyDescent="0.25"/>
  <cols>
    <col min="1" max="1" width="30.85546875" style="600" customWidth="1"/>
    <col min="2" max="6" width="18.7109375" style="600" customWidth="1"/>
    <col min="7" max="8" width="15.140625" style="600" customWidth="1"/>
    <col min="9" max="9" width="12.42578125" style="600" customWidth="1"/>
    <col min="10" max="12" width="9.140625" style="600" hidden="1" customWidth="1"/>
    <col min="13" max="14" width="0" style="600" hidden="1" customWidth="1"/>
    <col min="15" max="16384" width="9.140625" style="600"/>
  </cols>
  <sheetData>
    <row r="1" spans="1:10" s="52" customFormat="1" ht="12.75" customHeight="1" x14ac:dyDescent="0.25">
      <c r="A1" s="52">
        <f>+G69+1</f>
        <v>2021</v>
      </c>
      <c r="G1" s="599" t="s">
        <v>301</v>
      </c>
      <c r="H1" s="601" t="str">
        <f>EBNUMBER</f>
        <v>EB-2016-0066</v>
      </c>
      <c r="I1" s="600"/>
      <c r="J1" s="1092"/>
    </row>
    <row r="2" spans="1:10" s="52" customFormat="1" ht="12.75" customHeight="1" x14ac:dyDescent="0.25">
      <c r="G2" s="599" t="s">
        <v>302</v>
      </c>
      <c r="H2" s="51"/>
      <c r="I2" s="600"/>
      <c r="J2" s="601"/>
    </row>
    <row r="3" spans="1:10" s="52" customFormat="1" ht="12.75" customHeight="1" x14ac:dyDescent="0.25">
      <c r="G3" s="599" t="s">
        <v>303</v>
      </c>
      <c r="H3" s="51"/>
      <c r="I3" s="600"/>
      <c r="J3" s="601"/>
    </row>
    <row r="4" spans="1:10" s="52" customFormat="1" ht="12.75" customHeight="1" x14ac:dyDescent="0.25">
      <c r="G4" s="599" t="s">
        <v>304</v>
      </c>
      <c r="H4" s="51"/>
      <c r="I4" s="600"/>
      <c r="J4" s="601"/>
    </row>
    <row r="5" spans="1:10" s="52" customFormat="1" ht="12.75" customHeight="1" x14ac:dyDescent="0.25">
      <c r="G5" s="599" t="s">
        <v>305</v>
      </c>
      <c r="H5" s="1163"/>
      <c r="I5" s="600"/>
      <c r="J5" s="602"/>
    </row>
    <row r="6" spans="1:10" s="52" customFormat="1" ht="12.75" customHeight="1" x14ac:dyDescent="0.25">
      <c r="G6" s="599"/>
      <c r="H6" s="1162"/>
      <c r="I6" s="600"/>
      <c r="J6" s="602"/>
    </row>
    <row r="7" spans="1:10" s="52" customFormat="1" ht="12.75" customHeight="1" x14ac:dyDescent="0.25">
      <c r="G7" s="599" t="s">
        <v>306</v>
      </c>
      <c r="H7" s="1163"/>
      <c r="I7" s="600"/>
      <c r="J7" s="602"/>
    </row>
    <row r="8" spans="1:10" s="52" customFormat="1" ht="12.75" x14ac:dyDescent="0.2">
      <c r="G8" s="204"/>
    </row>
    <row r="9" spans="1:10" s="52" customFormat="1" ht="18" x14ac:dyDescent="0.25">
      <c r="A9" s="1591" t="s">
        <v>172</v>
      </c>
      <c r="B9" s="1591"/>
      <c r="C9" s="1591"/>
      <c r="D9" s="1591"/>
      <c r="E9" s="1591"/>
      <c r="F9" s="1591"/>
      <c r="G9" s="1591"/>
      <c r="H9" s="1591"/>
    </row>
    <row r="10" spans="1:10" s="52" customFormat="1" ht="18" x14ac:dyDescent="0.25">
      <c r="A10" s="1591" t="s">
        <v>1122</v>
      </c>
      <c r="B10" s="1591"/>
      <c r="C10" s="1591"/>
      <c r="D10" s="1591"/>
      <c r="E10" s="1591"/>
      <c r="F10" s="1591"/>
      <c r="G10" s="1591"/>
      <c r="H10" s="1591"/>
    </row>
    <row r="11" spans="1:10" ht="12" customHeight="1" x14ac:dyDescent="0.25"/>
    <row r="12" spans="1:10" ht="53.25" customHeight="1" x14ac:dyDescent="0.25">
      <c r="A12" s="1857" t="s">
        <v>1278</v>
      </c>
      <c r="B12" s="1823"/>
      <c r="C12" s="1823"/>
      <c r="D12" s="1823"/>
      <c r="E12" s="1823"/>
      <c r="F12" s="1823"/>
      <c r="G12" s="1823"/>
      <c r="H12" s="1823"/>
    </row>
    <row r="13" spans="1:10" ht="12" customHeight="1" x14ac:dyDescent="0.25">
      <c r="A13" s="1166"/>
      <c r="B13" s="1166"/>
      <c r="C13" s="1166"/>
      <c r="D13" s="1166"/>
      <c r="E13" s="1166"/>
      <c r="F13" s="1166"/>
      <c r="G13" s="1166"/>
      <c r="H13" s="1166"/>
    </row>
    <row r="14" spans="1:10" ht="66" customHeight="1" x14ac:dyDescent="0.25">
      <c r="A14" s="1857" t="s">
        <v>1279</v>
      </c>
      <c r="B14" s="1823"/>
      <c r="C14" s="1823"/>
      <c r="D14" s="1823"/>
      <c r="E14" s="1823"/>
      <c r="F14" s="1823"/>
      <c r="G14" s="1823"/>
      <c r="H14" s="1823"/>
    </row>
    <row r="15" spans="1:10" ht="12" customHeight="1" x14ac:dyDescent="0.25">
      <c r="A15" s="1167"/>
      <c r="B15" s="1167"/>
      <c r="C15" s="1167"/>
      <c r="D15" s="1167"/>
      <c r="E15" s="1167"/>
      <c r="F15" s="1167"/>
      <c r="G15" s="1167"/>
      <c r="H15" s="1167"/>
    </row>
    <row r="16" spans="1:10" ht="53.25" customHeight="1" x14ac:dyDescent="0.25">
      <c r="A16" s="1857" t="s">
        <v>1280</v>
      </c>
      <c r="B16" s="1823"/>
      <c r="C16" s="1823"/>
      <c r="D16" s="1823"/>
      <c r="E16" s="1823"/>
      <c r="F16" s="1823"/>
      <c r="G16" s="1823"/>
      <c r="H16" s="1823"/>
    </row>
    <row r="17" spans="1:8" ht="12" customHeight="1" x14ac:dyDescent="0.25">
      <c r="A17" s="1167"/>
      <c r="B17" s="1167"/>
      <c r="C17" s="1167"/>
      <c r="D17" s="1167"/>
      <c r="E17" s="1167"/>
      <c r="F17" s="1167"/>
      <c r="G17" s="1167"/>
      <c r="H17" s="1167"/>
    </row>
    <row r="18" spans="1:8" ht="21" customHeight="1" x14ac:dyDescent="0.25">
      <c r="A18" s="1856" t="s">
        <v>1123</v>
      </c>
      <c r="B18" s="1856"/>
      <c r="C18" s="1856"/>
      <c r="D18" s="1856"/>
      <c r="E18" s="1856"/>
      <c r="F18" s="1856"/>
    </row>
    <row r="19" spans="1:8" ht="12" customHeight="1" x14ac:dyDescent="0.25">
      <c r="A19" s="622"/>
      <c r="B19" s="623"/>
      <c r="C19" s="623"/>
      <c r="D19" s="623"/>
      <c r="E19" s="623"/>
      <c r="F19" s="623"/>
    </row>
    <row r="20" spans="1:8" ht="81" customHeight="1" x14ac:dyDescent="0.25">
      <c r="A20" s="1835" t="s">
        <v>1024</v>
      </c>
      <c r="B20" s="1835"/>
      <c r="C20" s="1835"/>
      <c r="D20" s="1835"/>
      <c r="E20" s="1835"/>
      <c r="F20" s="1835"/>
      <c r="G20" s="1835"/>
      <c r="H20" s="1835"/>
    </row>
    <row r="21" spans="1:8" ht="12" customHeight="1" thickBot="1" x14ac:dyDescent="0.3">
      <c r="A21" s="622"/>
      <c r="B21" s="623"/>
      <c r="C21" s="623"/>
      <c r="D21" s="623"/>
      <c r="E21" s="623"/>
      <c r="F21" s="623"/>
    </row>
    <row r="22" spans="1:8" x14ac:dyDescent="0.25">
      <c r="A22" s="1850" t="s">
        <v>939</v>
      </c>
      <c r="B22" s="1851"/>
      <c r="C22" s="1851"/>
      <c r="D22" s="1851"/>
      <c r="E22" s="1851"/>
      <c r="F22" s="1851"/>
      <c r="G22" s="1851"/>
      <c r="H22" s="1852"/>
    </row>
    <row r="23" spans="1:8" x14ac:dyDescent="0.25">
      <c r="A23" s="1853">
        <v>16200.476932061678</v>
      </c>
      <c r="B23" s="1854"/>
      <c r="C23" s="1854"/>
      <c r="D23" s="1854"/>
      <c r="E23" s="1854"/>
      <c r="F23" s="1854"/>
      <c r="G23" s="1854"/>
      <c r="H23" s="1855"/>
    </row>
    <row r="24" spans="1:8" ht="28.5" customHeight="1" x14ac:dyDescent="0.25">
      <c r="A24" s="624"/>
      <c r="B24" s="625">
        <v>2015</v>
      </c>
      <c r="C24" s="625">
        <v>2016</v>
      </c>
      <c r="D24" s="625">
        <v>2017</v>
      </c>
      <c r="E24" s="625">
        <v>2018</v>
      </c>
      <c r="F24" s="625">
        <v>2019</v>
      </c>
      <c r="G24" s="625">
        <v>2020</v>
      </c>
      <c r="H24" s="626" t="s">
        <v>295</v>
      </c>
    </row>
    <row r="25" spans="1:8" ht="12" customHeight="1" x14ac:dyDescent="0.25">
      <c r="A25" s="1826" t="s">
        <v>171</v>
      </c>
      <c r="B25" s="1827"/>
      <c r="C25" s="1827"/>
      <c r="D25" s="1827"/>
      <c r="E25" s="1827"/>
      <c r="F25" s="1827"/>
      <c r="G25" s="1827"/>
      <c r="H25" s="1828"/>
    </row>
    <row r="26" spans="1:8" ht="28.5" customHeight="1" x14ac:dyDescent="0.25">
      <c r="A26" s="1168" t="s">
        <v>940</v>
      </c>
      <c r="B26" s="604">
        <f>B34/$H$40</f>
        <v>5.3237271739321655E-2</v>
      </c>
      <c r="C26" s="604">
        <f t="shared" ref="C26:G30" si="0">C34/$H$40</f>
        <v>5.3237271739321655E-2</v>
      </c>
      <c r="D26" s="604">
        <f t="shared" si="0"/>
        <v>5.3237271739321655E-2</v>
      </c>
      <c r="E26" s="604">
        <f t="shared" si="0"/>
        <v>5.3237271739321655E-2</v>
      </c>
      <c r="F26" s="604">
        <f t="shared" si="0"/>
        <v>5.3237271739321655E-2</v>
      </c>
      <c r="G26" s="605">
        <f t="shared" si="0"/>
        <v>5.3237271739321655E-2</v>
      </c>
      <c r="H26" s="606">
        <f>SUM(B26:G26)</f>
        <v>0.31942363043592992</v>
      </c>
    </row>
    <row r="27" spans="1:8" ht="12" customHeight="1" x14ac:dyDescent="0.25">
      <c r="A27" s="1168" t="s">
        <v>941</v>
      </c>
      <c r="B27" s="1169"/>
      <c r="C27" s="604">
        <f t="shared" si="0"/>
        <v>7.4328191547197608E-2</v>
      </c>
      <c r="D27" s="604">
        <f t="shared" si="0"/>
        <v>7.4328191547197608E-2</v>
      </c>
      <c r="E27" s="604">
        <f t="shared" si="0"/>
        <v>7.4328191547197608E-2</v>
      </c>
      <c r="F27" s="604">
        <f t="shared" si="0"/>
        <v>7.4328191547197608E-2</v>
      </c>
      <c r="G27" s="605">
        <f t="shared" si="0"/>
        <v>7.4328191547197608E-2</v>
      </c>
      <c r="H27" s="606">
        <f>SUM(B27:G27)</f>
        <v>0.37164095773598804</v>
      </c>
    </row>
    <row r="28" spans="1:8" ht="13.5" customHeight="1" x14ac:dyDescent="0.25">
      <c r="A28" s="1168" t="s">
        <v>942</v>
      </c>
      <c r="B28" s="1169"/>
      <c r="C28" s="1169"/>
      <c r="D28" s="604">
        <f t="shared" si="0"/>
        <v>7.7233852957020524E-2</v>
      </c>
      <c r="E28" s="604">
        <f t="shared" si="0"/>
        <v>7.7233852957020524E-2</v>
      </c>
      <c r="F28" s="604">
        <f t="shared" si="0"/>
        <v>7.7233852957020524E-2</v>
      </c>
      <c r="G28" s="605">
        <f t="shared" si="0"/>
        <v>7.7233852957020524E-2</v>
      </c>
      <c r="H28" s="606">
        <f>SUM(B28:G28)</f>
        <v>0.3089354118280821</v>
      </c>
    </row>
    <row r="29" spans="1:8" ht="12" customHeight="1" x14ac:dyDescent="0.25">
      <c r="A29" s="1168" t="s">
        <v>943</v>
      </c>
      <c r="B29" s="1169"/>
      <c r="C29" s="1169"/>
      <c r="D29" s="1170"/>
      <c r="E29" s="604">
        <f t="shared" si="0"/>
        <v>0</v>
      </c>
      <c r="F29" s="604">
        <f t="shared" si="0"/>
        <v>0</v>
      </c>
      <c r="G29" s="605">
        <f t="shared" si="0"/>
        <v>0</v>
      </c>
      <c r="H29" s="606">
        <f>SUM(E29:G29)</f>
        <v>0</v>
      </c>
    </row>
    <row r="30" spans="1:8" ht="12.75" customHeight="1" x14ac:dyDescent="0.25">
      <c r="A30" s="1168" t="s">
        <v>944</v>
      </c>
      <c r="B30" s="1169"/>
      <c r="C30" s="1169"/>
      <c r="D30" s="1170"/>
      <c r="E30" s="1170"/>
      <c r="F30" s="604">
        <f t="shared" si="0"/>
        <v>0</v>
      </c>
      <c r="G30" s="605">
        <f t="shared" si="0"/>
        <v>0</v>
      </c>
      <c r="H30" s="606">
        <f>SUM(F30:G30)</f>
        <v>0</v>
      </c>
    </row>
    <row r="31" spans="1:8" ht="12" customHeight="1" thickBot="1" x14ac:dyDescent="0.3">
      <c r="A31" s="1171" t="s">
        <v>945</v>
      </c>
      <c r="B31" s="1172"/>
      <c r="C31" s="1172"/>
      <c r="D31" s="1172"/>
      <c r="E31" s="1172"/>
      <c r="F31" s="1172"/>
      <c r="G31" s="611">
        <f>G39/$H$40</f>
        <v>0</v>
      </c>
      <c r="H31" s="612">
        <f>SUM(B31:G31)</f>
        <v>0</v>
      </c>
    </row>
    <row r="32" spans="1:8" ht="12" customHeight="1" thickTop="1" x14ac:dyDescent="0.25">
      <c r="A32" s="627" t="s">
        <v>483</v>
      </c>
      <c r="B32" s="628">
        <f>SUM(B26:B31)</f>
        <v>5.3237271739321655E-2</v>
      </c>
      <c r="C32" s="628">
        <f>SUM(C26:C31)</f>
        <v>0.12756546328651927</v>
      </c>
      <c r="D32" s="628">
        <f>SUM(D26:D31)</f>
        <v>0.20479931624353981</v>
      </c>
      <c r="E32" s="628">
        <f>SUM(E26:E29)</f>
        <v>0.20479931624353981</v>
      </c>
      <c r="F32" s="628">
        <f>SUM(F26:F30)</f>
        <v>0.20479931624353981</v>
      </c>
      <c r="G32" s="629">
        <f>SUM(G26:G31)</f>
        <v>0.20479931624353981</v>
      </c>
      <c r="H32" s="630">
        <f>SUM(B32:G32)</f>
        <v>1</v>
      </c>
    </row>
    <row r="33" spans="1:14" x14ac:dyDescent="0.25">
      <c r="A33" s="1829" t="s">
        <v>74</v>
      </c>
      <c r="B33" s="1830"/>
      <c r="C33" s="1830"/>
      <c r="D33" s="1830"/>
      <c r="E33" s="1830"/>
      <c r="F33" s="1830"/>
      <c r="G33" s="1830"/>
      <c r="H33" s="1831"/>
    </row>
    <row r="34" spans="1:14" x14ac:dyDescent="0.25">
      <c r="A34" s="1168" t="str">
        <f t="shared" ref="A34:A39" si="1">A26</f>
        <v>2015 CDM Programs</v>
      </c>
      <c r="B34" s="613">
        <f>1278913.4082499/1000</f>
        <v>1278.9134082498999</v>
      </c>
      <c r="C34" s="613">
        <f>B34</f>
        <v>1278.9134082498999</v>
      </c>
      <c r="D34" s="613">
        <f t="shared" ref="D34:G34" si="2">C34</f>
        <v>1278.9134082498999</v>
      </c>
      <c r="E34" s="613">
        <f t="shared" si="2"/>
        <v>1278.9134082498999</v>
      </c>
      <c r="F34" s="613">
        <f t="shared" si="2"/>
        <v>1278.9134082498999</v>
      </c>
      <c r="G34" s="613">
        <f t="shared" si="2"/>
        <v>1278.9134082498999</v>
      </c>
      <c r="H34" s="615">
        <f>SUM(B34:G34)</f>
        <v>7673.4804494994005</v>
      </c>
    </row>
    <row r="35" spans="1:14" x14ac:dyDescent="0.25">
      <c r="A35" s="1168" t="str">
        <f t="shared" si="1"/>
        <v>2016 CDM Programs</v>
      </c>
      <c r="B35" s="1173"/>
      <c r="C35" s="616">
        <v>1785.578367842355</v>
      </c>
      <c r="D35" s="1174">
        <f>C35</f>
        <v>1785.578367842355</v>
      </c>
      <c r="E35" s="1174">
        <f>D35</f>
        <v>1785.578367842355</v>
      </c>
      <c r="F35" s="1174">
        <f t="shared" ref="F35:G35" si="3">E35</f>
        <v>1785.578367842355</v>
      </c>
      <c r="G35" s="1174">
        <f t="shared" si="3"/>
        <v>1785.578367842355</v>
      </c>
      <c r="H35" s="615">
        <f>SUM(B35:G35)</f>
        <v>8927.8918392117739</v>
      </c>
      <c r="K35" s="600">
        <v>2011</v>
      </c>
      <c r="L35" s="600">
        <v>2012</v>
      </c>
      <c r="M35" s="600">
        <v>2013</v>
      </c>
      <c r="N35" s="600">
        <v>2014</v>
      </c>
    </row>
    <row r="36" spans="1:14" x14ac:dyDescent="0.25">
      <c r="A36" s="1168" t="str">
        <f t="shared" si="1"/>
        <v>2017 CDM Programs</v>
      </c>
      <c r="B36" s="1173"/>
      <c r="C36" s="1173"/>
      <c r="D36" s="616">
        <v>1855.3807678423552</v>
      </c>
      <c r="E36" s="1174">
        <f>D36</f>
        <v>1855.3807678423552</v>
      </c>
      <c r="F36" s="1174">
        <f t="shared" ref="F36:G36" si="4">E36</f>
        <v>1855.3807678423552</v>
      </c>
      <c r="G36" s="1174">
        <f t="shared" si="4"/>
        <v>1855.3807678423552</v>
      </c>
      <c r="H36" s="615">
        <f>SUM(B36:G36)</f>
        <v>7421.5230713694209</v>
      </c>
      <c r="J36" s="600" t="s">
        <v>1272</v>
      </c>
      <c r="K36" s="608">
        <f>50%</f>
        <v>0.5</v>
      </c>
      <c r="L36" s="609">
        <v>1</v>
      </c>
      <c r="M36" s="610">
        <v>1</v>
      </c>
      <c r="N36" s="610">
        <v>1</v>
      </c>
    </row>
    <row r="37" spans="1:14" x14ac:dyDescent="0.25">
      <c r="A37" s="1168" t="str">
        <f t="shared" si="1"/>
        <v>2018 CDM Programs</v>
      </c>
      <c r="B37" s="1173"/>
      <c r="C37" s="1173"/>
      <c r="D37" s="1173"/>
      <c r="E37" s="613"/>
      <c r="F37" s="613"/>
      <c r="G37" s="614"/>
      <c r="H37" s="615">
        <f>SUM(E37:G37)</f>
        <v>0</v>
      </c>
      <c r="J37" s="600" t="s">
        <v>1273</v>
      </c>
      <c r="L37" s="609">
        <v>0.5</v>
      </c>
      <c r="M37" s="610">
        <v>1</v>
      </c>
      <c r="N37" s="610">
        <v>1</v>
      </c>
    </row>
    <row r="38" spans="1:14" x14ac:dyDescent="0.25">
      <c r="A38" s="1168" t="str">
        <f t="shared" si="1"/>
        <v>2019 CDM Programs</v>
      </c>
      <c r="B38" s="1173"/>
      <c r="C38" s="1173"/>
      <c r="D38" s="1173"/>
      <c r="E38" s="1173"/>
      <c r="F38" s="613"/>
      <c r="G38" s="614"/>
      <c r="H38" s="615">
        <f>SUM(F38:G38)</f>
        <v>0</v>
      </c>
      <c r="J38" s="600" t="s">
        <v>1274</v>
      </c>
      <c r="M38" s="610">
        <v>0.5</v>
      </c>
      <c r="N38" s="610">
        <v>1</v>
      </c>
    </row>
    <row r="39" spans="1:14" ht="15.75" thickBot="1" x14ac:dyDescent="0.3">
      <c r="A39" s="1171" t="str">
        <f t="shared" si="1"/>
        <v>2020 CDM Programs</v>
      </c>
      <c r="B39" s="1175"/>
      <c r="C39" s="1175"/>
      <c r="D39" s="1175"/>
      <c r="E39" s="1175"/>
      <c r="F39" s="1175"/>
      <c r="G39" s="617"/>
      <c r="H39" s="618">
        <f>SUM(B39:G39)</f>
        <v>0</v>
      </c>
      <c r="J39" s="600" t="s">
        <v>1275</v>
      </c>
      <c r="N39" s="610">
        <v>0.5</v>
      </c>
    </row>
    <row r="40" spans="1:14" ht="16.5" thickTop="1" thickBot="1" x14ac:dyDescent="0.3">
      <c r="A40" s="619" t="s">
        <v>483</v>
      </c>
      <c r="B40" s="620">
        <f>SUM(B34:B39)</f>
        <v>1278.9134082498999</v>
      </c>
      <c r="C40" s="620">
        <f>SUM(C34:C39)</f>
        <v>3064.4917760922549</v>
      </c>
      <c r="D40" s="620">
        <f>SUM(D34:D39)</f>
        <v>4919.8725439346099</v>
      </c>
      <c r="E40" s="620">
        <f>SUM(E34:E37)</f>
        <v>4919.8725439346099</v>
      </c>
      <c r="F40" s="620">
        <f>SUM(F34:F38)</f>
        <v>4919.8725439346099</v>
      </c>
      <c r="G40" s="621">
        <f>SUM(G34:G39)</f>
        <v>4919.8725439346099</v>
      </c>
      <c r="H40" s="1489">
        <f>SUM(H34:H39)</f>
        <v>24022.895360080594</v>
      </c>
    </row>
    <row r="41" spans="1:14" ht="12" customHeight="1" x14ac:dyDescent="0.25">
      <c r="A41" s="622"/>
      <c r="B41" s="623"/>
      <c r="C41" s="623"/>
      <c r="D41" s="623"/>
      <c r="E41" s="623"/>
      <c r="F41" s="623"/>
    </row>
    <row r="42" spans="1:14" ht="96.75" customHeight="1" x14ac:dyDescent="0.25">
      <c r="A42" s="1843" t="s">
        <v>1281</v>
      </c>
      <c r="B42" s="1843"/>
      <c r="C42" s="1843"/>
      <c r="D42" s="1843"/>
      <c r="E42" s="1843"/>
      <c r="F42" s="1843"/>
      <c r="H42" s="1176"/>
    </row>
    <row r="43" spans="1:14" x14ac:dyDescent="0.25">
      <c r="A43" s="622"/>
      <c r="B43" s="623"/>
      <c r="C43" s="623"/>
      <c r="D43" s="623"/>
      <c r="E43" s="623"/>
      <c r="F43" s="623"/>
    </row>
    <row r="44" spans="1:14" ht="18.75" x14ac:dyDescent="0.3">
      <c r="A44" s="1844" t="s">
        <v>1124</v>
      </c>
      <c r="B44" s="1844"/>
      <c r="C44" s="1844"/>
      <c r="D44" s="1844"/>
      <c r="E44" s="1844"/>
      <c r="F44" s="1844"/>
      <c r="G44" s="1844"/>
      <c r="H44" s="1844"/>
    </row>
    <row r="45" spans="1:14" x14ac:dyDescent="0.25">
      <c r="A45" s="622"/>
      <c r="B45" s="623"/>
      <c r="C45" s="623"/>
      <c r="D45" s="623"/>
      <c r="E45" s="623"/>
      <c r="F45" s="623"/>
    </row>
    <row r="46" spans="1:14" ht="52.5" customHeight="1" x14ac:dyDescent="0.25">
      <c r="A46" s="1845" t="s">
        <v>1282</v>
      </c>
      <c r="B46" s="1835"/>
      <c r="C46" s="1835"/>
      <c r="D46" s="1835"/>
      <c r="E46" s="1835"/>
      <c r="F46" s="1835"/>
      <c r="G46" s="1835"/>
      <c r="H46" s="1835"/>
    </row>
    <row r="47" spans="1:14" ht="12" customHeight="1" x14ac:dyDescent="0.25">
      <c r="A47" s="622"/>
      <c r="B47" s="623"/>
      <c r="C47" s="623"/>
      <c r="D47" s="623"/>
      <c r="E47" s="623"/>
      <c r="F47" s="623"/>
    </row>
    <row r="48" spans="1:14" ht="44.25" customHeight="1" x14ac:dyDescent="0.25">
      <c r="A48" s="1846" t="s">
        <v>1125</v>
      </c>
      <c r="B48" s="1835"/>
      <c r="C48" s="1835"/>
      <c r="D48" s="1835"/>
      <c r="E48" s="1835"/>
      <c r="F48" s="1835"/>
      <c r="G48" s="1835"/>
      <c r="H48" s="1835"/>
    </row>
    <row r="49" spans="1:8" ht="15.75" thickBot="1" x14ac:dyDescent="0.3">
      <c r="A49" s="1177"/>
      <c r="B49" s="1178"/>
      <c r="C49" s="1178"/>
      <c r="D49" s="1178"/>
      <c r="E49" s="1178"/>
      <c r="F49" s="1178"/>
    </row>
    <row r="50" spans="1:8" ht="13.5" customHeight="1" x14ac:dyDescent="0.25">
      <c r="A50" s="1847" t="s">
        <v>484</v>
      </c>
      <c r="B50" s="1848"/>
      <c r="C50" s="1848"/>
      <c r="D50" s="1848"/>
      <c r="E50" s="1848"/>
      <c r="F50" s="1849"/>
    </row>
    <row r="51" spans="1:8" ht="12.75" customHeight="1" x14ac:dyDescent="0.25">
      <c r="A51" s="631"/>
      <c r="B51" s="632"/>
      <c r="C51" s="632"/>
      <c r="D51" s="632"/>
      <c r="E51" s="632"/>
      <c r="F51" s="633"/>
    </row>
    <row r="52" spans="1:8" ht="14.25" customHeight="1" x14ac:dyDescent="0.25">
      <c r="A52" s="1839" t="s">
        <v>622</v>
      </c>
      <c r="B52" s="1840"/>
      <c r="C52" s="1840"/>
      <c r="D52" s="1840"/>
      <c r="E52" s="1840"/>
      <c r="F52" s="634" t="s">
        <v>623</v>
      </c>
    </row>
    <row r="53" spans="1:8" x14ac:dyDescent="0.25">
      <c r="A53" s="635"/>
      <c r="B53" s="636"/>
      <c r="C53" s="636"/>
      <c r="D53" s="636"/>
      <c r="E53" s="636"/>
      <c r="F53" s="637"/>
    </row>
    <row r="54" spans="1:8" ht="30" x14ac:dyDescent="0.25">
      <c r="A54" s="1179"/>
      <c r="B54" s="1180"/>
      <c r="C54" s="632" t="s">
        <v>492</v>
      </c>
      <c r="D54" s="632" t="s">
        <v>493</v>
      </c>
      <c r="E54" s="632" t="s">
        <v>73</v>
      </c>
      <c r="F54" s="1161" t="s">
        <v>494</v>
      </c>
    </row>
    <row r="55" spans="1:8" x14ac:dyDescent="0.25">
      <c r="A55" s="1841" t="s">
        <v>1126</v>
      </c>
      <c r="B55" s="1842"/>
      <c r="C55" s="638" t="s">
        <v>74</v>
      </c>
      <c r="D55" s="638" t="s">
        <v>74</v>
      </c>
      <c r="E55" s="638" t="s">
        <v>74</v>
      </c>
      <c r="F55" s="639" t="s">
        <v>495</v>
      </c>
    </row>
    <row r="56" spans="1:8" x14ac:dyDescent="0.25">
      <c r="A56" s="1181" t="s">
        <v>496</v>
      </c>
      <c r="B56" s="1182"/>
      <c r="C56" s="640"/>
      <c r="D56" s="640"/>
      <c r="E56" s="641" t="str">
        <f t="shared" ref="E56:E61" si="5">IF(ISBLANK(D56),"",C56-D56)</f>
        <v/>
      </c>
      <c r="F56" s="642"/>
    </row>
    <row r="57" spans="1:8" x14ac:dyDescent="0.25">
      <c r="A57" s="1181" t="s">
        <v>497</v>
      </c>
      <c r="B57" s="1182"/>
      <c r="C57" s="643"/>
      <c r="D57" s="643"/>
      <c r="E57" s="641" t="str">
        <f t="shared" si="5"/>
        <v/>
      </c>
      <c r="F57" s="642"/>
    </row>
    <row r="58" spans="1:8" x14ac:dyDescent="0.25">
      <c r="A58" s="1181" t="s">
        <v>498</v>
      </c>
      <c r="B58" s="1182"/>
      <c r="C58" s="640"/>
      <c r="D58" s="640"/>
      <c r="E58" s="641" t="str">
        <f t="shared" si="5"/>
        <v/>
      </c>
      <c r="F58" s="642"/>
    </row>
    <row r="59" spans="1:8" x14ac:dyDescent="0.25">
      <c r="A59" s="1181" t="s">
        <v>946</v>
      </c>
      <c r="B59" s="1182"/>
      <c r="C59" s="640"/>
      <c r="D59" s="640"/>
      <c r="E59" s="641" t="str">
        <f t="shared" si="5"/>
        <v/>
      </c>
      <c r="F59" s="642"/>
    </row>
    <row r="60" spans="1:8" x14ac:dyDescent="0.25">
      <c r="A60" s="1181" t="s">
        <v>1023</v>
      </c>
      <c r="B60" s="1182"/>
      <c r="C60" s="640"/>
      <c r="D60" s="640"/>
      <c r="E60" s="641" t="str">
        <f t="shared" si="5"/>
        <v/>
      </c>
      <c r="F60" s="642"/>
    </row>
    <row r="61" spans="1:8" ht="15.75" thickBot="1" x14ac:dyDescent="0.3">
      <c r="A61" s="1183" t="s">
        <v>1127</v>
      </c>
      <c r="B61" s="1184"/>
      <c r="C61" s="644"/>
      <c r="D61" s="644"/>
      <c r="E61" s="1185" t="str">
        <f t="shared" si="5"/>
        <v/>
      </c>
      <c r="F61" s="1186"/>
    </row>
    <row r="62" spans="1:8" ht="16.5" thickTop="1" thickBot="1" x14ac:dyDescent="0.3">
      <c r="A62" s="1832" t="s">
        <v>1128</v>
      </c>
      <c r="B62" s="1833"/>
      <c r="C62" s="1187">
        <f>SUM(C56:C61)</f>
        <v>0</v>
      </c>
      <c r="D62" s="1187">
        <f>SUM(D56:D61)</f>
        <v>0</v>
      </c>
      <c r="E62" s="1188">
        <f>C62-D62</f>
        <v>0</v>
      </c>
      <c r="F62" s="645">
        <f>IF(D62=0,0,IF(F52="net",0,E62/D62))</f>
        <v>0</v>
      </c>
    </row>
    <row r="63" spans="1:8" ht="12" customHeight="1" x14ac:dyDescent="0.25">
      <c r="A63" s="646"/>
      <c r="B63" s="646"/>
      <c r="C63" s="1189"/>
      <c r="D63" s="1189"/>
      <c r="E63" s="1190"/>
      <c r="F63" s="647"/>
    </row>
    <row r="64" spans="1:8" ht="33.75" customHeight="1" x14ac:dyDescent="0.25">
      <c r="A64" s="1834" t="s">
        <v>1283</v>
      </c>
      <c r="B64" s="1835"/>
      <c r="C64" s="1835"/>
      <c r="D64" s="1835"/>
      <c r="E64" s="1835"/>
      <c r="F64" s="1835"/>
      <c r="G64" s="1835"/>
      <c r="H64" s="1835"/>
    </row>
    <row r="65" spans="1:8" x14ac:dyDescent="0.25">
      <c r="A65" s="1191"/>
      <c r="B65" s="1191"/>
      <c r="C65" s="1191"/>
      <c r="D65" s="1191"/>
      <c r="E65" s="1191"/>
      <c r="F65" s="1191"/>
      <c r="G65" s="1191"/>
      <c r="H65" s="1191"/>
    </row>
    <row r="66" spans="1:8" ht="35.25" customHeight="1" x14ac:dyDescent="0.25">
      <c r="A66" s="1834" t="s">
        <v>1284</v>
      </c>
      <c r="B66" s="1835"/>
      <c r="C66" s="1835"/>
      <c r="D66" s="1835"/>
      <c r="E66" s="1835"/>
      <c r="F66" s="1835"/>
      <c r="G66" s="1835"/>
      <c r="H66" s="1835"/>
    </row>
    <row r="67" spans="1:8" x14ac:dyDescent="0.25">
      <c r="A67" s="646"/>
      <c r="B67" s="648"/>
      <c r="C67" s="1189"/>
      <c r="D67" s="1189"/>
      <c r="E67" s="1189"/>
      <c r="F67" s="647"/>
    </row>
    <row r="68" spans="1:8" ht="15.75" thickBot="1" x14ac:dyDescent="0.3">
      <c r="A68" s="1836" t="s">
        <v>1129</v>
      </c>
      <c r="B68" s="1836"/>
      <c r="C68" s="1836"/>
      <c r="D68" s="1836"/>
      <c r="E68" s="1836"/>
      <c r="F68" s="1836"/>
      <c r="G68" s="649"/>
    </row>
    <row r="69" spans="1:8" x14ac:dyDescent="0.25">
      <c r="A69" s="650"/>
      <c r="B69" s="651">
        <v>2015</v>
      </c>
      <c r="C69" s="651">
        <v>2016</v>
      </c>
      <c r="D69" s="651">
        <v>2017</v>
      </c>
      <c r="E69" s="651">
        <v>2018</v>
      </c>
      <c r="F69" s="652">
        <v>2019</v>
      </c>
      <c r="G69" s="652">
        <v>2020</v>
      </c>
      <c r="H69" s="653"/>
    </row>
    <row r="70" spans="1:8" ht="51" x14ac:dyDescent="0.25">
      <c r="A70" s="654" t="s">
        <v>485</v>
      </c>
      <c r="B70" s="655">
        <v>0.5</v>
      </c>
      <c r="C70" s="655">
        <v>1</v>
      </c>
      <c r="D70" s="655">
        <v>0.5</v>
      </c>
      <c r="E70" s="1192">
        <v>0</v>
      </c>
      <c r="F70" s="1192">
        <v>0</v>
      </c>
      <c r="G70" s="1192">
        <v>0</v>
      </c>
      <c r="H70" s="656" t="s">
        <v>947</v>
      </c>
    </row>
    <row r="71" spans="1:8" ht="214.5" customHeight="1" thickBot="1" x14ac:dyDescent="0.3">
      <c r="A71" s="657" t="s">
        <v>486</v>
      </c>
      <c r="B71" s="659" t="s">
        <v>1130</v>
      </c>
      <c r="C71" s="658" t="s">
        <v>1022</v>
      </c>
      <c r="D71" s="658" t="s">
        <v>1021</v>
      </c>
      <c r="E71" s="1837" t="s">
        <v>1131</v>
      </c>
      <c r="F71" s="1837"/>
      <c r="G71" s="1837"/>
      <c r="H71" s="645"/>
    </row>
    <row r="72" spans="1:8" x14ac:dyDescent="0.25">
      <c r="A72" s="660"/>
      <c r="B72" s="661"/>
      <c r="C72" s="661"/>
      <c r="D72" s="661"/>
      <c r="E72" s="661"/>
      <c r="F72" s="661"/>
      <c r="G72" s="647"/>
    </row>
    <row r="73" spans="1:8" ht="21.75" customHeight="1" x14ac:dyDescent="0.25">
      <c r="A73" s="1838" t="s">
        <v>1132</v>
      </c>
      <c r="B73" s="1838"/>
      <c r="C73" s="1838"/>
      <c r="D73" s="1838"/>
      <c r="E73" s="1838"/>
      <c r="F73" s="1838"/>
      <c r="G73" s="1838"/>
      <c r="H73" s="1838"/>
    </row>
    <row r="74" spans="1:8" ht="13.5" customHeight="1" x14ac:dyDescent="0.25">
      <c r="A74" s="1159"/>
      <c r="B74" s="1159"/>
      <c r="C74" s="1159"/>
      <c r="D74" s="1159"/>
      <c r="E74" s="1159"/>
      <c r="F74" s="1159"/>
      <c r="G74" s="1159"/>
      <c r="H74" s="1159"/>
    </row>
    <row r="75" spans="1:8" ht="33.75" customHeight="1" x14ac:dyDescent="0.25">
      <c r="A75" s="1823" t="s">
        <v>1133</v>
      </c>
      <c r="B75" s="1823"/>
      <c r="C75" s="1823"/>
      <c r="D75" s="1823"/>
      <c r="E75" s="1823"/>
      <c r="F75" s="1823"/>
      <c r="G75" s="1823"/>
      <c r="H75" s="1823"/>
    </row>
    <row r="76" spans="1:8" ht="13.5" customHeight="1" x14ac:dyDescent="0.25">
      <c r="A76" s="646"/>
      <c r="B76" s="661"/>
      <c r="C76" s="661"/>
      <c r="D76" s="661"/>
      <c r="E76" s="661"/>
      <c r="F76" s="647"/>
    </row>
    <row r="77" spans="1:8" ht="30.75" customHeight="1" x14ac:dyDescent="0.25">
      <c r="A77" s="1824" t="s">
        <v>1285</v>
      </c>
      <c r="B77" s="1823"/>
      <c r="C77" s="1823"/>
      <c r="D77" s="1823"/>
      <c r="E77" s="1823"/>
      <c r="F77" s="1823"/>
      <c r="G77" s="1823"/>
      <c r="H77" s="1823"/>
    </row>
    <row r="78" spans="1:8" x14ac:dyDescent="0.25">
      <c r="A78" s="1193"/>
      <c r="B78" s="1193"/>
      <c r="C78" s="1193"/>
      <c r="D78" s="1193"/>
      <c r="E78" s="1193"/>
      <c r="F78" s="1193"/>
    </row>
    <row r="79" spans="1:8" ht="31.5" customHeight="1" x14ac:dyDescent="0.25">
      <c r="A79" s="1825" t="s">
        <v>1134</v>
      </c>
      <c r="B79" s="1825"/>
      <c r="C79" s="1825"/>
      <c r="D79" s="1825"/>
      <c r="E79" s="1825"/>
      <c r="F79" s="1825"/>
      <c r="G79" s="1825"/>
      <c r="H79" s="1825"/>
    </row>
    <row r="80" spans="1:8" x14ac:dyDescent="0.25">
      <c r="A80" s="1193"/>
      <c r="B80" s="1193"/>
      <c r="C80" s="1193"/>
      <c r="D80" s="1193"/>
      <c r="E80" s="1193"/>
      <c r="F80" s="1193"/>
    </row>
    <row r="81" spans="1:8" ht="30" customHeight="1" x14ac:dyDescent="0.25">
      <c r="A81" s="1823" t="s">
        <v>1135</v>
      </c>
      <c r="B81" s="1823"/>
      <c r="C81" s="1823"/>
      <c r="D81" s="1823"/>
      <c r="E81" s="1823"/>
      <c r="F81" s="1823"/>
      <c r="G81" s="1823"/>
      <c r="H81" s="1823"/>
    </row>
    <row r="82" spans="1:8" ht="12" customHeight="1" x14ac:dyDescent="0.25">
      <c r="A82" s="1193"/>
      <c r="B82" s="1193"/>
      <c r="C82" s="1193"/>
      <c r="D82" s="1193"/>
      <c r="E82" s="1193"/>
      <c r="F82" s="1193"/>
    </row>
    <row r="83" spans="1:8" ht="45.75" customHeight="1" x14ac:dyDescent="0.25">
      <c r="A83" s="1824" t="s">
        <v>1286</v>
      </c>
      <c r="B83" s="1823"/>
      <c r="C83" s="1823"/>
      <c r="D83" s="1823"/>
      <c r="E83" s="1823"/>
      <c r="F83" s="1823"/>
      <c r="G83" s="1823"/>
      <c r="H83" s="1823"/>
    </row>
    <row r="84" spans="1:8" x14ac:dyDescent="0.25">
      <c r="A84" s="1193"/>
      <c r="B84" s="1193"/>
      <c r="C84" s="1193"/>
      <c r="D84" s="1193"/>
      <c r="E84" s="1193"/>
      <c r="F84" s="1193"/>
    </row>
    <row r="85" spans="1:8" ht="33" customHeight="1" x14ac:dyDescent="0.25">
      <c r="A85" s="1823" t="s">
        <v>1140</v>
      </c>
      <c r="B85" s="1823"/>
      <c r="C85" s="1823"/>
      <c r="D85" s="1823"/>
      <c r="E85" s="1823"/>
      <c r="F85" s="1823"/>
      <c r="G85" s="1823"/>
      <c r="H85" s="1823"/>
    </row>
    <row r="86" spans="1:8" ht="15.75" thickBot="1" x14ac:dyDescent="0.3">
      <c r="A86" s="646"/>
      <c r="B86" s="648"/>
      <c r="C86" s="1189"/>
      <c r="D86" s="1189"/>
      <c r="E86" s="1189"/>
      <c r="F86" s="647"/>
    </row>
    <row r="87" spans="1:8" x14ac:dyDescent="0.25">
      <c r="A87" s="1194"/>
      <c r="B87" s="662">
        <v>2015</v>
      </c>
      <c r="C87" s="662">
        <v>2016</v>
      </c>
      <c r="D87" s="1160">
        <v>2017</v>
      </c>
      <c r="E87" s="1195">
        <v>2018</v>
      </c>
      <c r="F87" s="1195">
        <v>2019</v>
      </c>
      <c r="G87" s="662">
        <v>2020</v>
      </c>
      <c r="H87" s="663" t="s">
        <v>1136</v>
      </c>
    </row>
    <row r="88" spans="1:8" x14ac:dyDescent="0.25">
      <c r="A88" s="1196"/>
      <c r="B88" s="1197"/>
      <c r="C88" s="1197"/>
      <c r="D88" s="1197"/>
      <c r="E88" s="1197"/>
      <c r="F88" s="1197"/>
      <c r="G88" s="1197"/>
      <c r="H88" s="1198"/>
    </row>
    <row r="89" spans="1:8" ht="29.25" customHeight="1" thickBot="1" x14ac:dyDescent="0.3">
      <c r="A89" s="1199" t="s">
        <v>1137</v>
      </c>
      <c r="B89" s="1200"/>
      <c r="C89" s="1201">
        <f>D35</f>
        <v>1785.578367842355</v>
      </c>
      <c r="D89" s="1201">
        <f>D36</f>
        <v>1855.3807678423552</v>
      </c>
      <c r="E89" s="1201"/>
      <c r="F89" s="1201"/>
      <c r="G89" s="1202"/>
      <c r="H89" s="1203">
        <f>SUM(B89:G89)</f>
        <v>3640.9591356847104</v>
      </c>
    </row>
    <row r="90" spans="1:8" ht="13.5" customHeight="1" thickTop="1" thickBot="1" x14ac:dyDescent="0.3">
      <c r="A90" s="1204"/>
      <c r="B90" s="1205"/>
      <c r="C90" s="1206"/>
      <c r="D90" s="1206"/>
      <c r="E90" s="1206"/>
      <c r="F90" s="1205"/>
      <c r="G90" s="1205"/>
      <c r="H90" s="1207"/>
    </row>
    <row r="91" spans="1:8" ht="29.25" customHeight="1" thickTop="1" x14ac:dyDescent="0.25">
      <c r="A91" s="1208" t="s">
        <v>1138</v>
      </c>
      <c r="B91" s="664">
        <f>D34*(1+F62)*B70</f>
        <v>639.45670412494997</v>
      </c>
      <c r="C91" s="665">
        <f>C89*(1+F62)*C70</f>
        <v>1785.578367842355</v>
      </c>
      <c r="D91" s="665">
        <f>D89*(1+F62)*D70</f>
        <v>927.69038392117761</v>
      </c>
      <c r="E91" s="665">
        <f>E89*(1+E62)*E70</f>
        <v>0</v>
      </c>
      <c r="F91" s="665">
        <f>F89*(1+F62)*F70</f>
        <v>0</v>
      </c>
      <c r="G91" s="666">
        <f>G89*(1+F62)*G70</f>
        <v>0</v>
      </c>
      <c r="H91" s="667">
        <f>SUM(B91:G91)</f>
        <v>3352.7254558884829</v>
      </c>
    </row>
    <row r="92" spans="1:8" ht="12" customHeight="1" x14ac:dyDescent="0.25">
      <c r="A92" s="1196"/>
      <c r="B92" s="668"/>
      <c r="C92" s="668"/>
      <c r="D92" s="668"/>
      <c r="E92" s="668"/>
      <c r="F92" s="669"/>
      <c r="G92" s="668"/>
      <c r="H92" s="670"/>
    </row>
    <row r="93" spans="1:8" ht="41.25" customHeight="1" x14ac:dyDescent="0.25">
      <c r="A93" s="1211" t="s">
        <v>499</v>
      </c>
      <c r="B93" s="671">
        <v>6.7500000000000004E-2</v>
      </c>
      <c r="C93" s="672" t="s">
        <v>500</v>
      </c>
      <c r="D93" s="673"/>
      <c r="E93" s="672"/>
      <c r="F93" s="672"/>
      <c r="G93" s="674"/>
      <c r="H93" s="675"/>
    </row>
    <row r="94" spans="1:8" ht="21.75" customHeight="1" thickBot="1" x14ac:dyDescent="0.3">
      <c r="A94" s="1209" t="s">
        <v>1139</v>
      </c>
      <c r="B94" s="676">
        <f t="shared" ref="B94:G94" si="6">B91*(1+$B93)</f>
        <v>682.62003165338399</v>
      </c>
      <c r="C94" s="676">
        <f t="shared" si="6"/>
        <v>1906.1049076717138</v>
      </c>
      <c r="D94" s="676">
        <f t="shared" si="6"/>
        <v>990.30948483585701</v>
      </c>
      <c r="E94" s="676">
        <f t="shared" si="6"/>
        <v>0</v>
      </c>
      <c r="F94" s="676">
        <f t="shared" si="6"/>
        <v>0</v>
      </c>
      <c r="G94" s="677">
        <f t="shared" si="6"/>
        <v>0</v>
      </c>
      <c r="H94" s="678">
        <f>SUM(B94:G94)</f>
        <v>3579.0344241609546</v>
      </c>
    </row>
    <row r="95" spans="1:8" ht="15.75" customHeight="1" x14ac:dyDescent="0.25">
      <c r="A95" s="1210"/>
      <c r="B95" s="672"/>
      <c r="C95" s="672"/>
      <c r="D95" s="672"/>
      <c r="E95" s="672"/>
      <c r="F95" s="672"/>
      <c r="G95" s="672"/>
      <c r="H95" s="672"/>
    </row>
    <row r="96" spans="1:8" ht="16.5" customHeight="1" x14ac:dyDescent="0.25">
      <c r="A96" s="1822" t="s">
        <v>1287</v>
      </c>
      <c r="B96" s="1822"/>
      <c r="C96" s="1822"/>
      <c r="D96" s="1822"/>
      <c r="E96" s="1822"/>
      <c r="F96" s="1822"/>
      <c r="G96" s="1822"/>
      <c r="H96" s="1822"/>
    </row>
    <row r="97" ht="62.25" customHeight="1" x14ac:dyDescent="0.25"/>
    <row r="98" ht="288.75" customHeight="1" x14ac:dyDescent="0.25"/>
    <row r="99" ht="12" customHeight="1" x14ac:dyDescent="0.25"/>
    <row r="100" ht="19.5" customHeight="1" x14ac:dyDescent="0.25"/>
    <row r="101" ht="13.5" customHeight="1" x14ac:dyDescent="0.25"/>
    <row r="102" ht="75.75" customHeight="1" x14ac:dyDescent="0.25"/>
    <row r="103" ht="12" customHeight="1" x14ac:dyDescent="0.25"/>
    <row r="104" ht="57.75" customHeight="1" x14ac:dyDescent="0.25"/>
    <row r="105" ht="12" customHeight="1" x14ac:dyDescent="0.25"/>
    <row r="108" ht="29.25" customHeight="1" x14ac:dyDescent="0.25"/>
    <row r="109" ht="12" customHeight="1" x14ac:dyDescent="0.25"/>
    <row r="110" ht="46.5" customHeight="1" x14ac:dyDescent="0.25"/>
    <row r="111" ht="12" customHeight="1" x14ac:dyDescent="0.25"/>
    <row r="112" ht="30" customHeight="1" x14ac:dyDescent="0.25"/>
    <row r="113" spans="1:15" ht="13.5" customHeight="1" x14ac:dyDescent="0.25"/>
    <row r="117" spans="1:15" ht="12" customHeight="1" x14ac:dyDescent="0.25"/>
    <row r="118" spans="1:15" ht="63" customHeight="1" x14ac:dyDescent="0.25"/>
    <row r="119" spans="1:15" ht="12" customHeight="1" x14ac:dyDescent="0.25"/>
    <row r="121" spans="1:15" ht="12" customHeight="1" x14ac:dyDescent="0.25"/>
    <row r="123" spans="1:15" ht="12" customHeight="1" x14ac:dyDescent="0.25"/>
    <row r="125" spans="1:15" x14ac:dyDescent="0.25">
      <c r="I125" s="607"/>
      <c r="J125" s="649"/>
      <c r="O125" s="649"/>
    </row>
    <row r="126" spans="1:15" ht="12" customHeight="1" x14ac:dyDescent="0.25"/>
    <row r="127" spans="1:15" ht="31.5" customHeight="1" x14ac:dyDescent="0.25"/>
    <row r="128" spans="1:15" x14ac:dyDescent="0.25">
      <c r="A128" s="603"/>
      <c r="B128" s="603"/>
      <c r="C128" s="603"/>
      <c r="D128" s="603"/>
      <c r="E128" s="603"/>
      <c r="F128" s="603"/>
    </row>
    <row r="129" spans="1:6" x14ac:dyDescent="0.25">
      <c r="A129" s="679"/>
      <c r="B129" s="603"/>
      <c r="C129" s="603"/>
      <c r="D129" s="603"/>
      <c r="E129" s="603"/>
      <c r="F129" s="603"/>
    </row>
    <row r="130" spans="1:6" x14ac:dyDescent="0.25">
      <c r="A130" s="603"/>
      <c r="B130" s="603"/>
      <c r="C130" s="603"/>
      <c r="D130" s="603"/>
      <c r="E130" s="603"/>
      <c r="F130" s="603"/>
    </row>
    <row r="131" spans="1:6" x14ac:dyDescent="0.25">
      <c r="A131" s="603"/>
      <c r="B131" s="603"/>
      <c r="C131" s="603"/>
      <c r="D131" s="603"/>
      <c r="E131" s="603"/>
      <c r="F131" s="603"/>
    </row>
    <row r="132" spans="1:6" x14ac:dyDescent="0.25">
      <c r="A132" s="603"/>
      <c r="B132" s="603"/>
      <c r="C132" s="603"/>
      <c r="D132" s="603"/>
      <c r="E132" s="603"/>
      <c r="F132" s="603"/>
    </row>
    <row r="133" spans="1:6" x14ac:dyDescent="0.25">
      <c r="A133" s="603"/>
      <c r="B133" s="603"/>
      <c r="C133" s="603"/>
      <c r="D133" s="603"/>
      <c r="E133" s="603"/>
      <c r="F133" s="603"/>
    </row>
    <row r="134" spans="1:6" x14ac:dyDescent="0.25">
      <c r="A134" s="603"/>
      <c r="B134" s="603"/>
      <c r="C134" s="603"/>
      <c r="D134" s="603"/>
      <c r="E134" s="603"/>
      <c r="F134" s="603"/>
    </row>
    <row r="135" spans="1:6" x14ac:dyDescent="0.25">
      <c r="A135" s="603"/>
      <c r="B135" s="603"/>
      <c r="C135" s="603"/>
      <c r="D135" s="603"/>
      <c r="E135" s="603"/>
      <c r="F135" s="603"/>
    </row>
    <row r="136" spans="1:6" x14ac:dyDescent="0.25">
      <c r="A136" s="603"/>
      <c r="B136" s="603"/>
      <c r="C136" s="603"/>
      <c r="D136" s="603"/>
      <c r="E136" s="603"/>
      <c r="F136" s="603"/>
    </row>
    <row r="137" spans="1:6" x14ac:dyDescent="0.25">
      <c r="A137" s="603"/>
      <c r="B137" s="603"/>
      <c r="C137" s="603"/>
      <c r="D137" s="603"/>
      <c r="E137" s="603"/>
      <c r="F137" s="603"/>
    </row>
    <row r="138" spans="1:6" x14ac:dyDescent="0.25">
      <c r="A138" s="603"/>
      <c r="B138" s="603"/>
      <c r="C138" s="603"/>
      <c r="D138" s="603"/>
      <c r="E138" s="603"/>
      <c r="F138" s="603"/>
    </row>
    <row r="139" spans="1:6" x14ac:dyDescent="0.25">
      <c r="A139" s="603"/>
      <c r="B139" s="603"/>
      <c r="C139" s="603"/>
      <c r="D139" s="603"/>
      <c r="E139" s="603"/>
      <c r="F139" s="603"/>
    </row>
    <row r="140" spans="1:6" x14ac:dyDescent="0.25">
      <c r="A140" s="603"/>
      <c r="B140" s="603"/>
      <c r="C140" s="603"/>
      <c r="D140" s="603"/>
      <c r="E140" s="603"/>
      <c r="F140" s="603"/>
    </row>
    <row r="141" spans="1:6" x14ac:dyDescent="0.25">
      <c r="A141" s="603"/>
      <c r="B141" s="603"/>
      <c r="C141" s="603"/>
      <c r="D141" s="603"/>
      <c r="E141" s="603"/>
      <c r="F141" s="603"/>
    </row>
  </sheetData>
  <mergeCells count="31">
    <mergeCell ref="A20:H20"/>
    <mergeCell ref="A22:H22"/>
    <mergeCell ref="A23:H23"/>
    <mergeCell ref="A18:F18"/>
    <mergeCell ref="A9:H9"/>
    <mergeCell ref="A10:H10"/>
    <mergeCell ref="A12:H12"/>
    <mergeCell ref="A14:H14"/>
    <mergeCell ref="A16:H16"/>
    <mergeCell ref="A25:H25"/>
    <mergeCell ref="A33:H33"/>
    <mergeCell ref="A62:B62"/>
    <mergeCell ref="A64:H64"/>
    <mergeCell ref="A85:H85"/>
    <mergeCell ref="A66:H66"/>
    <mergeCell ref="A68:F68"/>
    <mergeCell ref="E71:G71"/>
    <mergeCell ref="A73:H73"/>
    <mergeCell ref="A52:E52"/>
    <mergeCell ref="A55:B55"/>
    <mergeCell ref="A42:F42"/>
    <mergeCell ref="A44:H44"/>
    <mergeCell ref="A46:H46"/>
    <mergeCell ref="A48:H48"/>
    <mergeCell ref="A50:F50"/>
    <mergeCell ref="A96:H96"/>
    <mergeCell ref="A75:H75"/>
    <mergeCell ref="A77:H77"/>
    <mergeCell ref="A79:H79"/>
    <mergeCell ref="A81:H81"/>
    <mergeCell ref="A83:H83"/>
  </mergeCells>
  <conditionalFormatting sqref="H40">
    <cfRule type="expression" dxfId="395" priority="2">
      <formula>$H$40=$A$23</formula>
    </cfRule>
  </conditionalFormatting>
  <conditionalFormatting sqref="H42">
    <cfRule type="expression" dxfId="394" priority="1">
      <formula>$H$40=$A$23</formula>
    </cfRule>
  </conditionalFormatting>
  <dataValidations count="2">
    <dataValidation type="list" allowBlank="1" showInputMessage="1" showErrorMessage="1" sqref="F52">
      <formula1>"net,gross"</formula1>
    </dataValidation>
    <dataValidation type="list" allowBlank="1" showInputMessage="1" showErrorMessage="1" sqref="B70:D70">
      <formula1>"0, 0.5, 1"</formula1>
    </dataValidation>
  </dataValidations>
  <pageMargins left="0.70866141732283472" right="0.70866141732283472" top="0.74803149606299213" bottom="0.74803149606299213" header="0.31496062992125984" footer="0.31496062992125984"/>
  <pageSetup scale="61" fitToHeight="0" orientation="portrait" r:id="rId1"/>
  <rowBreaks count="3" manualBreakCount="3">
    <brk id="47" max="16383" man="1"/>
    <brk id="89" max="16383" man="1"/>
    <brk id="99" max="16383" man="1"/>
  </rowBreaks>
  <legacyDrawing r:id="rId2"/>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tabColor theme="9" tint="0.39997558519241921"/>
    <pageSetUpPr fitToPage="1"/>
  </sheetPr>
  <dimension ref="B1:R45"/>
  <sheetViews>
    <sheetView showGridLines="0" workbookViewId="0"/>
  </sheetViews>
  <sheetFormatPr defaultRowHeight="12.75" x14ac:dyDescent="0.2"/>
  <cols>
    <col min="1" max="1" width="2.5703125" customWidth="1"/>
    <col min="2" max="2" width="4.5703125" customWidth="1"/>
    <col min="3" max="3" width="24" customWidth="1"/>
    <col min="4" max="4" width="14.85546875" customWidth="1"/>
    <col min="5" max="5" width="2.28515625" customWidth="1"/>
    <col min="6" max="6" width="8.7109375" customWidth="1"/>
    <col min="7" max="7" width="16.42578125" customWidth="1"/>
    <col min="8" max="8" width="2.140625" customWidth="1"/>
    <col min="9" max="9" width="13.85546875" customWidth="1"/>
    <col min="11" max="11" width="15.42578125" customWidth="1"/>
    <col min="12" max="12" width="3.42578125" customWidth="1"/>
    <col min="13" max="13" width="12.28515625" customWidth="1"/>
    <col min="14" max="14" width="10.7109375" customWidth="1"/>
    <col min="15" max="15" width="15.28515625" customWidth="1"/>
    <col min="16" max="16" width="3.28515625" customWidth="1"/>
    <col min="17" max="17" width="13.5703125" customWidth="1"/>
    <col min="18" max="18" width="18" customWidth="1"/>
  </cols>
  <sheetData>
    <row r="1" spans="2:18" x14ac:dyDescent="0.2">
      <c r="B1" s="43"/>
      <c r="C1" s="43"/>
      <c r="D1" s="43"/>
      <c r="E1" s="43"/>
      <c r="F1" s="43"/>
      <c r="G1" s="43"/>
      <c r="H1" s="43"/>
      <c r="I1" s="43"/>
      <c r="J1" s="43"/>
      <c r="K1" s="43"/>
      <c r="L1" s="43"/>
      <c r="M1" s="43"/>
      <c r="N1" s="43"/>
      <c r="O1" s="43"/>
      <c r="P1" s="43"/>
      <c r="Q1" s="152" t="s">
        <v>301</v>
      </c>
      <c r="R1" s="123" t="str">
        <f>EBNUMBER</f>
        <v>EB-2016-0066</v>
      </c>
    </row>
    <row r="2" spans="2:18" x14ac:dyDescent="0.2">
      <c r="B2" s="43"/>
      <c r="C2" s="43"/>
      <c r="D2" s="43"/>
      <c r="E2" s="43"/>
      <c r="F2" s="43"/>
      <c r="G2" s="43"/>
      <c r="H2" s="43"/>
      <c r="I2" s="43"/>
      <c r="J2" s="43"/>
      <c r="K2" s="43"/>
      <c r="L2" s="43"/>
      <c r="M2" s="43"/>
      <c r="N2" s="43"/>
      <c r="O2" s="43"/>
      <c r="P2" s="43"/>
      <c r="Q2" s="152" t="s">
        <v>302</v>
      </c>
      <c r="R2" s="124"/>
    </row>
    <row r="3" spans="2:18" x14ac:dyDescent="0.2">
      <c r="B3" s="43"/>
      <c r="C3" s="43"/>
      <c r="D3" s="43"/>
      <c r="E3" s="43"/>
      <c r="F3" s="43"/>
      <c r="G3" s="43"/>
      <c r="H3" s="43"/>
      <c r="I3" s="43"/>
      <c r="J3" s="43"/>
      <c r="K3" s="43"/>
      <c r="L3" s="43"/>
      <c r="M3" s="43"/>
      <c r="N3" s="43"/>
      <c r="O3" s="43"/>
      <c r="P3" s="43"/>
      <c r="Q3" s="152" t="s">
        <v>303</v>
      </c>
      <c r="R3" s="124"/>
    </row>
    <row r="4" spans="2:18" x14ac:dyDescent="0.2">
      <c r="B4" s="43"/>
      <c r="C4" s="43"/>
      <c r="D4" s="43"/>
      <c r="E4" s="43"/>
      <c r="F4" s="43"/>
      <c r="G4" s="43"/>
      <c r="H4" s="43"/>
      <c r="I4" s="43"/>
      <c r="J4" s="43"/>
      <c r="K4" s="43"/>
      <c r="L4" s="43"/>
      <c r="M4" s="43"/>
      <c r="N4" s="43"/>
      <c r="O4" s="43"/>
      <c r="P4" s="43"/>
      <c r="Q4" s="152" t="s">
        <v>304</v>
      </c>
      <c r="R4" s="124"/>
    </row>
    <row r="5" spans="2:18" x14ac:dyDescent="0.2">
      <c r="B5" s="43"/>
      <c r="C5" s="43"/>
      <c r="D5" s="43"/>
      <c r="E5" s="43"/>
      <c r="F5" s="43"/>
      <c r="G5" s="43"/>
      <c r="H5" s="43"/>
      <c r="I5" s="43"/>
      <c r="J5" s="43"/>
      <c r="K5" s="43"/>
      <c r="L5" s="43"/>
      <c r="M5" s="43"/>
      <c r="N5" s="43"/>
      <c r="O5" s="43"/>
      <c r="P5" s="43"/>
      <c r="Q5" s="152" t="s">
        <v>305</v>
      </c>
      <c r="R5" s="125"/>
    </row>
    <row r="6" spans="2:18" x14ac:dyDescent="0.2">
      <c r="B6" s="43"/>
      <c r="C6" s="43"/>
      <c r="D6" s="43"/>
      <c r="E6" s="43"/>
      <c r="F6" s="43"/>
      <c r="G6" s="43"/>
      <c r="H6" s="43"/>
      <c r="I6" s="43"/>
      <c r="J6" s="43"/>
      <c r="K6" s="43"/>
      <c r="L6" s="43"/>
      <c r="M6" s="43"/>
      <c r="N6" s="43"/>
      <c r="O6" s="43"/>
      <c r="P6" s="43"/>
      <c r="Q6" s="152"/>
      <c r="R6" s="1252"/>
    </row>
    <row r="7" spans="2:18" x14ac:dyDescent="0.2">
      <c r="B7" s="43"/>
      <c r="C7" s="43"/>
      <c r="D7" s="43"/>
      <c r="E7" s="43"/>
      <c r="F7" s="43"/>
      <c r="G7" s="43"/>
      <c r="H7" s="43"/>
      <c r="I7" s="43"/>
      <c r="J7" s="43"/>
      <c r="K7" s="43"/>
      <c r="L7" s="43"/>
      <c r="M7" s="43"/>
      <c r="N7" s="43"/>
      <c r="O7" s="43"/>
      <c r="P7" s="43"/>
      <c r="Q7" s="152" t="s">
        <v>306</v>
      </c>
      <c r="R7" s="125"/>
    </row>
    <row r="8" spans="2:18" x14ac:dyDescent="0.2">
      <c r="B8" s="43"/>
      <c r="C8" s="43"/>
      <c r="D8" s="43"/>
      <c r="E8" s="43"/>
      <c r="F8" s="43"/>
      <c r="G8" s="43"/>
      <c r="H8" s="43"/>
      <c r="I8" s="43"/>
    </row>
    <row r="9" spans="2:18" ht="18" x14ac:dyDescent="0.25">
      <c r="B9" s="1591" t="s">
        <v>954</v>
      </c>
      <c r="C9" s="1591"/>
      <c r="D9" s="1591"/>
      <c r="E9" s="1591"/>
      <c r="F9" s="1591"/>
      <c r="G9" s="1591"/>
      <c r="H9" s="1591"/>
      <c r="I9" s="1591"/>
      <c r="J9" s="1591"/>
      <c r="K9" s="1591"/>
      <c r="L9" s="1591"/>
      <c r="M9" s="1591"/>
      <c r="N9" s="1591"/>
      <c r="O9" s="1591"/>
      <c r="P9" s="1591"/>
      <c r="Q9" s="1591"/>
      <c r="R9" s="1591"/>
    </row>
    <row r="10" spans="2:18" ht="18" x14ac:dyDescent="0.2">
      <c r="B10" s="1871" t="s">
        <v>1190</v>
      </c>
      <c r="C10" s="1871"/>
      <c r="D10" s="1871"/>
      <c r="E10" s="1871"/>
      <c r="F10" s="1871"/>
      <c r="G10" s="1871"/>
      <c r="H10" s="1871"/>
      <c r="I10" s="1871"/>
      <c r="J10" s="1871"/>
      <c r="K10" s="1871"/>
      <c r="L10" s="1871"/>
      <c r="M10" s="1871"/>
      <c r="N10" s="1871"/>
      <c r="O10" s="1871"/>
      <c r="P10" s="1871"/>
      <c r="Q10" s="1871"/>
      <c r="R10" s="1871"/>
    </row>
    <row r="12" spans="2:18" x14ac:dyDescent="0.2">
      <c r="B12" s="13" t="s">
        <v>1191</v>
      </c>
    </row>
    <row r="14" spans="2:18" x14ac:dyDescent="0.2">
      <c r="B14" s="13" t="s">
        <v>1192</v>
      </c>
      <c r="C14" s="13" t="s">
        <v>1193</v>
      </c>
    </row>
    <row r="15" spans="2:18" x14ac:dyDescent="0.2">
      <c r="B15" s="13" t="s">
        <v>1194</v>
      </c>
      <c r="C15" s="13" t="s">
        <v>1019</v>
      </c>
    </row>
    <row r="16" spans="2:18" x14ac:dyDescent="0.2">
      <c r="B16" s="13" t="s">
        <v>1195</v>
      </c>
      <c r="C16" s="13" t="s">
        <v>1196</v>
      </c>
    </row>
    <row r="17" spans="2:18" x14ac:dyDescent="0.2">
      <c r="B17" s="13" t="s">
        <v>1197</v>
      </c>
      <c r="C17" s="13" t="s">
        <v>1198</v>
      </c>
    </row>
    <row r="19" spans="2:18" ht="27" customHeight="1" x14ac:dyDescent="0.2">
      <c r="B19" s="1543" t="s">
        <v>1208</v>
      </c>
      <c r="C19" s="1543"/>
      <c r="D19" s="1543"/>
      <c r="E19" s="1543"/>
      <c r="F19" s="1543"/>
      <c r="G19" s="1543"/>
      <c r="H19" s="1543"/>
      <c r="I19" s="1543"/>
      <c r="J19" s="1543"/>
      <c r="K19" s="1543"/>
      <c r="L19" s="1543"/>
      <c r="M19" s="1543"/>
      <c r="N19" s="1543"/>
      <c r="O19" s="1543"/>
      <c r="P19" s="1543"/>
      <c r="Q19" s="1543"/>
      <c r="R19" s="1543"/>
    </row>
    <row r="21" spans="2:18" ht="27.75" customHeight="1" x14ac:dyDescent="0.2">
      <c r="B21" s="1543" t="s">
        <v>1199</v>
      </c>
      <c r="C21" s="1543"/>
      <c r="D21" s="1543"/>
      <c r="E21" s="1543"/>
      <c r="F21" s="1543"/>
      <c r="G21" s="1543"/>
      <c r="H21" s="1543"/>
      <c r="I21" s="1543"/>
      <c r="J21" s="1543"/>
      <c r="K21" s="1543"/>
      <c r="L21" s="1543"/>
      <c r="M21" s="1543"/>
      <c r="N21" s="1543"/>
      <c r="O21" s="1543"/>
      <c r="P21" s="1543"/>
      <c r="Q21" s="1543"/>
      <c r="R21" s="1543"/>
    </row>
    <row r="23" spans="2:18" ht="24.75" customHeight="1" x14ac:dyDescent="0.2">
      <c r="B23" s="1543" t="s">
        <v>1200</v>
      </c>
      <c r="C23" s="1543"/>
      <c r="D23" s="1543"/>
      <c r="E23" s="1543"/>
      <c r="F23" s="1543"/>
      <c r="G23" s="1543"/>
      <c r="H23" s="1543"/>
      <c r="I23" s="1543"/>
      <c r="J23" s="1543"/>
      <c r="K23" s="1543"/>
      <c r="L23" s="1543"/>
      <c r="M23" s="1543"/>
      <c r="N23" s="1543"/>
      <c r="O23" s="1543"/>
      <c r="P23" s="1543"/>
      <c r="Q23" s="1543"/>
      <c r="R23" s="1543"/>
    </row>
    <row r="25" spans="2:18" ht="26.25" customHeight="1" x14ac:dyDescent="0.2">
      <c r="B25" s="1543" t="s">
        <v>1201</v>
      </c>
      <c r="C25" s="1543"/>
      <c r="D25" s="1543"/>
      <c r="E25" s="1543"/>
      <c r="F25" s="1543"/>
      <c r="G25" s="1543"/>
      <c r="H25" s="1543"/>
      <c r="I25" s="1543"/>
      <c r="J25" s="1543"/>
      <c r="K25" s="1543"/>
      <c r="L25" s="1543"/>
      <c r="M25" s="1543"/>
      <c r="N25" s="1543"/>
      <c r="O25" s="1543"/>
      <c r="P25" s="1543"/>
      <c r="Q25" s="1543"/>
      <c r="R25" s="1543"/>
    </row>
    <row r="27" spans="2:18" ht="30.75" customHeight="1" x14ac:dyDescent="0.2">
      <c r="B27" s="1858" t="s">
        <v>1202</v>
      </c>
      <c r="C27" s="1858"/>
      <c r="D27" s="1858"/>
      <c r="E27" s="1858"/>
      <c r="F27" s="1858"/>
      <c r="G27" s="1858"/>
      <c r="H27" s="1858"/>
      <c r="I27" s="1858"/>
      <c r="J27" s="1858"/>
      <c r="K27" s="1858"/>
      <c r="L27" s="1858"/>
      <c r="M27" s="1858"/>
      <c r="N27" s="1858"/>
      <c r="O27" s="1858"/>
      <c r="P27" s="1858"/>
      <c r="Q27" s="1858"/>
      <c r="R27" s="1858"/>
    </row>
    <row r="28" spans="2:18" ht="13.5" thickBot="1" x14ac:dyDescent="0.25"/>
    <row r="29" spans="2:18" x14ac:dyDescent="0.2">
      <c r="C29" s="1264"/>
      <c r="D29" s="1268" t="s">
        <v>1205</v>
      </c>
      <c r="E29" s="1268"/>
      <c r="F29" s="1256" t="s">
        <v>934</v>
      </c>
      <c r="G29" s="1272"/>
      <c r="H29" s="1268"/>
      <c r="I29" s="1859" t="s">
        <v>1213</v>
      </c>
      <c r="J29" s="1860"/>
      <c r="K29" s="1861"/>
      <c r="L29" s="1287"/>
      <c r="M29" s="1862" t="s">
        <v>1212</v>
      </c>
      <c r="N29" s="1863"/>
      <c r="O29" s="1864"/>
      <c r="P29" s="1272"/>
      <c r="Q29" s="1869" t="s">
        <v>1198</v>
      </c>
      <c r="R29" s="1870"/>
    </row>
    <row r="30" spans="2:18" ht="38.25" customHeight="1" thickBot="1" x14ac:dyDescent="0.25">
      <c r="C30" s="1271"/>
      <c r="D30" s="1277" t="s">
        <v>1206</v>
      </c>
      <c r="E30" s="1266"/>
      <c r="F30" s="1274"/>
      <c r="G30" s="1278"/>
      <c r="H30" s="1266"/>
      <c r="I30" s="1284" t="s">
        <v>1209</v>
      </c>
      <c r="J30" s="1867" t="s">
        <v>1210</v>
      </c>
      <c r="K30" s="1868"/>
      <c r="L30" s="1266"/>
      <c r="M30" s="1284" t="s">
        <v>1209</v>
      </c>
      <c r="N30" s="1865" t="s">
        <v>1210</v>
      </c>
      <c r="O30" s="1866"/>
      <c r="P30" s="1266"/>
      <c r="Q30" s="1284" t="s">
        <v>1209</v>
      </c>
      <c r="R30" s="1275" t="s">
        <v>1210</v>
      </c>
    </row>
    <row r="31" spans="2:18" ht="14.25" x14ac:dyDescent="0.2">
      <c r="C31" s="1266" t="s">
        <v>890</v>
      </c>
      <c r="D31" s="1269">
        <v>2011</v>
      </c>
      <c r="E31" s="1265"/>
      <c r="F31" s="1281" t="s">
        <v>413</v>
      </c>
      <c r="G31" s="1259"/>
      <c r="H31" s="1265"/>
      <c r="I31" s="1282" t="s">
        <v>413</v>
      </c>
      <c r="J31" s="1258" t="s">
        <v>1211</v>
      </c>
      <c r="K31" s="1279"/>
      <c r="L31" s="1265"/>
      <c r="M31" s="1282" t="s">
        <v>413</v>
      </c>
      <c r="N31" s="1257" t="s">
        <v>1211</v>
      </c>
      <c r="O31" s="1279"/>
      <c r="P31" s="1265"/>
      <c r="Q31" s="1282" t="s">
        <v>413</v>
      </c>
      <c r="R31" s="1259"/>
    </row>
    <row r="32" spans="2:18" ht="14.25" x14ac:dyDescent="0.2">
      <c r="C32" s="1266" t="s">
        <v>890</v>
      </c>
      <c r="D32" s="1269">
        <v>2012</v>
      </c>
      <c r="E32" s="1265"/>
      <c r="F32" s="1282" t="s">
        <v>413</v>
      </c>
      <c r="G32" s="1259"/>
      <c r="H32" s="1265"/>
      <c r="I32" s="1282" t="s">
        <v>413</v>
      </c>
      <c r="J32" s="1258" t="s">
        <v>1211</v>
      </c>
      <c r="K32" s="1259"/>
      <c r="L32" s="1265"/>
      <c r="M32" s="1282" t="s">
        <v>413</v>
      </c>
      <c r="N32" s="1257" t="s">
        <v>1211</v>
      </c>
      <c r="O32" s="1259"/>
      <c r="P32" s="1265"/>
      <c r="Q32" s="1282" t="s">
        <v>413</v>
      </c>
      <c r="R32" s="1259"/>
    </row>
    <row r="33" spans="2:18" ht="14.25" x14ac:dyDescent="0.2">
      <c r="C33" s="1266" t="s">
        <v>890</v>
      </c>
      <c r="D33" s="1269">
        <v>2013</v>
      </c>
      <c r="E33" s="1265"/>
      <c r="F33" s="1282" t="s">
        <v>413</v>
      </c>
      <c r="G33" s="1260" t="s">
        <v>1207</v>
      </c>
      <c r="H33" s="1265"/>
      <c r="I33" s="1282" t="s">
        <v>413</v>
      </c>
      <c r="J33" s="1258" t="s">
        <v>1211</v>
      </c>
      <c r="K33" s="1260" t="s">
        <v>1207</v>
      </c>
      <c r="L33" s="1265"/>
      <c r="M33" s="1282" t="s">
        <v>413</v>
      </c>
      <c r="N33" s="1257" t="s">
        <v>1211</v>
      </c>
      <c r="O33" s="1260" t="s">
        <v>1207</v>
      </c>
      <c r="P33" s="1265"/>
      <c r="Q33" s="1282" t="s">
        <v>413</v>
      </c>
      <c r="R33" s="1259"/>
    </row>
    <row r="34" spans="2:18" ht="14.25" x14ac:dyDescent="0.2">
      <c r="C34" s="1266" t="s">
        <v>890</v>
      </c>
      <c r="D34" s="1269">
        <v>2014</v>
      </c>
      <c r="E34" s="1265"/>
      <c r="F34" s="1282" t="s">
        <v>413</v>
      </c>
      <c r="G34" s="1259"/>
      <c r="H34" s="1265"/>
      <c r="I34" s="1282" t="s">
        <v>413</v>
      </c>
      <c r="J34" s="1258" t="s">
        <v>1211</v>
      </c>
      <c r="K34" s="1259"/>
      <c r="L34" s="1265"/>
      <c r="M34" s="1282" t="s">
        <v>413</v>
      </c>
      <c r="N34" s="1257" t="s">
        <v>1211</v>
      </c>
      <c r="O34" s="1259"/>
      <c r="P34" s="1265"/>
      <c r="Q34" s="1282" t="s">
        <v>413</v>
      </c>
      <c r="R34" s="1259"/>
    </row>
    <row r="35" spans="2:18" ht="14.25" x14ac:dyDescent="0.2">
      <c r="C35" s="1266" t="s">
        <v>890</v>
      </c>
      <c r="D35" s="1269">
        <v>2015</v>
      </c>
      <c r="E35" s="1265"/>
      <c r="F35" s="1282" t="s">
        <v>413</v>
      </c>
      <c r="G35" s="1259"/>
      <c r="H35" s="1265"/>
      <c r="I35" s="1282" t="s">
        <v>413</v>
      </c>
      <c r="J35" s="1258" t="s">
        <v>1211</v>
      </c>
      <c r="K35" s="1259"/>
      <c r="L35" s="1265"/>
      <c r="M35" s="1282" t="s">
        <v>413</v>
      </c>
      <c r="N35" s="1257" t="s">
        <v>1211</v>
      </c>
      <c r="O35" s="1259"/>
      <c r="P35" s="1265"/>
      <c r="Q35" s="1282" t="s">
        <v>413</v>
      </c>
      <c r="R35" s="1259"/>
    </row>
    <row r="36" spans="2:18" x14ac:dyDescent="0.2">
      <c r="C36" s="1266" t="s">
        <v>1203</v>
      </c>
      <c r="D36" s="1269">
        <v>2016</v>
      </c>
      <c r="E36" s="1265"/>
      <c r="F36" s="1282" t="s">
        <v>86</v>
      </c>
      <c r="G36" s="1259"/>
      <c r="H36" s="1265"/>
      <c r="I36" s="1285"/>
      <c r="J36" s="1258" t="s">
        <v>86</v>
      </c>
      <c r="K36" s="1259"/>
      <c r="L36" s="1265"/>
      <c r="M36" s="1285"/>
      <c r="N36" s="1257" t="s">
        <v>86</v>
      </c>
      <c r="O36" s="1259"/>
      <c r="P36" s="1265"/>
      <c r="Q36" s="1285"/>
      <c r="R36" s="1260" t="s">
        <v>86</v>
      </c>
    </row>
    <row r="37" spans="2:18" ht="13.5" thickBot="1" x14ac:dyDescent="0.25">
      <c r="C37" s="1267" t="s">
        <v>1204</v>
      </c>
      <c r="D37" s="1270">
        <v>2017</v>
      </c>
      <c r="E37" s="1271"/>
      <c r="F37" s="1283" t="s">
        <v>86</v>
      </c>
      <c r="G37" s="1273"/>
      <c r="H37" s="1271"/>
      <c r="I37" s="1286"/>
      <c r="J37" s="1262" t="s">
        <v>86</v>
      </c>
      <c r="K37" s="1273"/>
      <c r="L37" s="1271"/>
      <c r="M37" s="1286"/>
      <c r="N37" s="1261" t="s">
        <v>86</v>
      </c>
      <c r="O37" s="1273"/>
      <c r="P37" s="1271"/>
      <c r="Q37" s="1286"/>
      <c r="R37" s="1263" t="s">
        <v>86</v>
      </c>
    </row>
    <row r="40" spans="2:18" x14ac:dyDescent="0.2">
      <c r="B40" s="3" t="s">
        <v>11</v>
      </c>
    </row>
    <row r="41" spans="2:18" ht="6" customHeight="1" x14ac:dyDescent="0.2"/>
    <row r="42" spans="2:18" ht="31.5" customHeight="1" x14ac:dyDescent="0.2">
      <c r="B42" s="1255" t="s">
        <v>310</v>
      </c>
      <c r="C42" s="1858" t="s">
        <v>1217</v>
      </c>
      <c r="D42" s="1858"/>
      <c r="E42" s="1858"/>
      <c r="F42" s="1858"/>
      <c r="G42" s="1858"/>
      <c r="H42" s="1858"/>
      <c r="I42" s="1858"/>
      <c r="J42" s="1858"/>
      <c r="K42" s="1858"/>
      <c r="L42" s="1858"/>
      <c r="M42" s="1858"/>
      <c r="N42" s="1858"/>
      <c r="O42" s="1858"/>
      <c r="P42" s="1858"/>
      <c r="Q42" s="1858"/>
      <c r="R42" s="1858"/>
    </row>
    <row r="43" spans="2:18" ht="30.75" customHeight="1" x14ac:dyDescent="0.2">
      <c r="B43" s="1255" t="s">
        <v>10</v>
      </c>
      <c r="C43" s="1858" t="s">
        <v>1218</v>
      </c>
      <c r="D43" s="1858"/>
      <c r="E43" s="1858"/>
      <c r="F43" s="1858"/>
      <c r="G43" s="1858"/>
      <c r="H43" s="1858"/>
      <c r="I43" s="1858"/>
      <c r="J43" s="1858"/>
      <c r="K43" s="1858"/>
      <c r="L43" s="1858"/>
      <c r="M43" s="1858"/>
      <c r="N43" s="1858"/>
      <c r="O43" s="1858"/>
      <c r="P43" s="1858"/>
      <c r="Q43" s="1858"/>
      <c r="R43" s="1858"/>
    </row>
    <row r="44" spans="2:18" ht="15" x14ac:dyDescent="0.2">
      <c r="B44" s="1255" t="s">
        <v>34</v>
      </c>
      <c r="C44" s="1858" t="s">
        <v>1219</v>
      </c>
      <c r="D44" s="1858"/>
      <c r="E44" s="1858"/>
      <c r="F44" s="1858"/>
      <c r="G44" s="1858"/>
      <c r="H44" s="1858"/>
      <c r="I44" s="1858"/>
      <c r="J44" s="1858"/>
      <c r="K44" s="1858"/>
      <c r="L44" s="1858"/>
      <c r="M44" s="1858"/>
      <c r="N44" s="1858"/>
      <c r="O44" s="1858"/>
      <c r="P44" s="1858"/>
      <c r="Q44" s="1858"/>
      <c r="R44" s="1858"/>
    </row>
    <row r="45" spans="2:18" ht="15" x14ac:dyDescent="0.2">
      <c r="B45" s="1255" t="s">
        <v>35</v>
      </c>
      <c r="C45" s="1858" t="s">
        <v>1220</v>
      </c>
      <c r="D45" s="1858"/>
      <c r="E45" s="1858"/>
      <c r="F45" s="1858"/>
      <c r="G45" s="1858"/>
      <c r="H45" s="1858"/>
      <c r="I45" s="1858"/>
      <c r="J45" s="1858"/>
      <c r="K45" s="1858"/>
      <c r="L45" s="1858"/>
      <c r="M45" s="1858"/>
      <c r="N45" s="1858"/>
      <c r="O45" s="1858"/>
      <c r="P45" s="1858"/>
      <c r="Q45" s="1858"/>
      <c r="R45" s="1858"/>
    </row>
  </sheetData>
  <sheetProtection password="F8BD" sheet="1" objects="1" scenarios="1"/>
  <mergeCells count="16">
    <mergeCell ref="B10:R10"/>
    <mergeCell ref="B9:R9"/>
    <mergeCell ref="B19:R19"/>
    <mergeCell ref="B21:R21"/>
    <mergeCell ref="B23:R23"/>
    <mergeCell ref="B25:R25"/>
    <mergeCell ref="B27:R27"/>
    <mergeCell ref="C44:R44"/>
    <mergeCell ref="C45:R45"/>
    <mergeCell ref="I29:K29"/>
    <mergeCell ref="M29:O29"/>
    <mergeCell ref="N30:O30"/>
    <mergeCell ref="J30:K30"/>
    <mergeCell ref="C42:R42"/>
    <mergeCell ref="C43:R43"/>
    <mergeCell ref="Q29:R29"/>
  </mergeCells>
  <pageMargins left="0.7" right="0.7" top="0.75" bottom="0.75" header="0.3" footer="0.3"/>
  <pageSetup scale="65" orientation="landscape" verticalDpi="0"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8">
    <tabColor theme="9" tint="0.39997558519241921"/>
    <pageSetUpPr fitToPage="1"/>
  </sheetPr>
  <dimension ref="B1:W489"/>
  <sheetViews>
    <sheetView showGridLines="0" workbookViewId="0">
      <selection activeCell="Q340" sqref="Q340:U348"/>
    </sheetView>
  </sheetViews>
  <sheetFormatPr defaultRowHeight="12.75" x14ac:dyDescent="0.2"/>
  <cols>
    <col min="1" max="1" width="1.7109375" customWidth="1"/>
    <col min="2" max="2" width="3.7109375" customWidth="1"/>
    <col min="3" max="3" width="17.5703125" customWidth="1"/>
    <col min="4" max="4" width="14.85546875" customWidth="1"/>
    <col min="5" max="5" width="2.28515625" customWidth="1"/>
    <col min="6" max="6" width="9.85546875" customWidth="1"/>
    <col min="7" max="8" width="14.85546875" customWidth="1"/>
    <col min="9" max="9" width="14.42578125" customWidth="1"/>
    <col min="10" max="10" width="2.7109375" customWidth="1"/>
    <col min="11" max="11" width="9.7109375" customWidth="1"/>
    <col min="12" max="13" width="13.85546875" customWidth="1"/>
    <col min="14" max="14" width="14.5703125" customWidth="1"/>
    <col min="15" max="15" width="15.42578125" customWidth="1"/>
    <col min="16" max="16" width="2.28515625" customWidth="1"/>
    <col min="17" max="17" width="12.85546875" customWidth="1"/>
    <col min="18" max="18" width="11.85546875" customWidth="1"/>
    <col min="19" max="19" width="11.42578125" customWidth="1"/>
    <col min="20" max="20" width="14" customWidth="1"/>
    <col min="21" max="21" width="13.7109375" customWidth="1"/>
    <col min="22" max="22" width="3.28515625" customWidth="1"/>
    <col min="24" max="25" width="10.140625" bestFit="1" customWidth="1"/>
    <col min="27" max="27" width="10.140625" bestFit="1" customWidth="1"/>
  </cols>
  <sheetData>
    <row r="1" spans="2:22" x14ac:dyDescent="0.2">
      <c r="B1" s="43"/>
      <c r="C1" s="43"/>
      <c r="D1" s="43"/>
      <c r="E1" s="43"/>
      <c r="F1" s="43"/>
      <c r="G1" s="43"/>
      <c r="H1" s="43"/>
      <c r="I1" s="43"/>
      <c r="J1" s="43"/>
      <c r="K1" s="43"/>
      <c r="L1" s="43"/>
      <c r="M1" s="43"/>
      <c r="N1" s="43"/>
      <c r="O1" s="43"/>
      <c r="P1" s="43"/>
      <c r="Q1" s="43"/>
      <c r="R1" s="43"/>
      <c r="S1" s="43"/>
      <c r="T1" s="152" t="s">
        <v>301</v>
      </c>
      <c r="U1" s="123" t="str">
        <f>EBNUMBER</f>
        <v>EB-2016-0066</v>
      </c>
    </row>
    <row r="2" spans="2:22" x14ac:dyDescent="0.2">
      <c r="B2" s="43"/>
      <c r="C2" s="43"/>
      <c r="D2" s="43"/>
      <c r="E2" s="43"/>
      <c r="F2" s="43"/>
      <c r="G2" s="43"/>
      <c r="H2" s="43"/>
      <c r="I2" s="43"/>
      <c r="J2" s="43"/>
      <c r="K2" s="43"/>
      <c r="L2" s="43"/>
      <c r="M2" s="43"/>
      <c r="N2" s="43"/>
      <c r="O2" s="43"/>
      <c r="P2" s="43"/>
      <c r="Q2" s="43"/>
      <c r="R2" s="43"/>
      <c r="S2" s="43"/>
      <c r="T2" s="152" t="s">
        <v>302</v>
      </c>
      <c r="U2" s="124"/>
    </row>
    <row r="3" spans="2:22" x14ac:dyDescent="0.2">
      <c r="B3" s="43"/>
      <c r="C3" s="43"/>
      <c r="D3" s="43"/>
      <c r="E3" s="43"/>
      <c r="F3" s="43"/>
      <c r="G3" s="43"/>
      <c r="H3" s="43"/>
      <c r="I3" s="43"/>
      <c r="J3" s="43"/>
      <c r="K3" s="43"/>
      <c r="L3" s="43"/>
      <c r="M3" s="43"/>
      <c r="N3" s="43"/>
      <c r="O3" s="43"/>
      <c r="P3" s="43"/>
      <c r="Q3" s="43"/>
      <c r="R3" s="43"/>
      <c r="S3" s="43"/>
      <c r="T3" s="152" t="s">
        <v>303</v>
      </c>
      <c r="U3" s="124"/>
    </row>
    <row r="4" spans="2:22" x14ac:dyDescent="0.2">
      <c r="B4" s="43"/>
      <c r="C4" s="43"/>
      <c r="D4" s="43"/>
      <c r="E4" s="43"/>
      <c r="F4" s="43"/>
      <c r="G4" s="43"/>
      <c r="H4" s="43"/>
      <c r="I4" s="43"/>
      <c r="J4" s="43"/>
      <c r="K4" s="43"/>
      <c r="L4" s="43"/>
      <c r="M4" s="43"/>
      <c r="N4" s="43"/>
      <c r="O4" s="43"/>
      <c r="P4" s="43"/>
      <c r="Q4" s="43"/>
      <c r="R4" s="43"/>
      <c r="S4" s="43"/>
      <c r="T4" s="152" t="s">
        <v>304</v>
      </c>
      <c r="U4" s="124"/>
    </row>
    <row r="5" spans="2:22" x14ac:dyDescent="0.2">
      <c r="B5" s="43"/>
      <c r="C5" s="43"/>
      <c r="D5" s="43"/>
      <c r="E5" s="43"/>
      <c r="F5" s="43"/>
      <c r="G5" s="43"/>
      <c r="H5" s="43"/>
      <c r="I5" s="43"/>
      <c r="J5" s="43"/>
      <c r="K5" s="43"/>
      <c r="L5" s="43"/>
      <c r="M5" s="43"/>
      <c r="N5" s="43"/>
      <c r="O5" s="43"/>
      <c r="P5" s="43"/>
      <c r="Q5" s="43"/>
      <c r="R5" s="43"/>
      <c r="S5" s="43"/>
      <c r="T5" s="152" t="s">
        <v>305</v>
      </c>
      <c r="U5" s="125"/>
    </row>
    <row r="6" spans="2:22" x14ac:dyDescent="0.2">
      <c r="B6" s="43"/>
      <c r="C6" s="43"/>
      <c r="D6" s="43"/>
      <c r="E6" s="43"/>
      <c r="F6" s="43"/>
      <c r="G6" s="43"/>
      <c r="H6" s="43"/>
      <c r="I6" s="43"/>
      <c r="J6" s="43"/>
      <c r="K6" s="43"/>
      <c r="L6" s="43"/>
      <c r="M6" s="43"/>
      <c r="N6" s="43"/>
      <c r="O6" s="43"/>
      <c r="P6" s="43"/>
      <c r="Q6" s="43"/>
      <c r="R6" s="43"/>
      <c r="S6" s="43"/>
      <c r="T6" s="152"/>
      <c r="U6" s="1253"/>
    </row>
    <row r="7" spans="2:22" x14ac:dyDescent="0.2">
      <c r="B7" s="43"/>
      <c r="C7" s="43"/>
      <c r="D7" s="43"/>
      <c r="E7" s="43"/>
      <c r="F7" s="43"/>
      <c r="G7" s="43"/>
      <c r="H7" s="43"/>
      <c r="I7" s="43"/>
      <c r="J7" s="43"/>
      <c r="K7" s="43"/>
      <c r="L7" s="43"/>
      <c r="M7" s="43"/>
      <c r="N7" s="43"/>
      <c r="O7" s="43"/>
      <c r="P7" s="43"/>
      <c r="Q7" s="43"/>
      <c r="R7" s="43"/>
      <c r="S7" s="43"/>
      <c r="T7" s="152" t="s">
        <v>306</v>
      </c>
      <c r="U7" s="125"/>
    </row>
    <row r="8" spans="2:22" x14ac:dyDescent="0.2">
      <c r="B8" s="43"/>
      <c r="C8" s="43"/>
      <c r="D8" s="43"/>
      <c r="E8" s="43"/>
      <c r="F8" s="43"/>
      <c r="G8" s="43"/>
      <c r="H8" s="43"/>
      <c r="I8" s="43"/>
      <c r="J8" s="43"/>
      <c r="K8" s="43"/>
      <c r="L8" s="43"/>
      <c r="M8" s="43"/>
    </row>
    <row r="9" spans="2:22" ht="18" x14ac:dyDescent="0.25">
      <c r="B9" s="1591" t="s">
        <v>1214</v>
      </c>
      <c r="C9" s="1591"/>
      <c r="D9" s="1591"/>
      <c r="E9" s="1591"/>
      <c r="F9" s="1591"/>
      <c r="G9" s="1591"/>
      <c r="H9" s="1591"/>
      <c r="I9" s="1591"/>
      <c r="J9" s="1591"/>
      <c r="K9" s="1591"/>
      <c r="L9" s="1591"/>
      <c r="M9" s="1591"/>
      <c r="N9" s="1591"/>
      <c r="O9" s="1591"/>
      <c r="P9" s="1591"/>
      <c r="Q9" s="1591"/>
      <c r="R9" s="1591"/>
      <c r="S9" s="1591"/>
      <c r="T9" s="1591"/>
      <c r="U9" s="1591"/>
      <c r="V9" s="1591"/>
    </row>
    <row r="10" spans="2:22" ht="18" x14ac:dyDescent="0.2">
      <c r="B10" s="1871" t="s">
        <v>1225</v>
      </c>
      <c r="C10" s="1871"/>
      <c r="D10" s="1871"/>
      <c r="E10" s="1871"/>
      <c r="F10" s="1871"/>
      <c r="G10" s="1871"/>
      <c r="H10" s="1871"/>
      <c r="I10" s="1871"/>
      <c r="J10" s="1871"/>
      <c r="K10" s="1871"/>
      <c r="L10" s="1871"/>
      <c r="M10" s="1871"/>
      <c r="N10" s="1871"/>
      <c r="O10" s="1871"/>
      <c r="P10" s="1871"/>
      <c r="Q10" s="1871"/>
      <c r="R10" s="1871"/>
      <c r="S10" s="1871"/>
      <c r="T10" s="1871"/>
      <c r="U10" s="1871"/>
      <c r="V10" s="1871"/>
    </row>
    <row r="12" spans="2:22" hidden="1" x14ac:dyDescent="0.2">
      <c r="B12" s="1288" t="s">
        <v>1191</v>
      </c>
      <c r="C12" s="1289"/>
      <c r="D12" s="1289"/>
      <c r="E12" s="1289"/>
      <c r="F12" s="1289"/>
      <c r="G12" s="1289"/>
      <c r="H12" s="1289"/>
      <c r="I12" s="1289"/>
      <c r="J12" s="1289"/>
      <c r="K12" s="1289"/>
      <c r="L12" s="1289"/>
      <c r="M12" s="1289"/>
      <c r="N12" s="1289"/>
      <c r="O12" s="1289"/>
      <c r="P12" s="1289"/>
      <c r="Q12" s="1289"/>
      <c r="R12" s="1289"/>
      <c r="S12" s="1289"/>
      <c r="T12" s="1289"/>
      <c r="U12" s="1289"/>
      <c r="V12" s="1289"/>
    </row>
    <row r="13" spans="2:22" hidden="1" x14ac:dyDescent="0.2">
      <c r="B13" s="1289"/>
      <c r="C13" s="1289"/>
      <c r="D13" s="1289"/>
      <c r="E13" s="1289"/>
      <c r="F13" s="1289"/>
      <c r="G13" s="1289"/>
      <c r="H13" s="1289"/>
      <c r="I13" s="1289"/>
      <c r="J13" s="1289"/>
      <c r="K13" s="1289"/>
      <c r="L13" s="1289"/>
      <c r="M13" s="1289"/>
      <c r="N13" s="1289"/>
      <c r="O13" s="1289"/>
      <c r="P13" s="1289"/>
      <c r="Q13" s="1289"/>
      <c r="R13" s="1289"/>
      <c r="S13" s="1289"/>
      <c r="T13" s="1289"/>
      <c r="U13" s="1289"/>
      <c r="V13" s="1289"/>
    </row>
    <row r="14" spans="2:22" hidden="1" x14ac:dyDescent="0.2">
      <c r="B14" s="1288" t="s">
        <v>1192</v>
      </c>
      <c r="C14" s="1288" t="s">
        <v>1193</v>
      </c>
      <c r="D14" s="1289"/>
      <c r="E14" s="1289"/>
      <c r="F14" s="1289"/>
      <c r="G14" s="1289"/>
      <c r="H14" s="1289"/>
      <c r="I14" s="1289"/>
      <c r="J14" s="1289"/>
      <c r="K14" s="1289"/>
      <c r="L14" s="1289"/>
      <c r="M14" s="1289"/>
      <c r="N14" s="1289"/>
      <c r="O14" s="1289"/>
      <c r="P14" s="1289"/>
      <c r="Q14" s="1289"/>
      <c r="R14" s="1289"/>
      <c r="S14" s="1289"/>
      <c r="T14" s="1289"/>
      <c r="U14" s="1289"/>
      <c r="V14" s="1289"/>
    </row>
    <row r="15" spans="2:22" hidden="1" x14ac:dyDescent="0.2">
      <c r="B15" s="1288" t="s">
        <v>1194</v>
      </c>
      <c r="C15" s="1288" t="s">
        <v>1019</v>
      </c>
      <c r="D15" s="1289"/>
      <c r="E15" s="1289"/>
      <c r="F15" s="1289"/>
      <c r="G15" s="1289"/>
      <c r="H15" s="1289"/>
      <c r="I15" s="1289"/>
      <c r="J15" s="1289"/>
      <c r="K15" s="1289"/>
      <c r="L15" s="1289"/>
      <c r="M15" s="1289"/>
      <c r="N15" s="1289"/>
      <c r="O15" s="1289"/>
      <c r="P15" s="1289"/>
      <c r="Q15" s="1289"/>
      <c r="R15" s="1289"/>
      <c r="S15" s="1289"/>
      <c r="T15" s="1289"/>
      <c r="U15" s="1289"/>
      <c r="V15" s="1289"/>
    </row>
    <row r="16" spans="2:22" hidden="1" x14ac:dyDescent="0.2">
      <c r="B16" s="1288" t="s">
        <v>1195</v>
      </c>
      <c r="C16" s="1288" t="s">
        <v>1196</v>
      </c>
      <c r="D16" s="1289"/>
      <c r="E16" s="1289"/>
      <c r="F16" s="1289"/>
      <c r="G16" s="1289"/>
      <c r="H16" s="1289"/>
      <c r="I16" s="1289"/>
      <c r="J16" s="1289"/>
      <c r="K16" s="1289"/>
      <c r="L16" s="1289"/>
      <c r="M16" s="1289"/>
      <c r="N16" s="1289"/>
      <c r="O16" s="1289"/>
      <c r="P16" s="1289"/>
      <c r="Q16" s="1289"/>
      <c r="R16" s="1289"/>
      <c r="S16" s="1289"/>
      <c r="T16" s="1289"/>
      <c r="U16" s="1289"/>
      <c r="V16" s="1289"/>
    </row>
    <row r="17" spans="2:22" hidden="1" x14ac:dyDescent="0.2">
      <c r="B17" s="1288" t="s">
        <v>1197</v>
      </c>
      <c r="C17" s="1288" t="s">
        <v>1198</v>
      </c>
      <c r="D17" s="1289"/>
      <c r="E17" s="1289"/>
      <c r="F17" s="1289"/>
      <c r="G17" s="1289"/>
      <c r="H17" s="1289"/>
      <c r="I17" s="1289"/>
      <c r="J17" s="1289"/>
      <c r="K17" s="1289"/>
      <c r="L17" s="1289"/>
      <c r="M17" s="1289"/>
      <c r="N17" s="1289"/>
      <c r="O17" s="1289"/>
      <c r="P17" s="1289"/>
      <c r="Q17" s="1289"/>
      <c r="R17" s="1289"/>
      <c r="S17" s="1289"/>
      <c r="T17" s="1289"/>
      <c r="U17" s="1289"/>
      <c r="V17" s="1289"/>
    </row>
    <row r="18" spans="2:22" hidden="1" x14ac:dyDescent="0.2">
      <c r="B18" s="1289"/>
      <c r="C18" s="1289"/>
      <c r="D18" s="1289"/>
      <c r="E18" s="1289"/>
      <c r="F18" s="1289"/>
      <c r="G18" s="1289"/>
      <c r="H18" s="1289"/>
      <c r="I18" s="1289"/>
      <c r="J18" s="1289"/>
      <c r="K18" s="1289"/>
      <c r="L18" s="1289"/>
      <c r="M18" s="1289"/>
      <c r="N18" s="1289"/>
      <c r="O18" s="1289"/>
      <c r="P18" s="1289"/>
      <c r="Q18" s="1289"/>
      <c r="R18" s="1289"/>
      <c r="S18" s="1289"/>
      <c r="T18" s="1289"/>
      <c r="U18" s="1289"/>
      <c r="V18" s="1289"/>
    </row>
    <row r="19" spans="2:22" ht="27" hidden="1" customHeight="1" x14ac:dyDescent="0.2">
      <c r="B19" s="1886" t="s">
        <v>1208</v>
      </c>
      <c r="C19" s="1886"/>
      <c r="D19" s="1886"/>
      <c r="E19" s="1886"/>
      <c r="F19" s="1886"/>
      <c r="G19" s="1886"/>
      <c r="H19" s="1886"/>
      <c r="I19" s="1886"/>
      <c r="J19" s="1886"/>
      <c r="K19" s="1886"/>
      <c r="L19" s="1886"/>
      <c r="M19" s="1886"/>
      <c r="N19" s="1886"/>
      <c r="O19" s="1886"/>
      <c r="P19" s="1886"/>
      <c r="Q19" s="1886"/>
      <c r="R19" s="1886"/>
      <c r="S19" s="1886"/>
      <c r="T19" s="1886"/>
      <c r="U19" s="1886"/>
      <c r="V19" s="1886"/>
    </row>
    <row r="20" spans="2:22" hidden="1" x14ac:dyDescent="0.2">
      <c r="B20" s="1289"/>
      <c r="C20" s="1289"/>
      <c r="D20" s="1289"/>
      <c r="E20" s="1289"/>
      <c r="F20" s="1289"/>
      <c r="G20" s="1289"/>
      <c r="H20" s="1289"/>
      <c r="I20" s="1289"/>
      <c r="J20" s="1289"/>
      <c r="K20" s="1289"/>
      <c r="L20" s="1289"/>
      <c r="M20" s="1289"/>
      <c r="N20" s="1289"/>
      <c r="O20" s="1289"/>
      <c r="P20" s="1289"/>
      <c r="Q20" s="1289"/>
      <c r="R20" s="1289"/>
      <c r="S20" s="1289"/>
      <c r="T20" s="1289"/>
      <c r="U20" s="1289"/>
      <c r="V20" s="1289"/>
    </row>
    <row r="21" spans="2:22" ht="27.75" hidden="1" customHeight="1" x14ac:dyDescent="0.2">
      <c r="B21" s="1886" t="s">
        <v>1199</v>
      </c>
      <c r="C21" s="1886"/>
      <c r="D21" s="1886"/>
      <c r="E21" s="1886"/>
      <c r="F21" s="1886"/>
      <c r="G21" s="1886"/>
      <c r="H21" s="1886"/>
      <c r="I21" s="1886"/>
      <c r="J21" s="1886"/>
      <c r="K21" s="1886"/>
      <c r="L21" s="1886"/>
      <c r="M21" s="1886"/>
      <c r="N21" s="1886"/>
      <c r="O21" s="1886"/>
      <c r="P21" s="1886"/>
      <c r="Q21" s="1886"/>
      <c r="R21" s="1886"/>
      <c r="S21" s="1886"/>
      <c r="T21" s="1886"/>
      <c r="U21" s="1886"/>
      <c r="V21" s="1886"/>
    </row>
    <row r="22" spans="2:22" hidden="1" x14ac:dyDescent="0.2">
      <c r="B22" s="1289"/>
      <c r="C22" s="1289"/>
      <c r="D22" s="1289"/>
      <c r="E22" s="1289"/>
      <c r="F22" s="1289"/>
      <c r="G22" s="1289"/>
      <c r="H22" s="1289"/>
      <c r="I22" s="1289"/>
      <c r="J22" s="1289"/>
      <c r="K22" s="1289"/>
      <c r="L22" s="1289"/>
      <c r="M22" s="1289"/>
      <c r="N22" s="1289"/>
      <c r="O22" s="1289"/>
      <c r="P22" s="1289"/>
      <c r="Q22" s="1289"/>
      <c r="R22" s="1289"/>
      <c r="S22" s="1289"/>
      <c r="T22" s="1289"/>
      <c r="U22" s="1289"/>
      <c r="V22" s="1289"/>
    </row>
    <row r="23" spans="2:22" ht="24.75" hidden="1" customHeight="1" x14ac:dyDescent="0.2">
      <c r="B23" s="1886" t="s">
        <v>1200</v>
      </c>
      <c r="C23" s="1886"/>
      <c r="D23" s="1886"/>
      <c r="E23" s="1886"/>
      <c r="F23" s="1886"/>
      <c r="G23" s="1886"/>
      <c r="H23" s="1886"/>
      <c r="I23" s="1886"/>
      <c r="J23" s="1886"/>
      <c r="K23" s="1886"/>
      <c r="L23" s="1886"/>
      <c r="M23" s="1886"/>
      <c r="N23" s="1886"/>
      <c r="O23" s="1886"/>
      <c r="P23" s="1886"/>
      <c r="Q23" s="1886"/>
      <c r="R23" s="1886"/>
      <c r="S23" s="1886"/>
      <c r="T23" s="1886"/>
      <c r="U23" s="1886"/>
      <c r="V23" s="1886"/>
    </row>
    <row r="24" spans="2:22" hidden="1" x14ac:dyDescent="0.2">
      <c r="B24" s="1289"/>
      <c r="C24" s="1289"/>
      <c r="D24" s="1289"/>
      <c r="E24" s="1289"/>
      <c r="F24" s="1289"/>
      <c r="G24" s="1289"/>
      <c r="H24" s="1289"/>
      <c r="I24" s="1289"/>
      <c r="J24" s="1289"/>
      <c r="K24" s="1289"/>
      <c r="L24" s="1289"/>
      <c r="M24" s="1289"/>
      <c r="N24" s="1289"/>
      <c r="O24" s="1289"/>
      <c r="P24" s="1289"/>
      <c r="Q24" s="1289"/>
      <c r="R24" s="1289"/>
      <c r="S24" s="1289"/>
      <c r="T24" s="1289"/>
      <c r="U24" s="1289"/>
      <c r="V24" s="1289"/>
    </row>
    <row r="25" spans="2:22" ht="26.25" hidden="1" customHeight="1" x14ac:dyDescent="0.2">
      <c r="B25" s="1886" t="s">
        <v>1201</v>
      </c>
      <c r="C25" s="1886"/>
      <c r="D25" s="1886"/>
      <c r="E25" s="1886"/>
      <c r="F25" s="1886"/>
      <c r="G25" s="1886"/>
      <c r="H25" s="1886"/>
      <c r="I25" s="1886"/>
      <c r="J25" s="1886"/>
      <c r="K25" s="1886"/>
      <c r="L25" s="1886"/>
      <c r="M25" s="1886"/>
      <c r="N25" s="1886"/>
      <c r="O25" s="1886"/>
      <c r="P25" s="1886"/>
      <c r="Q25" s="1886"/>
      <c r="R25" s="1886"/>
      <c r="S25" s="1886"/>
      <c r="T25" s="1886"/>
      <c r="U25" s="1886"/>
      <c r="V25" s="1886"/>
    </row>
    <row r="26" spans="2:22" hidden="1" x14ac:dyDescent="0.2">
      <c r="B26" s="1289"/>
      <c r="C26" s="1289"/>
      <c r="D26" s="1289"/>
      <c r="E26" s="1289"/>
      <c r="F26" s="1289"/>
      <c r="G26" s="1289"/>
      <c r="H26" s="1289"/>
      <c r="I26" s="1289"/>
      <c r="J26" s="1289"/>
      <c r="K26" s="1289"/>
      <c r="L26" s="1289"/>
      <c r="M26" s="1289"/>
      <c r="N26" s="1289"/>
      <c r="O26" s="1289"/>
      <c r="P26" s="1289"/>
      <c r="Q26" s="1289"/>
      <c r="R26" s="1289"/>
      <c r="S26" s="1289"/>
      <c r="T26" s="1289"/>
      <c r="U26" s="1289"/>
      <c r="V26" s="1289"/>
    </row>
    <row r="27" spans="2:22" ht="30.75" hidden="1" customHeight="1" x14ac:dyDescent="0.2">
      <c r="B27" s="1887" t="s">
        <v>1202</v>
      </c>
      <c r="C27" s="1887"/>
      <c r="D27" s="1887"/>
      <c r="E27" s="1887"/>
      <c r="F27" s="1887"/>
      <c r="G27" s="1887"/>
      <c r="H27" s="1887"/>
      <c r="I27" s="1887"/>
      <c r="J27" s="1887"/>
      <c r="K27" s="1887"/>
      <c r="L27" s="1887"/>
      <c r="M27" s="1887"/>
      <c r="N27" s="1887"/>
      <c r="O27" s="1887"/>
      <c r="P27" s="1887"/>
      <c r="Q27" s="1887"/>
      <c r="R27" s="1887"/>
      <c r="S27" s="1887"/>
      <c r="T27" s="1887"/>
      <c r="U27" s="1887"/>
      <c r="V27" s="1887"/>
    </row>
    <row r="28" spans="2:22" ht="13.5" customHeight="1" x14ac:dyDescent="0.2">
      <c r="B28" s="1254"/>
      <c r="C28" s="1254"/>
      <c r="D28" s="1254"/>
      <c r="E28" s="1254"/>
      <c r="F28" s="1254"/>
      <c r="G28" s="1254"/>
      <c r="H28" s="1254"/>
      <c r="I28" s="1254"/>
      <c r="J28" s="1254"/>
      <c r="K28" s="1254"/>
      <c r="L28" s="1254"/>
      <c r="M28" s="1254"/>
      <c r="N28" s="1254"/>
      <c r="O28" s="1254"/>
      <c r="P28" s="1254"/>
      <c r="Q28" s="1254"/>
      <c r="R28" s="1254"/>
      <c r="S28" s="1254"/>
      <c r="T28" s="1254"/>
      <c r="U28" s="1254"/>
      <c r="V28" s="1254"/>
    </row>
    <row r="29" spans="2:22" ht="15.75" customHeight="1" x14ac:dyDescent="0.2">
      <c r="B29" s="1889" t="s">
        <v>1227</v>
      </c>
      <c r="C29" s="1889"/>
      <c r="D29" s="1889"/>
      <c r="E29" s="1889"/>
      <c r="F29" s="1889"/>
      <c r="G29" s="1889"/>
      <c r="H29" s="1889"/>
      <c r="I29" s="1889"/>
      <c r="J29" s="1889"/>
      <c r="K29" s="1889"/>
      <c r="L29" s="1889"/>
      <c r="M29" s="1889"/>
      <c r="N29" s="1889"/>
      <c r="O29" s="1889"/>
      <c r="P29" s="1889"/>
      <c r="Q29" s="1889"/>
      <c r="R29" s="1889"/>
      <c r="S29" s="1889"/>
      <c r="T29" s="1889"/>
      <c r="U29" s="1889"/>
      <c r="V29" s="1889"/>
    </row>
    <row r="30" spans="2:22" ht="15.75" customHeight="1" x14ac:dyDescent="0.2">
      <c r="B30" s="1290"/>
      <c r="C30" s="1290"/>
      <c r="D30" s="1290"/>
      <c r="E30" s="1290"/>
      <c r="F30" s="1290"/>
      <c r="G30" s="1290"/>
      <c r="H30" s="1290"/>
      <c r="I30" s="1290"/>
      <c r="J30" s="1290"/>
      <c r="K30" s="1290"/>
      <c r="L30" s="1290"/>
      <c r="M30" s="1290"/>
      <c r="N30" s="1290"/>
      <c r="O30" s="1290"/>
      <c r="P30" s="1290"/>
      <c r="Q30" s="1290"/>
      <c r="R30" s="1290"/>
      <c r="S30" s="1290"/>
      <c r="T30" s="1290"/>
      <c r="U30" s="1290"/>
      <c r="V30" s="1290"/>
    </row>
    <row r="31" spans="2:22" ht="15.75" customHeight="1" x14ac:dyDescent="0.2">
      <c r="B31" s="1290" t="s">
        <v>1228</v>
      </c>
      <c r="C31" s="1290"/>
      <c r="D31" s="1320"/>
      <c r="E31" s="1290"/>
      <c r="F31" s="1290" t="s">
        <v>1229</v>
      </c>
      <c r="G31" s="1290"/>
      <c r="H31" s="1322"/>
      <c r="I31" s="1321"/>
      <c r="J31" s="1290"/>
      <c r="K31" s="1290" t="s">
        <v>1230</v>
      </c>
      <c r="L31" s="1290"/>
      <c r="M31" s="1290"/>
      <c r="N31" s="1290"/>
      <c r="O31" s="1290"/>
      <c r="P31" s="1290"/>
      <c r="Q31" s="1290"/>
      <c r="R31" s="1290"/>
      <c r="S31" s="1290"/>
      <c r="T31" s="1290"/>
      <c r="U31" s="1290"/>
      <c r="V31" s="1290"/>
    </row>
    <row r="32" spans="2:22" ht="15.75" customHeight="1" x14ac:dyDescent="0.2">
      <c r="B32" s="1290"/>
      <c r="C32" s="1290"/>
      <c r="D32" s="1290"/>
      <c r="E32" s="1290"/>
      <c r="F32" s="1290"/>
      <c r="G32" s="1290"/>
      <c r="H32" s="1290"/>
      <c r="I32" s="1290"/>
      <c r="J32" s="1290"/>
      <c r="K32" s="1290"/>
      <c r="L32" s="1290"/>
      <c r="M32" s="1290"/>
      <c r="N32" s="1290"/>
      <c r="O32" s="1290"/>
      <c r="P32" s="1290"/>
      <c r="Q32" s="1290"/>
      <c r="R32" s="1290"/>
      <c r="S32" s="1290"/>
      <c r="T32" s="1290"/>
      <c r="U32" s="1290"/>
      <c r="V32" s="1290"/>
    </row>
    <row r="33" spans="2:23" ht="15.75" customHeight="1" x14ac:dyDescent="0.2">
      <c r="B33" s="1290"/>
      <c r="C33" s="1290"/>
      <c r="D33" s="1323"/>
      <c r="E33" s="1290"/>
      <c r="F33" s="1290" t="s">
        <v>1231</v>
      </c>
      <c r="G33" s="1290"/>
      <c r="H33" s="1290"/>
      <c r="I33" s="1327"/>
      <c r="J33" s="1290"/>
      <c r="K33" s="1290" t="s">
        <v>1232</v>
      </c>
      <c r="L33" s="1290"/>
      <c r="M33" s="1290"/>
      <c r="N33" s="1290"/>
      <c r="O33" s="1290"/>
      <c r="P33" s="1290"/>
      <c r="Q33" s="1290"/>
      <c r="R33" s="1290"/>
      <c r="S33" s="1290"/>
      <c r="T33" s="1290"/>
      <c r="U33" s="1290"/>
      <c r="V33" s="1290"/>
    </row>
    <row r="34" spans="2:23" ht="15.75" customHeight="1" x14ac:dyDescent="0.2">
      <c r="B34" s="1290"/>
      <c r="C34" s="1290"/>
      <c r="D34" s="1290"/>
      <c r="E34" s="1290"/>
      <c r="F34" s="1290"/>
      <c r="G34" s="1290"/>
      <c r="H34" s="1290"/>
      <c r="I34" s="1290"/>
      <c r="J34" s="1290"/>
      <c r="K34" s="1290"/>
      <c r="L34" s="1290"/>
      <c r="M34" s="1290"/>
      <c r="N34" s="1290"/>
      <c r="O34" s="1290"/>
      <c r="P34" s="1290"/>
      <c r="Q34" s="1290"/>
      <c r="R34" s="1290"/>
      <c r="S34" s="1290"/>
      <c r="T34" s="1290"/>
      <c r="U34" s="1290"/>
      <c r="V34" s="1290"/>
    </row>
    <row r="35" spans="2:23" ht="15.75" customHeight="1" x14ac:dyDescent="0.2">
      <c r="B35" s="1337" t="s">
        <v>1233</v>
      </c>
      <c r="C35" s="1322"/>
      <c r="D35" s="1322"/>
      <c r="E35" s="1290"/>
      <c r="F35" s="1290"/>
      <c r="G35" s="1290"/>
      <c r="H35" s="1290"/>
      <c r="I35" s="1290"/>
      <c r="J35" s="1290"/>
      <c r="K35" s="1290"/>
      <c r="L35" s="1290"/>
      <c r="M35" s="1290"/>
      <c r="N35" s="1290"/>
      <c r="O35" s="1290"/>
      <c r="P35" s="1290"/>
      <c r="Q35" s="1290"/>
      <c r="R35" s="1290"/>
      <c r="S35" s="1290"/>
      <c r="T35" s="1290"/>
      <c r="U35" s="1290"/>
      <c r="V35" s="1290"/>
    </row>
    <row r="36" spans="2:23" ht="15.75" customHeight="1" thickBot="1" x14ac:dyDescent="0.25">
      <c r="B36" s="1322"/>
      <c r="C36" s="1322"/>
      <c r="D36" s="1322"/>
      <c r="E36" s="1290"/>
      <c r="F36" s="1342"/>
      <c r="G36" s="1342"/>
      <c r="H36" s="1342"/>
      <c r="I36" s="1342"/>
      <c r="J36" s="1290"/>
      <c r="K36" s="1290"/>
      <c r="L36" s="1290"/>
      <c r="M36" s="1290"/>
      <c r="N36" s="1290"/>
      <c r="O36" s="1290"/>
      <c r="P36" s="1290"/>
      <c r="Q36" s="1290"/>
      <c r="R36" s="1290"/>
      <c r="S36" s="1290"/>
      <c r="T36" s="1290"/>
      <c r="U36" s="1290"/>
      <c r="V36" s="1290"/>
    </row>
    <row r="37" spans="2:23" ht="15.75" customHeight="1" x14ac:dyDescent="0.2">
      <c r="C37" s="1264"/>
      <c r="D37" s="1268" t="s">
        <v>1205</v>
      </c>
      <c r="E37" s="1287"/>
      <c r="F37" s="1341"/>
      <c r="G37" s="1341"/>
      <c r="H37" s="1341"/>
      <c r="I37" s="1341"/>
      <c r="J37" s="1340"/>
      <c r="K37" s="1859" t="s">
        <v>1213</v>
      </c>
      <c r="L37" s="1860"/>
      <c r="M37" s="1860"/>
      <c r="N37" s="1860"/>
      <c r="O37" s="1861"/>
      <c r="P37" s="1290"/>
      <c r="Q37" s="1290"/>
      <c r="R37" s="1290"/>
      <c r="S37" s="1290"/>
      <c r="T37" s="1290"/>
      <c r="U37" s="1290"/>
      <c r="V37" s="1290"/>
      <c r="W37" s="1290"/>
    </row>
    <row r="38" spans="2:23" ht="39.75" customHeight="1" thickBot="1" x14ac:dyDescent="0.25">
      <c r="C38" s="1271"/>
      <c r="D38" s="1277" t="str">
        <f>CONCATENATE("(for ",TestYear," Cost of Service")</f>
        <v>(for 2017 Cost of Service</v>
      </c>
      <c r="E38" s="1344"/>
      <c r="F38" s="1888"/>
      <c r="G38" s="1888"/>
      <c r="H38" s="1888"/>
      <c r="I38" s="1295"/>
      <c r="J38" s="1343"/>
      <c r="K38" s="1284"/>
      <c r="L38" s="1276" t="s">
        <v>1226</v>
      </c>
      <c r="M38" s="1276" t="s">
        <v>1210</v>
      </c>
      <c r="N38" s="1305"/>
      <c r="O38" s="1306" t="s">
        <v>1210</v>
      </c>
      <c r="P38" s="1290"/>
      <c r="Q38" s="1290"/>
      <c r="R38" s="1290"/>
      <c r="S38" s="1290"/>
      <c r="T38" s="1290"/>
      <c r="U38" s="1290"/>
      <c r="V38" s="1290"/>
      <c r="W38" s="1290"/>
    </row>
    <row r="39" spans="2:23" ht="15.75" customHeight="1" x14ac:dyDescent="0.2">
      <c r="C39" s="1266" t="s">
        <v>890</v>
      </c>
      <c r="D39" s="1363">
        <f t="shared" ref="D39:D44" si="0">D40-1</f>
        <v>2011</v>
      </c>
      <c r="E39" s="1309"/>
      <c r="F39" s="1292"/>
      <c r="G39" s="1331"/>
      <c r="H39" s="2"/>
      <c r="I39" s="2"/>
      <c r="J39" s="1297"/>
      <c r="K39" s="1300" t="s">
        <v>413</v>
      </c>
      <c r="L39" s="1301">
        <v>241928636.40000001</v>
      </c>
      <c r="M39" s="1301">
        <v>238805859.95542297</v>
      </c>
      <c r="N39" s="1297" t="str">
        <f t="shared" ref="N39:N45" si="1">IF(D39=RebaseYear,"Board-approved","")</f>
        <v/>
      </c>
      <c r="O39" s="1492"/>
      <c r="P39" s="1290"/>
      <c r="Q39" s="1290"/>
      <c r="R39" s="1290"/>
      <c r="S39" s="1290"/>
      <c r="T39" s="1290"/>
      <c r="U39" s="1290"/>
      <c r="V39" s="1290"/>
      <c r="W39" s="1290"/>
    </row>
    <row r="40" spans="2:23" ht="15.75" customHeight="1" x14ac:dyDescent="0.2">
      <c r="C40" s="1266" t="s">
        <v>890</v>
      </c>
      <c r="D40" s="1363">
        <f t="shared" si="0"/>
        <v>2012</v>
      </c>
      <c r="E40" s="1309"/>
      <c r="F40" s="1292"/>
      <c r="G40" s="1331"/>
      <c r="H40" s="2"/>
      <c r="I40" s="2"/>
      <c r="J40" s="1297"/>
      <c r="K40" s="1300" t="s">
        <v>413</v>
      </c>
      <c r="L40" s="1301">
        <v>233351045.58096856</v>
      </c>
      <c r="M40" s="1301">
        <v>233040481.08302724</v>
      </c>
      <c r="N40" s="1297" t="str">
        <f t="shared" si="1"/>
        <v>Board-approved</v>
      </c>
      <c r="O40" s="1493">
        <v>240658927.78864172</v>
      </c>
      <c r="P40" s="1290"/>
      <c r="Q40" s="1290"/>
      <c r="R40" s="1290"/>
      <c r="S40" s="1290"/>
      <c r="T40" s="1290"/>
      <c r="U40" s="1290"/>
      <c r="V40" s="1290"/>
      <c r="W40" s="1290"/>
    </row>
    <row r="41" spans="2:23" ht="15.75" customHeight="1" x14ac:dyDescent="0.2">
      <c r="C41" s="1266" t="s">
        <v>890</v>
      </c>
      <c r="D41" s="1363">
        <f t="shared" si="0"/>
        <v>2013</v>
      </c>
      <c r="E41" s="1309"/>
      <c r="F41" s="1292"/>
      <c r="G41" s="1331"/>
      <c r="H41" s="2"/>
      <c r="I41" s="1292"/>
      <c r="J41" s="1297"/>
      <c r="K41" s="1300" t="s">
        <v>413</v>
      </c>
      <c r="L41" s="1301">
        <v>229730886.55255783</v>
      </c>
      <c r="M41" s="1301">
        <v>230500404.74313378</v>
      </c>
      <c r="N41" s="1297" t="str">
        <f t="shared" si="1"/>
        <v/>
      </c>
      <c r="O41" s="1325"/>
      <c r="P41" s="1290"/>
      <c r="Q41" s="1290"/>
      <c r="R41" s="1290"/>
      <c r="S41" s="1290"/>
      <c r="T41" s="1290"/>
      <c r="U41" s="1290"/>
      <c r="V41" s="1290"/>
      <c r="W41" s="1290"/>
    </row>
    <row r="42" spans="2:23" ht="15.75" customHeight="1" x14ac:dyDescent="0.2">
      <c r="C42" s="1266" t="s">
        <v>890</v>
      </c>
      <c r="D42" s="1363">
        <f t="shared" si="0"/>
        <v>2014</v>
      </c>
      <c r="E42" s="1309"/>
      <c r="F42" s="1292"/>
      <c r="G42" s="1331"/>
      <c r="H42" s="2"/>
      <c r="I42" s="2"/>
      <c r="J42" s="1297"/>
      <c r="K42" s="1300" t="s">
        <v>413</v>
      </c>
      <c r="L42" s="1301">
        <v>230942887.5</v>
      </c>
      <c r="M42" s="1301">
        <v>231786400.86942917</v>
      </c>
      <c r="N42" s="1297" t="str">
        <f t="shared" si="1"/>
        <v/>
      </c>
      <c r="O42" s="1324"/>
      <c r="P42" s="1290"/>
      <c r="Q42" s="1290"/>
      <c r="R42" s="1290"/>
      <c r="S42" s="1290"/>
      <c r="T42" s="1290"/>
      <c r="U42" s="1290"/>
      <c r="V42" s="1290"/>
      <c r="W42" s="1290"/>
    </row>
    <row r="43" spans="2:23" ht="15.75" customHeight="1" x14ac:dyDescent="0.2">
      <c r="C43" s="1266" t="s">
        <v>890</v>
      </c>
      <c r="D43" s="1363">
        <f t="shared" si="0"/>
        <v>2015</v>
      </c>
      <c r="E43" s="1309"/>
      <c r="F43" s="1292"/>
      <c r="G43" s="1331"/>
      <c r="H43" s="2"/>
      <c r="I43" s="2"/>
      <c r="J43" s="1297"/>
      <c r="K43" s="1300" t="s">
        <v>413</v>
      </c>
      <c r="L43" s="1301">
        <v>232502517.32197464</v>
      </c>
      <c r="M43" s="1301">
        <v>235738189.36956033</v>
      </c>
      <c r="N43" s="1297" t="str">
        <f t="shared" si="1"/>
        <v/>
      </c>
      <c r="O43" s="1324"/>
      <c r="P43" s="1290"/>
      <c r="Q43" s="1290"/>
      <c r="R43" s="1290"/>
      <c r="S43" s="1290"/>
      <c r="T43" s="1290"/>
      <c r="U43" s="1290"/>
      <c r="V43" s="1290"/>
      <c r="W43" s="1290"/>
    </row>
    <row r="44" spans="2:23" ht="15.75" customHeight="1" x14ac:dyDescent="0.2">
      <c r="C44" s="1266" t="s">
        <v>313</v>
      </c>
      <c r="D44" s="1363">
        <f t="shared" si="0"/>
        <v>2016</v>
      </c>
      <c r="E44" s="1309"/>
      <c r="F44" s="1292"/>
      <c r="G44" s="1331"/>
      <c r="H44" s="2"/>
      <c r="I44" s="2"/>
      <c r="J44" s="1297"/>
      <c r="K44" s="1300" t="s">
        <v>86</v>
      </c>
      <c r="L44" s="1303"/>
      <c r="M44" s="1301">
        <v>233105737.22604215</v>
      </c>
      <c r="N44" s="1297" t="str">
        <f t="shared" si="1"/>
        <v/>
      </c>
      <c r="O44" s="1324"/>
      <c r="P44" s="1290"/>
      <c r="Q44" s="1290"/>
      <c r="R44" s="1290"/>
      <c r="S44" s="1290"/>
      <c r="T44" s="1290"/>
      <c r="U44" s="1290"/>
      <c r="V44" s="1290"/>
      <c r="W44" s="1290"/>
    </row>
    <row r="45" spans="2:23" ht="15.75" customHeight="1" thickBot="1" x14ac:dyDescent="0.25">
      <c r="C45" s="1267" t="s">
        <v>314</v>
      </c>
      <c r="D45" s="1364">
        <f>TestYear</f>
        <v>2017</v>
      </c>
      <c r="E45" s="1310"/>
      <c r="F45" s="1293"/>
      <c r="G45" s="1338"/>
      <c r="H45" s="1307"/>
      <c r="I45" s="1307"/>
      <c r="J45" s="1298"/>
      <c r="K45" s="1300" t="s">
        <v>86</v>
      </c>
      <c r="L45" s="1304"/>
      <c r="M45" s="1302">
        <v>229752893.87397906</v>
      </c>
      <c r="N45" s="1298" t="str">
        <f t="shared" si="1"/>
        <v/>
      </c>
      <c r="O45" s="1326"/>
      <c r="P45" s="1290"/>
      <c r="Q45" s="1290"/>
      <c r="R45" s="1290"/>
      <c r="S45" s="1290"/>
      <c r="T45" s="1290"/>
      <c r="U45" s="1290"/>
      <c r="V45" s="1290"/>
      <c r="W45" s="1290"/>
    </row>
    <row r="46" spans="2:23" ht="15.75" customHeight="1" thickBot="1" x14ac:dyDescent="0.25">
      <c r="C46" s="1362"/>
      <c r="D46" s="1361"/>
      <c r="F46" s="1299"/>
      <c r="G46" s="1299"/>
      <c r="H46" s="1299"/>
      <c r="I46" s="1339"/>
      <c r="J46" s="1299"/>
      <c r="K46" s="1345"/>
      <c r="O46" s="1408">
        <f>SUM(O39:O44)</f>
        <v>240658927.78864172</v>
      </c>
      <c r="P46" s="1290"/>
      <c r="Q46" s="1290"/>
      <c r="R46" s="1290"/>
      <c r="S46" s="1290"/>
      <c r="T46" s="1290"/>
      <c r="U46" s="1290"/>
      <c r="V46" s="1290"/>
      <c r="W46" s="1290"/>
    </row>
    <row r="47" spans="2:23" ht="33" customHeight="1" thickBot="1" x14ac:dyDescent="0.25">
      <c r="C47" s="1346" t="s">
        <v>952</v>
      </c>
      <c r="D47" s="1345"/>
      <c r="E47" s="1345"/>
      <c r="F47" s="1347"/>
      <c r="G47" s="1348"/>
      <c r="H47" s="1347"/>
      <c r="I47" s="1349"/>
      <c r="J47" s="1359"/>
      <c r="K47" s="1395" t="s">
        <v>15</v>
      </c>
      <c r="L47" s="1874" t="s">
        <v>1222</v>
      </c>
      <c r="M47" s="1874"/>
      <c r="N47" s="1393"/>
      <c r="O47" s="1394" t="s">
        <v>1223</v>
      </c>
      <c r="P47" s="1290"/>
      <c r="Q47" s="1290"/>
      <c r="R47" s="1290"/>
      <c r="S47" s="1290"/>
      <c r="T47" s="1290"/>
      <c r="U47" s="1290"/>
      <c r="V47" s="1290"/>
      <c r="W47" s="1290"/>
    </row>
    <row r="48" spans="2:23" ht="15.75" customHeight="1" x14ac:dyDescent="0.2">
      <c r="C48" s="1367"/>
      <c r="D48" s="1368">
        <f t="shared" ref="D48:D54" si="2">D39</f>
        <v>2011</v>
      </c>
      <c r="E48" s="1329"/>
      <c r="F48" s="2"/>
      <c r="G48" s="1350"/>
      <c r="H48" s="2"/>
      <c r="I48" s="1350"/>
      <c r="J48" s="1297"/>
      <c r="K48" s="1363">
        <f>D48</f>
        <v>2011</v>
      </c>
      <c r="L48" s="1351"/>
      <c r="M48" s="1351"/>
      <c r="N48" s="1329"/>
      <c r="O48" s="1324"/>
      <c r="P48" s="1290"/>
      <c r="Q48" s="1290"/>
      <c r="R48" s="1290"/>
      <c r="S48" s="1290"/>
      <c r="T48" s="1290"/>
      <c r="U48" s="1290"/>
      <c r="V48" s="1290"/>
      <c r="W48" s="1290"/>
    </row>
    <row r="49" spans="2:23" ht="15.75" customHeight="1" x14ac:dyDescent="0.2">
      <c r="C49" s="1367"/>
      <c r="D49" s="1368">
        <f t="shared" si="2"/>
        <v>2012</v>
      </c>
      <c r="E49" s="1329"/>
      <c r="F49" s="2"/>
      <c r="G49" s="1352"/>
      <c r="H49" s="2"/>
      <c r="I49" s="1350"/>
      <c r="J49" s="1297"/>
      <c r="K49" s="1363">
        <f t="shared" ref="K49:K55" si="3">D49</f>
        <v>2012</v>
      </c>
      <c r="L49" s="1353">
        <f t="shared" ref="L49:M52" si="4">IF(L39=0,"",L40/L39-1)</f>
        <v>-3.5455045531895713E-2</v>
      </c>
      <c r="M49" s="1353">
        <f t="shared" si="4"/>
        <v>-2.414253516840803E-2</v>
      </c>
      <c r="N49" s="1329"/>
      <c r="O49" s="1324"/>
      <c r="P49" s="1290"/>
      <c r="Q49" s="1290"/>
      <c r="R49" s="1290"/>
      <c r="S49" s="1290"/>
      <c r="T49" s="1290"/>
      <c r="U49" s="1290"/>
      <c r="V49" s="1290"/>
      <c r="W49" s="1290"/>
    </row>
    <row r="50" spans="2:23" ht="15.75" customHeight="1" x14ac:dyDescent="0.2">
      <c r="C50" s="1367"/>
      <c r="D50" s="1368">
        <f t="shared" si="2"/>
        <v>2013</v>
      </c>
      <c r="E50" s="1329"/>
      <c r="F50" s="2"/>
      <c r="G50" s="1352"/>
      <c r="H50" s="2"/>
      <c r="I50" s="1350"/>
      <c r="J50" s="1297"/>
      <c r="K50" s="1363">
        <f t="shared" si="3"/>
        <v>2013</v>
      </c>
      <c r="L50" s="1353">
        <f t="shared" si="4"/>
        <v>-1.5513789618545326E-2</v>
      </c>
      <c r="M50" s="1353">
        <f t="shared" si="4"/>
        <v>-1.0899721490827519E-2</v>
      </c>
      <c r="N50" s="1329"/>
      <c r="O50" s="1324"/>
      <c r="P50" s="1290"/>
      <c r="Q50" s="1290"/>
      <c r="R50" s="1290"/>
      <c r="S50" s="1290"/>
      <c r="T50" s="1290"/>
      <c r="U50" s="1290"/>
      <c r="V50" s="1290"/>
      <c r="W50" s="1290"/>
    </row>
    <row r="51" spans="2:23" ht="15.75" customHeight="1" x14ac:dyDescent="0.2">
      <c r="C51" s="1367"/>
      <c r="D51" s="1368">
        <f t="shared" si="2"/>
        <v>2014</v>
      </c>
      <c r="E51" s="1329"/>
      <c r="F51" s="2"/>
      <c r="G51" s="1352"/>
      <c r="H51" s="2"/>
      <c r="I51" s="1350"/>
      <c r="J51" s="1297"/>
      <c r="K51" s="1363">
        <f t="shared" si="3"/>
        <v>2014</v>
      </c>
      <c r="L51" s="1353">
        <f t="shared" si="4"/>
        <v>5.2757422636111606E-3</v>
      </c>
      <c r="M51" s="1353">
        <f t="shared" si="4"/>
        <v>5.5791491027032958E-3</v>
      </c>
      <c r="N51" s="1329"/>
      <c r="O51" s="1324"/>
      <c r="P51" s="1290"/>
      <c r="Q51" s="1290"/>
      <c r="R51" s="1290"/>
      <c r="S51" s="1290"/>
      <c r="T51" s="1290"/>
      <c r="U51" s="1290"/>
      <c r="V51" s="1290"/>
      <c r="W51" s="1290"/>
    </row>
    <row r="52" spans="2:23" ht="15.75" customHeight="1" x14ac:dyDescent="0.2">
      <c r="C52" s="1367"/>
      <c r="D52" s="1368">
        <f t="shared" si="2"/>
        <v>2015</v>
      </c>
      <c r="E52" s="1329"/>
      <c r="F52" s="2"/>
      <c r="G52" s="1352"/>
      <c r="H52" s="2"/>
      <c r="I52" s="1350"/>
      <c r="J52" s="1297"/>
      <c r="K52" s="1363">
        <f t="shared" si="3"/>
        <v>2015</v>
      </c>
      <c r="L52" s="1353">
        <f t="shared" si="4"/>
        <v>6.7533139420656862E-3</v>
      </c>
      <c r="M52" s="1353">
        <f t="shared" si="4"/>
        <v>1.7049268142169005E-2</v>
      </c>
      <c r="N52" s="1329"/>
      <c r="O52" s="1324"/>
      <c r="P52" s="1290"/>
      <c r="Q52" s="1290"/>
      <c r="R52" s="1290"/>
      <c r="S52" s="1290"/>
      <c r="T52" s="1290"/>
      <c r="U52" s="1290"/>
      <c r="V52" s="1290"/>
      <c r="W52" s="1290"/>
    </row>
    <row r="53" spans="2:23" ht="15.75" customHeight="1" x14ac:dyDescent="0.2">
      <c r="C53" s="1367"/>
      <c r="D53" s="1368">
        <f t="shared" si="2"/>
        <v>2016</v>
      </c>
      <c r="E53" s="1329"/>
      <c r="F53" s="2"/>
      <c r="G53" s="1352"/>
      <c r="H53" s="2"/>
      <c r="I53" s="1350"/>
      <c r="J53" s="1297"/>
      <c r="K53" s="1363">
        <f t="shared" si="3"/>
        <v>2016</v>
      </c>
      <c r="L53" s="1353" t="str">
        <f>IF(K44="Forecast","",IF(L43=0,"",L44/L43-1))</f>
        <v/>
      </c>
      <c r="M53" s="1353">
        <f>IF(M43=0,"",M44/M43-1)</f>
        <v>-1.1166846366972627E-2</v>
      </c>
      <c r="N53" s="1329"/>
      <c r="O53" s="1324"/>
      <c r="P53" s="1290"/>
      <c r="Q53" s="1290"/>
      <c r="R53" s="1290"/>
      <c r="S53" s="1290"/>
      <c r="T53" s="1290"/>
      <c r="U53" s="1290"/>
      <c r="V53" s="1290"/>
      <c r="W53" s="1290"/>
    </row>
    <row r="54" spans="2:23" ht="15.75" customHeight="1" x14ac:dyDescent="0.2">
      <c r="C54" s="1367"/>
      <c r="D54" s="1368">
        <f t="shared" si="2"/>
        <v>2017</v>
      </c>
      <c r="E54" s="1329"/>
      <c r="F54" s="2"/>
      <c r="G54" s="1352"/>
      <c r="H54" s="2"/>
      <c r="I54" s="1352"/>
      <c r="J54" s="1297"/>
      <c r="K54" s="1363">
        <f t="shared" si="3"/>
        <v>2017</v>
      </c>
      <c r="L54" s="1353" t="str">
        <f>IF(K45="Forecast","",IF(L44=0,"",L45/L44-1))</f>
        <v/>
      </c>
      <c r="M54" s="1353">
        <f>IF(M44=0,"",M45/M44-1)</f>
        <v>-1.4383358350428921E-2</v>
      </c>
      <c r="N54" s="1329"/>
      <c r="O54" s="1354">
        <f>IF(O46=0,"",M45/O46-1)</f>
        <v>-4.5317387619381644E-2</v>
      </c>
      <c r="P54" s="1290"/>
      <c r="Q54" s="1290"/>
      <c r="R54" s="1290"/>
      <c r="S54" s="1290"/>
      <c r="T54" s="1290"/>
      <c r="U54" s="1290"/>
      <c r="V54" s="1290"/>
      <c r="W54" s="1290"/>
    </row>
    <row r="55" spans="2:23" ht="31.5" customHeight="1" thickBot="1" x14ac:dyDescent="0.25">
      <c r="C55" s="1369"/>
      <c r="D55" s="1370" t="s">
        <v>1221</v>
      </c>
      <c r="E55" s="1355"/>
      <c r="F55" s="1307"/>
      <c r="G55" s="1356"/>
      <c r="H55" s="1307"/>
      <c r="I55" s="1357"/>
      <c r="J55" s="1360"/>
      <c r="K55" s="1404" t="str">
        <f t="shared" si="3"/>
        <v>Geometric Mean</v>
      </c>
      <c r="L55" s="1358">
        <f>IF(L39=0,"",(L43/L39)^(1/($D43-$D39-1))-1)</f>
        <v>-1.3159887941596726E-2</v>
      </c>
      <c r="M55" s="1358">
        <f>IF(M39=0,"",(M45/M39)^(1/($D45-$D39-1))-1)</f>
        <v>-7.699518372429659E-3</v>
      </c>
      <c r="N55" s="1355"/>
      <c r="O55" s="1371">
        <f>IF(O46=0,"",(M45/O46)^(1/(TestYear-RebaseYear-1))-1)</f>
        <v>-1.1527131805295965E-2</v>
      </c>
      <c r="P55" s="1290"/>
      <c r="Q55" s="1290"/>
      <c r="R55" s="1290"/>
      <c r="S55" s="1290"/>
      <c r="T55" s="1290"/>
      <c r="U55" s="1290"/>
      <c r="V55" s="1290"/>
      <c r="W55" s="1290"/>
    </row>
    <row r="56" spans="2:23" ht="15.75" customHeight="1" x14ac:dyDescent="0.2">
      <c r="B56" s="1290"/>
      <c r="C56" s="1290"/>
      <c r="D56" s="1290"/>
      <c r="E56" s="1290"/>
      <c r="F56" s="1290"/>
      <c r="G56" s="1290"/>
      <c r="H56" s="1290"/>
      <c r="I56" s="1290"/>
      <c r="J56" s="1290"/>
      <c r="K56" s="1290"/>
      <c r="L56" s="1290"/>
      <c r="M56" s="1290"/>
      <c r="N56" s="1290"/>
      <c r="O56" s="1290"/>
      <c r="P56" s="1290"/>
      <c r="Q56" s="1290"/>
      <c r="R56" s="1290"/>
      <c r="S56" s="1290"/>
      <c r="T56" s="1290"/>
      <c r="U56" s="1290"/>
      <c r="V56" s="1290"/>
    </row>
    <row r="57" spans="2:23" ht="20.25" customHeight="1" x14ac:dyDescent="0.2">
      <c r="B57" s="1336" t="s">
        <v>1234</v>
      </c>
      <c r="C57" s="1290"/>
      <c r="D57" s="1290"/>
      <c r="E57" s="1290"/>
      <c r="F57" s="1290"/>
      <c r="G57" s="1290"/>
      <c r="H57" s="1290"/>
      <c r="I57" s="1290"/>
      <c r="J57" s="1290"/>
      <c r="K57" s="1290"/>
      <c r="L57" s="1290"/>
      <c r="M57" s="1290"/>
      <c r="N57" s="1290"/>
      <c r="O57" s="1290"/>
      <c r="P57" s="1290"/>
      <c r="Q57" s="1290"/>
      <c r="R57" s="1290"/>
      <c r="S57" s="1290"/>
      <c r="T57" s="1290"/>
      <c r="U57" s="1290"/>
      <c r="V57" s="1290"/>
    </row>
    <row r="58" spans="2:23" ht="14.25" customHeight="1" thickBot="1" x14ac:dyDescent="0.25">
      <c r="B58" s="1290"/>
      <c r="C58" s="1290"/>
      <c r="D58" s="1290"/>
      <c r="E58" s="1290"/>
      <c r="F58" s="1290"/>
      <c r="G58" s="1290"/>
      <c r="H58" s="1290"/>
      <c r="I58" s="1290"/>
      <c r="J58" s="1290"/>
      <c r="K58" s="1290"/>
      <c r="L58" s="1290"/>
      <c r="M58" s="1290"/>
      <c r="N58" s="1290"/>
      <c r="O58" s="1290"/>
      <c r="P58" s="1290"/>
      <c r="Q58" s="1290"/>
      <c r="R58" s="1290"/>
      <c r="S58" s="1290"/>
      <c r="T58" s="1290"/>
      <c r="U58" s="1290"/>
      <c r="V58" s="1290"/>
    </row>
    <row r="59" spans="2:23" ht="13.5" thickBot="1" x14ac:dyDescent="0.25">
      <c r="B59" s="1318">
        <v>1</v>
      </c>
      <c r="C59" s="3" t="s">
        <v>14</v>
      </c>
      <c r="D59" s="1880" t="s">
        <v>76</v>
      </c>
      <c r="E59" s="1881"/>
      <c r="F59" s="1882"/>
      <c r="G59" s="1291"/>
      <c r="H59" s="13" t="s">
        <v>1224</v>
      </c>
      <c r="N59" s="1317" t="s">
        <v>74</v>
      </c>
      <c r="O59" s="1316"/>
      <c r="P59" s="1316"/>
      <c r="Q59" s="1316"/>
      <c r="R59" s="1316"/>
      <c r="S59" s="1316"/>
      <c r="T59" s="1316"/>
      <c r="U59" s="1316"/>
    </row>
    <row r="60" spans="2:23" ht="13.5" thickBot="1" x14ac:dyDescent="0.25">
      <c r="Q60" s="1355"/>
      <c r="R60" s="1355"/>
      <c r="S60" s="1355"/>
      <c r="T60" s="1355"/>
      <c r="U60" s="1355"/>
    </row>
    <row r="61" spans="2:23" ht="12.75" customHeight="1" x14ac:dyDescent="0.2">
      <c r="C61" s="1264"/>
      <c r="D61" s="1268" t="s">
        <v>1205</v>
      </c>
      <c r="E61" s="1268"/>
      <c r="F61" s="1883" t="s">
        <v>1034</v>
      </c>
      <c r="G61" s="1884"/>
      <c r="H61" s="1884"/>
      <c r="I61" s="1885"/>
      <c r="J61" s="1268"/>
      <c r="K61" s="1859" t="s">
        <v>1213</v>
      </c>
      <c r="L61" s="1860"/>
      <c r="M61" s="1860"/>
      <c r="N61" s="1860"/>
      <c r="O61" s="1861"/>
      <c r="P61" s="1287"/>
      <c r="Q61" s="1869" t="str">
        <f>CONCATENATE("Consumption (kWh) per ",LEFT(F61,LEN(F61)-1))</f>
        <v>Consumption (kWh) per Customer</v>
      </c>
      <c r="R61" s="1879"/>
      <c r="S61" s="1879"/>
      <c r="T61" s="1879"/>
      <c r="U61" s="1870"/>
      <c r="V61" s="1308"/>
    </row>
    <row r="62" spans="2:23" ht="38.25" customHeight="1" thickBot="1" x14ac:dyDescent="0.25">
      <c r="C62" s="1271"/>
      <c r="D62" s="1277" t="str">
        <f>CONCATENATE("(for ",TestYear," Cost of Service")</f>
        <v>(for 2017 Cost of Service</v>
      </c>
      <c r="E62" s="1266"/>
      <c r="F62" s="1872"/>
      <c r="G62" s="1873"/>
      <c r="H62" s="1875"/>
      <c r="I62" s="1296"/>
      <c r="J62" s="1266"/>
      <c r="K62" s="1284"/>
      <c r="L62" s="1276" t="s">
        <v>1226</v>
      </c>
      <c r="M62" s="1276" t="s">
        <v>1210</v>
      </c>
      <c r="N62" s="1305"/>
      <c r="O62" s="1306" t="s">
        <v>1210</v>
      </c>
      <c r="P62" s="1266"/>
      <c r="Q62" s="1389"/>
      <c r="R62" s="1390" t="str">
        <f>L62</f>
        <v>Actual (Weather actual)</v>
      </c>
      <c r="S62" s="1391" t="str">
        <f>M62</f>
        <v>Weather-normalized</v>
      </c>
      <c r="T62" s="1391"/>
      <c r="U62" s="1392" t="str">
        <f>O62</f>
        <v>Weather-normalized</v>
      </c>
      <c r="V62" s="1308"/>
    </row>
    <row r="63" spans="2:23" x14ac:dyDescent="0.2">
      <c r="C63" s="1266" t="s">
        <v>890</v>
      </c>
      <c r="D63" s="1363">
        <f t="shared" ref="D63:D68" si="5">D64-1</f>
        <v>2011</v>
      </c>
      <c r="E63" s="1265"/>
      <c r="F63" s="1313" t="str">
        <f>K39</f>
        <v>Actual</v>
      </c>
      <c r="G63" s="1301">
        <v>9931.5</v>
      </c>
      <c r="H63" s="1297" t="str">
        <f t="shared" ref="H63:H69" si="6">IF(D63=RebaseYear,"Board-approved","")</f>
        <v/>
      </c>
      <c r="I63" s="1324"/>
      <c r="J63" s="1265"/>
      <c r="K63" s="1282" t="str">
        <f>F63</f>
        <v>Actual</v>
      </c>
      <c r="L63" s="1301">
        <v>91775630</v>
      </c>
      <c r="M63" s="1301">
        <v>90591004.732752308</v>
      </c>
      <c r="N63" s="1297" t="str">
        <f>H63</f>
        <v/>
      </c>
      <c r="O63" s="1492"/>
      <c r="P63" s="1265"/>
      <c r="Q63" s="1499" t="str">
        <f>K63</f>
        <v>Actual</v>
      </c>
      <c r="R63" s="1497">
        <f>IF(G63=0,"",L63/G63)</f>
        <v>9240.862910939939</v>
      </c>
      <c r="S63" s="1497">
        <f>IF(G63=0,"",M63/G63)</f>
        <v>9121.5833190104531</v>
      </c>
      <c r="T63" s="1329" t="str">
        <f>N63</f>
        <v/>
      </c>
      <c r="U63" s="1329" t="str">
        <f>IF(T63="","",IF(I63=0,"",O63/I63))</f>
        <v/>
      </c>
      <c r="V63" s="1309"/>
    </row>
    <row r="64" spans="2:23" x14ac:dyDescent="0.2">
      <c r="C64" s="1266" t="s">
        <v>890</v>
      </c>
      <c r="D64" s="1363">
        <f t="shared" si="5"/>
        <v>2012</v>
      </c>
      <c r="E64" s="1265"/>
      <c r="F64" s="1314" t="str">
        <f t="shared" ref="F64:F69" si="7">K40</f>
        <v>Actual</v>
      </c>
      <c r="G64" s="1301">
        <v>10007.5</v>
      </c>
      <c r="H64" s="1297" t="str">
        <f t="shared" si="6"/>
        <v>Board-approved</v>
      </c>
      <c r="I64" s="1494">
        <v>10023.425678689409</v>
      </c>
      <c r="J64" s="1265"/>
      <c r="K64" s="1282" t="str">
        <f t="shared" ref="K64:K69" si="8">F64</f>
        <v>Actual</v>
      </c>
      <c r="L64" s="1301">
        <v>90281488</v>
      </c>
      <c r="M64" s="1301">
        <v>90161333.299495831</v>
      </c>
      <c r="N64" s="1297" t="str">
        <f t="shared" ref="N64:N69" si="9">H64</f>
        <v>Board-approved</v>
      </c>
      <c r="O64" s="1493">
        <v>95979438.068175137</v>
      </c>
      <c r="P64" s="1265"/>
      <c r="Q64" s="1385" t="str">
        <f t="shared" ref="Q64:Q69" si="10">K64</f>
        <v>Actual</v>
      </c>
      <c r="R64" s="1497">
        <f t="shared" ref="R64:R69" si="11">IF(G64=0,"",L64/G64)</f>
        <v>9021.3827629278039</v>
      </c>
      <c r="S64" s="1497">
        <f t="shared" ref="S64:S69" si="12">IF(G64=0,"",M64/G64)</f>
        <v>9009.3762977262886</v>
      </c>
      <c r="T64" s="1329" t="str">
        <f t="shared" ref="T64:T69" si="13">N64</f>
        <v>Board-approved</v>
      </c>
      <c r="U64" s="1497">
        <f t="shared" ref="U64:U69" si="14">IF(T64="","",IF(I64=0,"",O64/I64))</f>
        <v>9575.512518862186</v>
      </c>
      <c r="V64" s="1309"/>
    </row>
    <row r="65" spans="2:22" x14ac:dyDescent="0.2">
      <c r="C65" s="1266" t="s">
        <v>890</v>
      </c>
      <c r="D65" s="1363">
        <f t="shared" si="5"/>
        <v>2013</v>
      </c>
      <c r="E65" s="1265"/>
      <c r="F65" s="1314" t="str">
        <f t="shared" si="7"/>
        <v>Actual</v>
      </c>
      <c r="G65" s="1301">
        <v>10082.5</v>
      </c>
      <c r="H65" s="1297" t="str">
        <f t="shared" si="6"/>
        <v/>
      </c>
      <c r="I65" s="1325"/>
      <c r="J65" s="1265"/>
      <c r="K65" s="1282" t="str">
        <f t="shared" si="8"/>
        <v>Actual</v>
      </c>
      <c r="L65" s="1301">
        <v>88791227</v>
      </c>
      <c r="M65" s="1301">
        <v>89088646.582387879</v>
      </c>
      <c r="N65" s="1297" t="str">
        <f t="shared" si="9"/>
        <v/>
      </c>
      <c r="O65" s="1325"/>
      <c r="P65" s="1265"/>
      <c r="Q65" s="1385" t="str">
        <f t="shared" si="10"/>
        <v>Actual</v>
      </c>
      <c r="R65" s="1495">
        <f t="shared" si="11"/>
        <v>8806.4693280436404</v>
      </c>
      <c r="S65" s="1497">
        <f t="shared" si="12"/>
        <v>8835.9679228750683</v>
      </c>
      <c r="T65" s="1329" t="str">
        <f t="shared" si="13"/>
        <v/>
      </c>
      <c r="U65" s="1329" t="str">
        <f t="shared" si="14"/>
        <v/>
      </c>
      <c r="V65" s="1309"/>
    </row>
    <row r="66" spans="2:22" x14ac:dyDescent="0.2">
      <c r="C66" s="1266" t="s">
        <v>890</v>
      </c>
      <c r="D66" s="1363">
        <f t="shared" si="5"/>
        <v>2014</v>
      </c>
      <c r="E66" s="1265"/>
      <c r="F66" s="1314" t="str">
        <f t="shared" si="7"/>
        <v>Actual</v>
      </c>
      <c r="G66" s="1301">
        <v>10153.5</v>
      </c>
      <c r="H66" s="1297" t="str">
        <f t="shared" si="6"/>
        <v/>
      </c>
      <c r="I66" s="1324"/>
      <c r="J66" s="1265"/>
      <c r="K66" s="1282" t="str">
        <f t="shared" si="8"/>
        <v>Actual</v>
      </c>
      <c r="L66" s="1301">
        <v>89130958</v>
      </c>
      <c r="M66" s="1301">
        <v>89456506.690920517</v>
      </c>
      <c r="N66" s="1297" t="str">
        <f t="shared" si="9"/>
        <v/>
      </c>
      <c r="O66" s="1324"/>
      <c r="P66" s="1265"/>
      <c r="Q66" s="1385" t="str">
        <f t="shared" si="10"/>
        <v>Actual</v>
      </c>
      <c r="R66" s="1495">
        <f t="shared" si="11"/>
        <v>8778.3481558083422</v>
      </c>
      <c r="S66" s="1497">
        <f t="shared" si="12"/>
        <v>8810.4108623549037</v>
      </c>
      <c r="T66" s="1329" t="str">
        <f t="shared" si="13"/>
        <v/>
      </c>
      <c r="U66" s="1329" t="str">
        <f t="shared" si="14"/>
        <v/>
      </c>
      <c r="V66" s="1309"/>
    </row>
    <row r="67" spans="2:22" x14ac:dyDescent="0.2">
      <c r="C67" s="1266" t="s">
        <v>890</v>
      </c>
      <c r="D67" s="1363">
        <f t="shared" si="5"/>
        <v>2015</v>
      </c>
      <c r="E67" s="1265"/>
      <c r="F67" s="1314" t="str">
        <f t="shared" si="7"/>
        <v>Actual</v>
      </c>
      <c r="G67" s="1301">
        <v>10217.5</v>
      </c>
      <c r="H67" s="1297" t="str">
        <f t="shared" si="6"/>
        <v/>
      </c>
      <c r="I67" s="1324"/>
      <c r="J67" s="1265"/>
      <c r="K67" s="1282" t="str">
        <f t="shared" si="8"/>
        <v>Actual</v>
      </c>
      <c r="L67" s="1301">
        <v>90749018</v>
      </c>
      <c r="M67" s="1301">
        <v>92011946.523400977</v>
      </c>
      <c r="N67" s="1297" t="str">
        <f t="shared" si="9"/>
        <v/>
      </c>
      <c r="O67" s="1324"/>
      <c r="P67" s="1265"/>
      <c r="Q67" s="1385" t="str">
        <f t="shared" si="10"/>
        <v>Actual</v>
      </c>
      <c r="R67" s="1495">
        <f t="shared" si="11"/>
        <v>8881.7242965500373</v>
      </c>
      <c r="S67" s="1497">
        <f t="shared" si="12"/>
        <v>9005.3287519844362</v>
      </c>
      <c r="T67" s="1329" t="str">
        <f t="shared" si="13"/>
        <v/>
      </c>
      <c r="U67" s="1329" t="str">
        <f t="shared" si="14"/>
        <v/>
      </c>
      <c r="V67" s="1309"/>
    </row>
    <row r="68" spans="2:22" x14ac:dyDescent="0.2">
      <c r="C68" s="1266" t="s">
        <v>313</v>
      </c>
      <c r="D68" s="1363">
        <f t="shared" si="5"/>
        <v>2016</v>
      </c>
      <c r="E68" s="1265"/>
      <c r="F68" s="1314" t="str">
        <f t="shared" si="7"/>
        <v>Forecast</v>
      </c>
      <c r="G68" s="1301">
        <v>10301.603081592852</v>
      </c>
      <c r="H68" s="1297" t="str">
        <f t="shared" si="6"/>
        <v/>
      </c>
      <c r="I68" s="1324"/>
      <c r="J68" s="1265"/>
      <c r="K68" s="1282" t="str">
        <f t="shared" si="8"/>
        <v>Forecast</v>
      </c>
      <c r="L68" s="1303"/>
      <c r="M68" s="1301">
        <v>92479879.620842174</v>
      </c>
      <c r="N68" s="1297" t="str">
        <f t="shared" si="9"/>
        <v/>
      </c>
      <c r="O68" s="1324"/>
      <c r="P68" s="1265"/>
      <c r="Q68" s="1385" t="str">
        <f t="shared" si="10"/>
        <v>Forecast</v>
      </c>
      <c r="R68" s="1387">
        <f t="shared" si="11"/>
        <v>0</v>
      </c>
      <c r="S68" s="1497">
        <f t="shared" si="12"/>
        <v>8977.231882102642</v>
      </c>
      <c r="T68" s="1329" t="str">
        <f t="shared" si="13"/>
        <v/>
      </c>
      <c r="U68" s="1329" t="str">
        <f t="shared" si="14"/>
        <v/>
      </c>
      <c r="V68" s="1309"/>
    </row>
    <row r="69" spans="2:22" ht="13.5" thickBot="1" x14ac:dyDescent="0.25">
      <c r="C69" s="1267" t="s">
        <v>314</v>
      </c>
      <c r="D69" s="1364">
        <f>TestYear</f>
        <v>2017</v>
      </c>
      <c r="E69" s="1271"/>
      <c r="F69" s="1315" t="str">
        <f t="shared" si="7"/>
        <v>Forecast</v>
      </c>
      <c r="G69" s="1302">
        <v>10386.398439019657</v>
      </c>
      <c r="H69" s="1298" t="str">
        <f t="shared" si="6"/>
        <v/>
      </c>
      <c r="I69" s="1326"/>
      <c r="J69" s="1271"/>
      <c r="K69" s="1283" t="str">
        <f t="shared" si="8"/>
        <v>Forecast</v>
      </c>
      <c r="L69" s="1304"/>
      <c r="M69" s="1302">
        <v>92079767.015226617</v>
      </c>
      <c r="N69" s="1298" t="str">
        <f t="shared" si="9"/>
        <v/>
      </c>
      <c r="O69" s="1326"/>
      <c r="P69" s="1271"/>
      <c r="Q69" s="1386" t="str">
        <f t="shared" si="10"/>
        <v>Forecast</v>
      </c>
      <c r="R69" s="1388">
        <f t="shared" si="11"/>
        <v>0</v>
      </c>
      <c r="S69" s="1498">
        <f t="shared" si="12"/>
        <v>8865.4183214559762</v>
      </c>
      <c r="T69" s="1355" t="str">
        <f t="shared" si="13"/>
        <v/>
      </c>
      <c r="U69" s="1355" t="str">
        <f t="shared" si="14"/>
        <v/>
      </c>
      <c r="V69" s="1309"/>
    </row>
    <row r="70" spans="2:22" ht="13.5" thickBot="1" x14ac:dyDescent="0.25">
      <c r="B70" s="1329"/>
      <c r="C70" s="1366"/>
      <c r="I70" s="1408">
        <f>SUM(I63:I68)</f>
        <v>10023.425678689409</v>
      </c>
      <c r="O70" s="1408">
        <f>SUM(O63:O68)</f>
        <v>95979438.068175137</v>
      </c>
      <c r="U70" s="1408">
        <f>SUM(U63:U68)</f>
        <v>9575.512518862186</v>
      </c>
    </row>
    <row r="71" spans="2:22" ht="39" thickBot="1" x14ac:dyDescent="0.25">
      <c r="C71" s="1400" t="s">
        <v>952</v>
      </c>
      <c r="D71" s="1399" t="s">
        <v>15</v>
      </c>
      <c r="E71" s="1361"/>
      <c r="F71" s="1361"/>
      <c r="G71" s="1398" t="s">
        <v>1222</v>
      </c>
      <c r="H71" s="1361"/>
      <c r="I71" s="1394" t="s">
        <v>1235</v>
      </c>
      <c r="J71" s="1396"/>
      <c r="K71" s="1395" t="s">
        <v>15</v>
      </c>
      <c r="L71" s="1874" t="s">
        <v>1222</v>
      </c>
      <c r="M71" s="1874"/>
      <c r="N71" s="1361"/>
      <c r="O71" s="1394" t="str">
        <f>I71</f>
        <v>Test Year Versus Board-approved</v>
      </c>
      <c r="P71" s="1397"/>
      <c r="Q71" s="1395" t="s">
        <v>15</v>
      </c>
      <c r="R71" s="1874" t="s">
        <v>1222</v>
      </c>
      <c r="S71" s="1874"/>
      <c r="T71" s="1361"/>
      <c r="U71" s="1394" t="str">
        <f>O71</f>
        <v>Test Year Versus Board-approved</v>
      </c>
    </row>
    <row r="72" spans="2:22" x14ac:dyDescent="0.2">
      <c r="C72" s="1265"/>
      <c r="D72" s="1377">
        <f t="shared" ref="D72:D78" si="15">D63</f>
        <v>2011</v>
      </c>
      <c r="E72" s="1329"/>
      <c r="F72" s="1329"/>
      <c r="G72" s="1372"/>
      <c r="H72" s="1329"/>
      <c r="I72" s="1378"/>
      <c r="J72" s="1384"/>
      <c r="K72" s="1363">
        <f>D72</f>
        <v>2011</v>
      </c>
      <c r="L72" s="1351"/>
      <c r="M72" s="1351"/>
      <c r="N72" s="1329"/>
      <c r="O72" s="1324"/>
      <c r="P72" s="1265"/>
      <c r="Q72" s="1363">
        <f>K72</f>
        <v>2011</v>
      </c>
      <c r="R72" s="1330"/>
      <c r="S72" s="1330"/>
      <c r="T72" s="1329"/>
      <c r="U72" s="1324"/>
    </row>
    <row r="73" spans="2:22" x14ac:dyDescent="0.2">
      <c r="C73" s="1265"/>
      <c r="D73" s="1365">
        <f t="shared" si="15"/>
        <v>2012</v>
      </c>
      <c r="E73" s="1329"/>
      <c r="F73" s="1329"/>
      <c r="G73" s="1373">
        <f t="shared" ref="G73:G78" si="16">IF(G63=0,"",G64/G63-1)</f>
        <v>7.6524190706337425E-3</v>
      </c>
      <c r="H73" s="1329"/>
      <c r="I73" s="1378"/>
      <c r="J73" s="1384"/>
      <c r="K73" s="1363">
        <f t="shared" ref="K73:K79" si="17">D73</f>
        <v>2012</v>
      </c>
      <c r="L73" s="1353">
        <f t="shared" ref="L73:M76" si="18">IF(L63=0,"",L64/L63-1)</f>
        <v>-1.6280378571086884E-2</v>
      </c>
      <c r="M73" s="1353">
        <f t="shared" si="18"/>
        <v>-4.7429812101547064E-3</v>
      </c>
      <c r="N73" s="1329"/>
      <c r="O73" s="1324"/>
      <c r="P73" s="1265"/>
      <c r="Q73" s="1363">
        <f t="shared" ref="Q73:Q79" si="19">K73</f>
        <v>2012</v>
      </c>
      <c r="R73" s="1374">
        <f>IF(R63="","",IF(R63=0,"",R64/R63-1))</f>
        <v>-2.3751044694354295E-2</v>
      </c>
      <c r="S73" s="1374">
        <f>IF(S63="","",IF(S63=0,"",S64/S63-1))</f>
        <v>-1.2301265839485542E-2</v>
      </c>
      <c r="T73" s="1329"/>
      <c r="U73" s="1324"/>
    </row>
    <row r="74" spans="2:22" x14ac:dyDescent="0.2">
      <c r="C74" s="1265"/>
      <c r="D74" s="1365">
        <f t="shared" si="15"/>
        <v>2013</v>
      </c>
      <c r="E74" s="1329"/>
      <c r="F74" s="1329"/>
      <c r="G74" s="1373">
        <f t="shared" si="16"/>
        <v>7.4943792155883759E-3</v>
      </c>
      <c r="H74" s="1329"/>
      <c r="I74" s="1378"/>
      <c r="J74" s="1384"/>
      <c r="K74" s="1363">
        <f t="shared" si="17"/>
        <v>2013</v>
      </c>
      <c r="L74" s="1353">
        <f t="shared" si="18"/>
        <v>-1.650682806645809E-2</v>
      </c>
      <c r="M74" s="1353">
        <f t="shared" si="18"/>
        <v>-1.1897414089305114E-2</v>
      </c>
      <c r="N74" s="1329"/>
      <c r="O74" s="1324"/>
      <c r="P74" s="1265"/>
      <c r="Q74" s="1363">
        <f t="shared" si="19"/>
        <v>2013</v>
      </c>
      <c r="R74" s="1374">
        <f t="shared" ref="R74:S76" si="20">IF(R64="","",IF(R64=0,"",R65/R64-1))</f>
        <v>-2.3822671150516062E-2</v>
      </c>
      <c r="S74" s="1374">
        <f t="shared" si="20"/>
        <v>-1.9247544904410718E-2</v>
      </c>
      <c r="T74" s="1329"/>
      <c r="U74" s="1324"/>
    </row>
    <row r="75" spans="2:22" x14ac:dyDescent="0.2">
      <c r="C75" s="1265"/>
      <c r="D75" s="1365">
        <f t="shared" si="15"/>
        <v>2014</v>
      </c>
      <c r="E75" s="1329"/>
      <c r="F75" s="1329"/>
      <c r="G75" s="1373">
        <f t="shared" si="16"/>
        <v>7.041904289610601E-3</v>
      </c>
      <c r="H75" s="1329"/>
      <c r="I75" s="1378"/>
      <c r="J75" s="1384"/>
      <c r="K75" s="1363">
        <f t="shared" si="17"/>
        <v>2014</v>
      </c>
      <c r="L75" s="1353">
        <f t="shared" si="18"/>
        <v>3.8261775569337075E-3</v>
      </c>
      <c r="M75" s="1353">
        <f t="shared" si="18"/>
        <v>4.1291468963158273E-3</v>
      </c>
      <c r="N75" s="1329"/>
      <c r="O75" s="1324"/>
      <c r="P75" s="1265"/>
      <c r="Q75" s="1363">
        <f t="shared" si="19"/>
        <v>2014</v>
      </c>
      <c r="R75" s="1374">
        <f t="shared" si="20"/>
        <v>-3.1932402405295823E-3</v>
      </c>
      <c r="S75" s="1374">
        <f t="shared" si="20"/>
        <v>-2.8923894635245473E-3</v>
      </c>
      <c r="T75" s="1329"/>
      <c r="U75" s="1324"/>
    </row>
    <row r="76" spans="2:22" x14ac:dyDescent="0.2">
      <c r="C76" s="1265"/>
      <c r="D76" s="1365">
        <f t="shared" si="15"/>
        <v>2015</v>
      </c>
      <c r="E76" s="1329"/>
      <c r="F76" s="1329"/>
      <c r="G76" s="1373">
        <f t="shared" si="16"/>
        <v>6.3032451863889172E-3</v>
      </c>
      <c r="H76" s="1329"/>
      <c r="I76" s="1378"/>
      <c r="J76" s="1384"/>
      <c r="K76" s="1363">
        <f t="shared" si="17"/>
        <v>2015</v>
      </c>
      <c r="L76" s="1353">
        <f t="shared" si="18"/>
        <v>1.8153737335573128E-2</v>
      </c>
      <c r="M76" s="1353">
        <f t="shared" si="18"/>
        <v>2.8566282398101217E-2</v>
      </c>
      <c r="N76" s="1329"/>
      <c r="O76" s="1324"/>
      <c r="P76" s="1265"/>
      <c r="Q76" s="1363">
        <f t="shared" si="19"/>
        <v>2015</v>
      </c>
      <c r="R76" s="1374">
        <f t="shared" si="20"/>
        <v>1.1776263473133541E-2</v>
      </c>
      <c r="S76" s="1374">
        <f t="shared" si="20"/>
        <v>2.2123586819585928E-2</v>
      </c>
      <c r="T76" s="1329"/>
      <c r="U76" s="1324"/>
    </row>
    <row r="77" spans="2:22" x14ac:dyDescent="0.2">
      <c r="C77" s="1265"/>
      <c r="D77" s="1365">
        <f t="shared" si="15"/>
        <v>2016</v>
      </c>
      <c r="E77" s="1329"/>
      <c r="F77" s="1329"/>
      <c r="G77" s="1373">
        <f t="shared" si="16"/>
        <v>8.2312778657060992E-3</v>
      </c>
      <c r="H77" s="1329"/>
      <c r="I77" s="1378"/>
      <c r="J77" s="1384"/>
      <c r="K77" s="1363">
        <f t="shared" si="17"/>
        <v>2016</v>
      </c>
      <c r="L77" s="1353" t="str">
        <f>IF(K68="Forecast","",IF(L67=0,"",L68/L67-1))</f>
        <v/>
      </c>
      <c r="M77" s="1353">
        <f>IF(M67=0,"",M68/M67-1)</f>
        <v>5.0855689410089777E-3</v>
      </c>
      <c r="N77" s="1329"/>
      <c r="O77" s="1324"/>
      <c r="P77" s="1265"/>
      <c r="Q77" s="1363">
        <f t="shared" si="19"/>
        <v>2016</v>
      </c>
      <c r="R77" s="1374" t="str">
        <f>IF(Q68="Forecast","",IF(R67=0,"",R68/R67-1))</f>
        <v/>
      </c>
      <c r="S77" s="1374">
        <f>IF(S67="","",IF(S67=0,"",S68/S67-1))</f>
        <v>-3.120027114568491E-3</v>
      </c>
      <c r="T77" s="1329"/>
      <c r="U77" s="1324"/>
    </row>
    <row r="78" spans="2:22" x14ac:dyDescent="0.2">
      <c r="C78" s="1265"/>
      <c r="D78" s="1365">
        <f t="shared" si="15"/>
        <v>2017</v>
      </c>
      <c r="E78" s="1329"/>
      <c r="F78" s="1329"/>
      <c r="G78" s="1373">
        <f t="shared" si="16"/>
        <v>8.2312778657060992E-3</v>
      </c>
      <c r="H78" s="1329"/>
      <c r="I78" s="1379">
        <f>IF(I70=0,"",G69/I70-1)</f>
        <v>3.6212445920754899E-2</v>
      </c>
      <c r="J78" s="1384"/>
      <c r="K78" s="1363">
        <f t="shared" si="17"/>
        <v>2017</v>
      </c>
      <c r="L78" s="1353" t="str">
        <f>IF(K69="Forecast","",IF(L68=0,"",L69/L68-1))</f>
        <v/>
      </c>
      <c r="M78" s="1353">
        <f>IF(M68=0,"",M69/M68-1)</f>
        <v>-4.3264827685327578E-3</v>
      </c>
      <c r="N78" s="1329"/>
      <c r="O78" s="1354">
        <f>IF(O70=0,"",M69/O70-1)</f>
        <v>-4.0630275936586968E-2</v>
      </c>
      <c r="P78" s="1265"/>
      <c r="Q78" s="1363">
        <f t="shared" si="19"/>
        <v>2017</v>
      </c>
      <c r="R78" s="1374" t="str">
        <f>IF(Q69="Forecast","",IF(R68=0,"",R69/R68-1))</f>
        <v/>
      </c>
      <c r="S78" s="1374">
        <f>IF(S68="","",IF(S68=0,"",S69/S68-1))</f>
        <v>-1.2455238108484368E-2</v>
      </c>
      <c r="T78" s="1329"/>
      <c r="U78" s="1354">
        <f>IF(U70=0,"",S69/U70-1)</f>
        <v>-7.4157304479257946E-2</v>
      </c>
    </row>
    <row r="79" spans="2:22" ht="26.25" thickBot="1" x14ac:dyDescent="0.25">
      <c r="C79" s="1271"/>
      <c r="D79" s="1405" t="s">
        <v>1221</v>
      </c>
      <c r="E79" s="1355"/>
      <c r="F79" s="1355"/>
      <c r="G79" s="1375">
        <f>IF(G63=0,"",(G69/G63)^(1/($D69-$D63-1))-1)</f>
        <v>8.9973517548049831E-3</v>
      </c>
      <c r="H79" s="1355"/>
      <c r="I79" s="1406">
        <f>IF(I70=0,"",(G69/I70)^(1/(TestYear-RebaseYear-1))-1)</f>
        <v>8.9327072309206557E-3</v>
      </c>
      <c r="J79" s="1360"/>
      <c r="K79" s="1404" t="str">
        <f t="shared" si="17"/>
        <v>Geometric Mean</v>
      </c>
      <c r="L79" s="1358">
        <f>IF(L63=0,"",(L67/L63)^(1/($D67-$D63-1))-1)</f>
        <v>-3.7426925428687419E-3</v>
      </c>
      <c r="M79" s="1358">
        <f>IF(M63=0,"",(M69/M63)^(1/($D69-$D63-1))-1)</f>
        <v>3.2653820941292988E-3</v>
      </c>
      <c r="N79" s="1355"/>
      <c r="O79" s="1371">
        <f>IF(O70=0,"",(M69/O70)^(1/(TestYear-RebaseYear-1))-1)</f>
        <v>-1.0316107051186019E-2</v>
      </c>
      <c r="P79" s="1271"/>
      <c r="Q79" s="1404" t="str">
        <f t="shared" si="19"/>
        <v>Geometric Mean</v>
      </c>
      <c r="R79" s="1376">
        <f>IF(R63="","",IF(R63=0,"",(R67/R63)^(1/($D67-$D63-1))-1))</f>
        <v>-1.312627382875553E-2</v>
      </c>
      <c r="S79" s="1358">
        <f>IF(S63="","",IF(S63=0,"",(S69/S63)^(1/($D69-$D63-1))-1))</f>
        <v>-5.6808569920494545E-3</v>
      </c>
      <c r="T79" s="1355"/>
      <c r="U79" s="1371">
        <f>IF(U70=0,"",(S69/U70)^(1/(TestYear-RebaseYear-1))-1)</f>
        <v>-1.9078392586693305E-2</v>
      </c>
    </row>
    <row r="81" spans="3:21" ht="13.5" thickBot="1" x14ac:dyDescent="0.25">
      <c r="Q81" s="1355"/>
      <c r="R81" s="1355"/>
      <c r="S81" s="1355"/>
      <c r="T81" s="1355"/>
      <c r="U81" s="1355"/>
    </row>
    <row r="82" spans="3:21" x14ac:dyDescent="0.2">
      <c r="C82" s="1264"/>
      <c r="D82" s="1268" t="s">
        <v>1205</v>
      </c>
      <c r="E82" s="1268"/>
      <c r="F82" s="1876" t="s">
        <v>1198</v>
      </c>
      <c r="G82" s="1877"/>
      <c r="H82" s="1877"/>
      <c r="I82" s="1878"/>
      <c r="K82" s="1859" t="str">
        <f>IF(ISBLANK(N59),"",CONCATENATE("Demand (",N59,")"))</f>
        <v>Demand (kWh)</v>
      </c>
      <c r="L82" s="1860"/>
      <c r="M82" s="1860"/>
      <c r="N82" s="1860"/>
      <c r="O82" s="1861"/>
      <c r="Q82" s="1869" t="str">
        <f>CONCATENATE("Demand (",N59,") per ",LEFT(F61,LEN(F61)-1))</f>
        <v>Demand (kWh) per Customer</v>
      </c>
      <c r="R82" s="1879"/>
      <c r="S82" s="1879"/>
      <c r="T82" s="1879"/>
      <c r="U82" s="1870"/>
    </row>
    <row r="83" spans="3:21" ht="39" thickBot="1" x14ac:dyDescent="0.25">
      <c r="C83" s="1271"/>
      <c r="D83" s="1277" t="str">
        <f>CONCATENATE("(for ",TestYear," Cost of Service")</f>
        <v>(for 2017 Cost of Service</v>
      </c>
      <c r="E83" s="1266"/>
      <c r="F83" s="1872"/>
      <c r="G83" s="1873"/>
      <c r="H83" s="1873"/>
      <c r="I83" s="1296"/>
      <c r="K83" s="1284"/>
      <c r="L83" s="1276" t="s">
        <v>1226</v>
      </c>
      <c r="M83" s="1276" t="s">
        <v>1210</v>
      </c>
      <c r="N83" s="1305"/>
      <c r="O83" s="1306" t="str">
        <f>M83</f>
        <v>Weather-normalized</v>
      </c>
      <c r="Q83" s="1403"/>
      <c r="R83" s="1276" t="str">
        <f>L83</f>
        <v>Actual (Weather actual)</v>
      </c>
      <c r="S83" s="1276" t="str">
        <f>M83</f>
        <v>Weather-normalized</v>
      </c>
      <c r="T83" s="1276"/>
      <c r="U83" s="1280" t="str">
        <f>O83</f>
        <v>Weather-normalized</v>
      </c>
    </row>
    <row r="84" spans="3:21" x14ac:dyDescent="0.2">
      <c r="C84" s="1266" t="s">
        <v>890</v>
      </c>
      <c r="D84" s="1363">
        <f t="shared" ref="D84:D89" si="21">D85-1</f>
        <v>2011</v>
      </c>
      <c r="E84" s="1265"/>
      <c r="F84" s="1313" t="str">
        <f t="shared" ref="F84:F90" si="22">F63</f>
        <v>Actual</v>
      </c>
      <c r="G84" s="1311">
        <v>1917697</v>
      </c>
      <c r="H84" s="2" t="str">
        <f t="shared" ref="H84:H90" si="23">IF(D84=RebaseYear,"Board-approved","")</f>
        <v/>
      </c>
      <c r="I84" s="1383"/>
      <c r="K84" s="1282" t="str">
        <f t="shared" ref="K84:K90" si="24">K63</f>
        <v>Actual</v>
      </c>
      <c r="L84" s="1294"/>
      <c r="M84" s="1294"/>
      <c r="N84" s="1258" t="str">
        <f t="shared" ref="N84:N90" si="25">N63</f>
        <v/>
      </c>
      <c r="O84" s="1324"/>
      <c r="Q84" s="1385" t="str">
        <f>K84</f>
        <v>Actual</v>
      </c>
      <c r="R84" s="1329">
        <f>IF(G84=0,"",L84/G84)</f>
        <v>0</v>
      </c>
      <c r="S84" s="1309">
        <f>IF(G84=0,"",M84/G84)</f>
        <v>0</v>
      </c>
      <c r="T84" s="1309" t="str">
        <f>N84</f>
        <v/>
      </c>
      <c r="U84" s="1265" t="str">
        <f>IF(T84="","",IF(I84=0,"",O84/I84))</f>
        <v/>
      </c>
    </row>
    <row r="85" spans="3:21" x14ac:dyDescent="0.2">
      <c r="C85" s="1266" t="s">
        <v>890</v>
      </c>
      <c r="D85" s="1363">
        <f t="shared" si="21"/>
        <v>2012</v>
      </c>
      <c r="E85" s="1265"/>
      <c r="F85" s="1314" t="str">
        <f t="shared" si="22"/>
        <v>Actual</v>
      </c>
      <c r="G85" s="1311">
        <v>2012554</v>
      </c>
      <c r="H85" s="2" t="str">
        <f t="shared" si="23"/>
        <v>Board-approved</v>
      </c>
      <c r="I85" s="1311">
        <v>2055321.799325021</v>
      </c>
      <c r="K85" s="1282" t="str">
        <f t="shared" si="24"/>
        <v>Actual</v>
      </c>
      <c r="L85" s="1294"/>
      <c r="M85" s="1294"/>
      <c r="N85" s="1258" t="str">
        <f t="shared" si="25"/>
        <v>Board-approved</v>
      </c>
      <c r="O85" s="1324"/>
      <c r="Q85" s="1385" t="str">
        <f t="shared" ref="Q85:Q90" si="26">K85</f>
        <v>Actual</v>
      </c>
      <c r="R85" s="1329">
        <f t="shared" ref="R85:R90" si="27">IF(G85=0,"",L85/G85)</f>
        <v>0</v>
      </c>
      <c r="S85" s="1309">
        <f t="shared" ref="S85:S90" si="28">IF(G85=0,"",M85/G85)</f>
        <v>0</v>
      </c>
      <c r="T85" s="1309" t="str">
        <f t="shared" ref="T85:T90" si="29">N85</f>
        <v>Board-approved</v>
      </c>
      <c r="U85" s="1265">
        <f t="shared" ref="U85:U90" si="30">IF(T85="","",IF(I85=0,"",O85/I85))</f>
        <v>0</v>
      </c>
    </row>
    <row r="86" spans="3:21" x14ac:dyDescent="0.2">
      <c r="C86" s="1266" t="s">
        <v>890</v>
      </c>
      <c r="D86" s="1363">
        <f t="shared" si="21"/>
        <v>2013</v>
      </c>
      <c r="E86" s="1265"/>
      <c r="F86" s="1314" t="str">
        <f t="shared" si="22"/>
        <v>Actual</v>
      </c>
      <c r="G86" s="1311">
        <v>2471804.4840444927</v>
      </c>
      <c r="H86" s="2" t="str">
        <f t="shared" si="23"/>
        <v/>
      </c>
      <c r="I86" s="1328"/>
      <c r="K86" s="1282" t="str">
        <f t="shared" si="24"/>
        <v>Actual</v>
      </c>
      <c r="L86" s="1294"/>
      <c r="M86" s="1294"/>
      <c r="N86" s="1258" t="str">
        <f t="shared" si="25"/>
        <v/>
      </c>
      <c r="O86" s="1325"/>
      <c r="Q86" s="1385" t="str">
        <f t="shared" si="26"/>
        <v>Actual</v>
      </c>
      <c r="R86" s="1329">
        <f t="shared" si="27"/>
        <v>0</v>
      </c>
      <c r="S86" s="1309">
        <f t="shared" si="28"/>
        <v>0</v>
      </c>
      <c r="T86" s="1309" t="str">
        <f t="shared" si="29"/>
        <v/>
      </c>
      <c r="U86" s="1265" t="str">
        <f t="shared" si="30"/>
        <v/>
      </c>
    </row>
    <row r="87" spans="3:21" x14ac:dyDescent="0.2">
      <c r="C87" s="1266" t="s">
        <v>890</v>
      </c>
      <c r="D87" s="1363">
        <f t="shared" si="21"/>
        <v>2014</v>
      </c>
      <c r="E87" s="1265"/>
      <c r="F87" s="1314" t="str">
        <f t="shared" si="22"/>
        <v>Actual</v>
      </c>
      <c r="G87" s="1311">
        <v>2213912</v>
      </c>
      <c r="H87" s="2" t="str">
        <f t="shared" si="23"/>
        <v/>
      </c>
      <c r="I87" s="1324"/>
      <c r="K87" s="1282" t="str">
        <f t="shared" si="24"/>
        <v>Actual</v>
      </c>
      <c r="L87" s="1294"/>
      <c r="M87" s="1294"/>
      <c r="N87" s="1258" t="str">
        <f t="shared" si="25"/>
        <v/>
      </c>
      <c r="O87" s="1324"/>
      <c r="Q87" s="1385" t="str">
        <f t="shared" si="26"/>
        <v>Actual</v>
      </c>
      <c r="R87" s="1329">
        <f t="shared" si="27"/>
        <v>0</v>
      </c>
      <c r="S87" s="1309">
        <f t="shared" si="28"/>
        <v>0</v>
      </c>
      <c r="T87" s="1309" t="str">
        <f t="shared" si="29"/>
        <v/>
      </c>
      <c r="U87" s="1265" t="str">
        <f t="shared" si="30"/>
        <v/>
      </c>
    </row>
    <row r="88" spans="3:21" x14ac:dyDescent="0.2">
      <c r="C88" s="1266" t="s">
        <v>890</v>
      </c>
      <c r="D88" s="1363">
        <f t="shared" si="21"/>
        <v>2015</v>
      </c>
      <c r="E88" s="1265"/>
      <c r="F88" s="1314" t="str">
        <f t="shared" si="22"/>
        <v>Actual</v>
      </c>
      <c r="G88" s="1311">
        <v>2248530.17</v>
      </c>
      <c r="H88" s="2" t="str">
        <f t="shared" si="23"/>
        <v/>
      </c>
      <c r="I88" s="1324"/>
      <c r="K88" s="1282" t="str">
        <f t="shared" si="24"/>
        <v>Actual</v>
      </c>
      <c r="L88" s="1294"/>
      <c r="M88" s="1294"/>
      <c r="N88" s="1258" t="str">
        <f t="shared" si="25"/>
        <v/>
      </c>
      <c r="O88" s="1324"/>
      <c r="Q88" s="1385" t="str">
        <f t="shared" si="26"/>
        <v>Actual</v>
      </c>
      <c r="R88" s="1329">
        <f t="shared" si="27"/>
        <v>0</v>
      </c>
      <c r="S88" s="1309">
        <f t="shared" si="28"/>
        <v>0</v>
      </c>
      <c r="T88" s="1309" t="str">
        <f t="shared" si="29"/>
        <v/>
      </c>
      <c r="U88" s="1265" t="str">
        <f t="shared" si="30"/>
        <v/>
      </c>
    </row>
    <row r="89" spans="3:21" x14ac:dyDescent="0.2">
      <c r="C89" s="1266" t="s">
        <v>1203</v>
      </c>
      <c r="D89" s="1363">
        <f t="shared" si="21"/>
        <v>2016</v>
      </c>
      <c r="E89" s="1265"/>
      <c r="F89" s="1314" t="str">
        <f t="shared" si="22"/>
        <v>Forecast</v>
      </c>
      <c r="G89" s="1311">
        <v>2221219.6825808138</v>
      </c>
      <c r="H89" s="2" t="str">
        <f t="shared" si="23"/>
        <v/>
      </c>
      <c r="I89" s="1324"/>
      <c r="K89" s="1282" t="str">
        <f t="shared" si="24"/>
        <v>Forecast</v>
      </c>
      <c r="L89" s="1303"/>
      <c r="M89" s="1334"/>
      <c r="N89" s="1258" t="str">
        <f t="shared" si="25"/>
        <v/>
      </c>
      <c r="O89" s="1324"/>
      <c r="Q89" s="1385" t="str">
        <f t="shared" si="26"/>
        <v>Forecast</v>
      </c>
      <c r="R89" s="1329">
        <f t="shared" si="27"/>
        <v>0</v>
      </c>
      <c r="S89" s="1309">
        <f t="shared" si="28"/>
        <v>0</v>
      </c>
      <c r="T89" s="1309" t="str">
        <f t="shared" si="29"/>
        <v/>
      </c>
      <c r="U89" s="1265" t="str">
        <f t="shared" si="30"/>
        <v/>
      </c>
    </row>
    <row r="90" spans="3:21" ht="13.5" thickBot="1" x14ac:dyDescent="0.25">
      <c r="C90" s="1267" t="s">
        <v>1204</v>
      </c>
      <c r="D90" s="1364">
        <f>TestYear</f>
        <v>2017</v>
      </c>
      <c r="E90" s="1271"/>
      <c r="F90" s="1315" t="str">
        <f t="shared" si="22"/>
        <v>Forecast</v>
      </c>
      <c r="G90" s="1312">
        <v>2652608.397151059</v>
      </c>
      <c r="H90" s="1307" t="str">
        <f t="shared" si="23"/>
        <v/>
      </c>
      <c r="I90" s="1326"/>
      <c r="K90" s="1283" t="str">
        <f t="shared" si="24"/>
        <v>Forecast</v>
      </c>
      <c r="L90" s="1304"/>
      <c r="M90" s="1335"/>
      <c r="N90" s="1262" t="str">
        <f t="shared" si="25"/>
        <v/>
      </c>
      <c r="O90" s="1326"/>
      <c r="Q90" s="1319" t="str">
        <f t="shared" si="26"/>
        <v>Forecast</v>
      </c>
      <c r="R90" s="1310">
        <f t="shared" si="27"/>
        <v>0</v>
      </c>
      <c r="S90" s="1310">
        <f t="shared" si="28"/>
        <v>0</v>
      </c>
      <c r="T90" s="1310" t="str">
        <f t="shared" si="29"/>
        <v/>
      </c>
      <c r="U90" s="1271" t="str">
        <f t="shared" si="30"/>
        <v/>
      </c>
    </row>
    <row r="91" spans="3:21" ht="13.5" thickBot="1" x14ac:dyDescent="0.25">
      <c r="C91" s="1366"/>
      <c r="I91" s="1408">
        <f>SUM(I84:I89)</f>
        <v>2055321.799325021</v>
      </c>
      <c r="J91" s="1329"/>
      <c r="O91" s="1408">
        <f>SUM(O84:O89)</f>
        <v>0</v>
      </c>
      <c r="U91" s="1408">
        <f>SUM(U84:U89)</f>
        <v>0</v>
      </c>
    </row>
    <row r="92" spans="3:21" ht="39" customHeight="1" thickBot="1" x14ac:dyDescent="0.25">
      <c r="C92" s="1400" t="s">
        <v>952</v>
      </c>
      <c r="D92" s="1399" t="s">
        <v>15</v>
      </c>
      <c r="E92" s="1398"/>
      <c r="F92" s="1398"/>
      <c r="G92" s="1398" t="s">
        <v>1222</v>
      </c>
      <c r="H92" s="1398"/>
      <c r="I92" s="1394" t="str">
        <f>I71</f>
        <v>Test Year Versus Board-approved</v>
      </c>
      <c r="J92" s="1407"/>
      <c r="K92" s="1395" t="s">
        <v>15</v>
      </c>
      <c r="L92" s="1874" t="s">
        <v>1222</v>
      </c>
      <c r="M92" s="1874"/>
      <c r="N92" s="1398"/>
      <c r="O92" s="1394" t="str">
        <f>I92</f>
        <v>Test Year Versus Board-approved</v>
      </c>
      <c r="P92" s="1380"/>
      <c r="Q92" s="1395" t="s">
        <v>15</v>
      </c>
      <c r="R92" s="1874" t="s">
        <v>1222</v>
      </c>
      <c r="S92" s="1874"/>
      <c r="T92" s="1398"/>
      <c r="U92" s="1394" t="str">
        <f>O92</f>
        <v>Test Year Versus Board-approved</v>
      </c>
    </row>
    <row r="93" spans="3:21" x14ac:dyDescent="0.2">
      <c r="C93" s="1265"/>
      <c r="D93" s="1402">
        <f t="shared" ref="D93:D99" si="31">D84</f>
        <v>2011</v>
      </c>
      <c r="E93" s="1345"/>
      <c r="F93" s="1329"/>
      <c r="G93" s="1372"/>
      <c r="H93" s="1329"/>
      <c r="I93" s="1378"/>
      <c r="J93" s="1265"/>
      <c r="K93" s="1363">
        <f>D93</f>
        <v>2011</v>
      </c>
      <c r="L93" s="1351"/>
      <c r="M93" s="1351"/>
      <c r="N93" s="1329"/>
      <c r="O93" s="1381"/>
      <c r="P93" s="1265"/>
      <c r="Q93" s="1363">
        <f>K93</f>
        <v>2011</v>
      </c>
      <c r="R93" s="1330"/>
      <c r="S93" s="1330"/>
      <c r="T93" s="1329"/>
      <c r="U93" s="1324"/>
    </row>
    <row r="94" spans="3:21" x14ac:dyDescent="0.2">
      <c r="C94" s="1265"/>
      <c r="D94" s="1365">
        <f t="shared" si="31"/>
        <v>2012</v>
      </c>
      <c r="E94" s="1329"/>
      <c r="F94" s="1329"/>
      <c r="G94" s="1373">
        <f t="shared" ref="G94:G99" si="32">IF(G84=0,"",G85/G84-1)</f>
        <v>4.9464018559762124E-2</v>
      </c>
      <c r="H94" s="1329"/>
      <c r="I94" s="1378"/>
      <c r="J94" s="1265"/>
      <c r="K94" s="1363">
        <f t="shared" ref="K94:K100" si="33">D94</f>
        <v>2012</v>
      </c>
      <c r="L94" s="1353" t="str">
        <f t="shared" ref="L94:M97" si="34">IF(L84=0,"",L85/L84-1)</f>
        <v/>
      </c>
      <c r="M94" s="1353" t="str">
        <f t="shared" si="34"/>
        <v/>
      </c>
      <c r="N94" s="1329"/>
      <c r="O94" s="1381"/>
      <c r="P94" s="1265"/>
      <c r="Q94" s="1363">
        <f t="shared" ref="Q94:Q100" si="35">K94</f>
        <v>2012</v>
      </c>
      <c r="R94" s="1374" t="str">
        <f>IF(R84="","",IF(R84=0,"",R85/R84-1))</f>
        <v/>
      </c>
      <c r="S94" s="1374" t="str">
        <f>IF(S84="","",IF(S84=0,"",S85/S84-1))</f>
        <v/>
      </c>
      <c r="T94" s="1329"/>
      <c r="U94" s="1324"/>
    </row>
    <row r="95" spans="3:21" x14ac:dyDescent="0.2">
      <c r="C95" s="1265"/>
      <c r="D95" s="1401">
        <f t="shared" si="31"/>
        <v>2013</v>
      </c>
      <c r="E95" s="1329"/>
      <c r="F95" s="1329"/>
      <c r="G95" s="1373">
        <f t="shared" si="32"/>
        <v>0.22819287534371391</v>
      </c>
      <c r="H95" s="1329"/>
      <c r="I95" s="1378"/>
      <c r="J95" s="1265"/>
      <c r="K95" s="1363">
        <f t="shared" si="33"/>
        <v>2013</v>
      </c>
      <c r="L95" s="1353" t="str">
        <f t="shared" si="34"/>
        <v/>
      </c>
      <c r="M95" s="1353" t="str">
        <f t="shared" si="34"/>
        <v/>
      </c>
      <c r="N95" s="1329"/>
      <c r="O95" s="1381"/>
      <c r="P95" s="1265"/>
      <c r="Q95" s="1363">
        <f t="shared" si="35"/>
        <v>2013</v>
      </c>
      <c r="R95" s="1374" t="str">
        <f t="shared" ref="R95:S97" si="36">IF(R85="","",IF(R85=0,"",R86/R85-1))</f>
        <v/>
      </c>
      <c r="S95" s="1374" t="str">
        <f t="shared" si="36"/>
        <v/>
      </c>
      <c r="T95" s="1329"/>
      <c r="U95" s="1324"/>
    </row>
    <row r="96" spans="3:21" x14ac:dyDescent="0.2">
      <c r="C96" s="1265"/>
      <c r="D96" s="1365">
        <f t="shared" si="31"/>
        <v>2014</v>
      </c>
      <c r="E96" s="1329"/>
      <c r="F96" s="1329"/>
      <c r="G96" s="1373">
        <f t="shared" si="32"/>
        <v>-0.10433369051200836</v>
      </c>
      <c r="H96" s="1329"/>
      <c r="I96" s="1378"/>
      <c r="J96" s="1265"/>
      <c r="K96" s="1363">
        <f t="shared" si="33"/>
        <v>2014</v>
      </c>
      <c r="L96" s="1353" t="str">
        <f t="shared" si="34"/>
        <v/>
      </c>
      <c r="M96" s="1353" t="str">
        <f t="shared" si="34"/>
        <v/>
      </c>
      <c r="N96" s="1329"/>
      <c r="O96" s="1381"/>
      <c r="P96" s="1265"/>
      <c r="Q96" s="1363">
        <f t="shared" si="35"/>
        <v>2014</v>
      </c>
      <c r="R96" s="1374" t="str">
        <f t="shared" si="36"/>
        <v/>
      </c>
      <c r="S96" s="1374" t="str">
        <f t="shared" si="36"/>
        <v/>
      </c>
      <c r="T96" s="1329"/>
      <c r="U96" s="1324"/>
    </row>
    <row r="97" spans="2:22" x14ac:dyDescent="0.2">
      <c r="C97" s="1265"/>
      <c r="D97" s="1365">
        <f t="shared" si="31"/>
        <v>2015</v>
      </c>
      <c r="E97" s="1329"/>
      <c r="F97" s="1329"/>
      <c r="G97" s="1373">
        <f t="shared" si="32"/>
        <v>1.5636651321281114E-2</v>
      </c>
      <c r="H97" s="1329"/>
      <c r="I97" s="1378"/>
      <c r="J97" s="1265"/>
      <c r="K97" s="1363">
        <f t="shared" si="33"/>
        <v>2015</v>
      </c>
      <c r="L97" s="1353" t="str">
        <f t="shared" si="34"/>
        <v/>
      </c>
      <c r="M97" s="1353" t="str">
        <f t="shared" si="34"/>
        <v/>
      </c>
      <c r="N97" s="1329"/>
      <c r="O97" s="1381"/>
      <c r="P97" s="1265"/>
      <c r="Q97" s="1363">
        <f t="shared" si="35"/>
        <v>2015</v>
      </c>
      <c r="R97" s="1374" t="str">
        <f t="shared" si="36"/>
        <v/>
      </c>
      <c r="S97" s="1374" t="str">
        <f t="shared" si="36"/>
        <v/>
      </c>
      <c r="T97" s="1329"/>
      <c r="U97" s="1324"/>
    </row>
    <row r="98" spans="2:22" x14ac:dyDescent="0.2">
      <c r="C98" s="1265"/>
      <c r="D98" s="1365">
        <f t="shared" si="31"/>
        <v>2016</v>
      </c>
      <c r="E98" s="1329"/>
      <c r="F98" s="1329"/>
      <c r="G98" s="1373">
        <f t="shared" si="32"/>
        <v>-1.2145928831004404E-2</v>
      </c>
      <c r="H98" s="1329"/>
      <c r="I98" s="1378"/>
      <c r="J98" s="1265"/>
      <c r="K98" s="1363">
        <f t="shared" si="33"/>
        <v>2016</v>
      </c>
      <c r="L98" s="1353" t="str">
        <f>IF(K89="Forecast","",IF(L88=0,"",L89/L88-1))</f>
        <v/>
      </c>
      <c r="M98" s="1353" t="str">
        <f>IF(M88=0,"",M89/M88-1)</f>
        <v/>
      </c>
      <c r="N98" s="1329"/>
      <c r="O98" s="1381"/>
      <c r="P98" s="1265"/>
      <c r="Q98" s="1363">
        <f t="shared" si="35"/>
        <v>2016</v>
      </c>
      <c r="R98" s="1374" t="str">
        <f>IF(Q89="Forecast","",IF(R88=0,"",R89/R88-1))</f>
        <v/>
      </c>
      <c r="S98" s="1374" t="str">
        <f>IF(S88="","",IF(S88=0,"",S89/S88-1))</f>
        <v/>
      </c>
      <c r="T98" s="1329"/>
      <c r="U98" s="1324"/>
    </row>
    <row r="99" spans="2:22" x14ac:dyDescent="0.2">
      <c r="C99" s="1265"/>
      <c r="D99" s="1401">
        <f t="shared" si="31"/>
        <v>2017</v>
      </c>
      <c r="E99" s="1329"/>
      <c r="F99" s="1329"/>
      <c r="G99" s="1373">
        <f t="shared" si="32"/>
        <v>0.19421253915282199</v>
      </c>
      <c r="H99" s="1329"/>
      <c r="I99" s="1379">
        <f>IF(I91=0,"",G90/I91-1)</f>
        <v>0.29060490577299869</v>
      </c>
      <c r="J99" s="1265"/>
      <c r="K99" s="1363">
        <f t="shared" si="33"/>
        <v>2017</v>
      </c>
      <c r="L99" s="1353" t="str">
        <f>IF(K90="Forecast","",IF(L89=0,"",L90/L89-1))</f>
        <v/>
      </c>
      <c r="M99" s="1353" t="str">
        <f>IF(M89=0,"",M90/M89-1)</f>
        <v/>
      </c>
      <c r="N99" s="1329"/>
      <c r="O99" s="1382" t="str">
        <f>IF(O91=0,"",M90/O91-1)</f>
        <v/>
      </c>
      <c r="P99" s="1265"/>
      <c r="Q99" s="1363">
        <f t="shared" si="35"/>
        <v>2017</v>
      </c>
      <c r="R99" s="1374" t="str">
        <f>IF(Q90="Forecast","",IF(R89=0,"",R90/R89-1))</f>
        <v/>
      </c>
      <c r="S99" s="1374" t="str">
        <f>IF(S89="","",IF(S89=0,"",S90/S89-1))</f>
        <v/>
      </c>
      <c r="T99" s="1329"/>
      <c r="U99" s="1354" t="str">
        <f>IF(U91=0,"",S90/U91-1)</f>
        <v/>
      </c>
    </row>
    <row r="100" spans="2:22" ht="26.25" thickBot="1" x14ac:dyDescent="0.25">
      <c r="C100" s="1271"/>
      <c r="D100" s="1405" t="s">
        <v>1221</v>
      </c>
      <c r="E100" s="1355"/>
      <c r="F100" s="1355"/>
      <c r="G100" s="1375">
        <f>IF(G84=0,"",(G90/G84)^(1/($D90-$D84-1))-1)</f>
        <v>6.7034914557533298E-2</v>
      </c>
      <c r="H100" s="1355"/>
      <c r="I100" s="1371">
        <f>IF(I91=0,"",(G90/I91)^(1/(TestYear-RebaseYear-1))-1)</f>
        <v>6.5855493426623335E-2</v>
      </c>
      <c r="J100" s="1265"/>
      <c r="K100" s="1404" t="str">
        <f t="shared" si="33"/>
        <v>Geometric Mean</v>
      </c>
      <c r="L100" s="1358" t="str">
        <f>IF(L84=0,"",(L88/L84)^(1/($D88-$D84-1))-1)</f>
        <v/>
      </c>
      <c r="M100" s="1358" t="str">
        <f>IF(M84=0,"",(M90/M84)^(1/($D90-$D84-1))-1)</f>
        <v/>
      </c>
      <c r="N100" s="1355"/>
      <c r="O100" s="1371" t="str">
        <f>IF(O91=0,"",(M90/O91)^(1/(TestYear-RebaseYear-1))-1)</f>
        <v/>
      </c>
      <c r="P100" s="1271"/>
      <c r="Q100" s="1404" t="str">
        <f t="shared" si="35"/>
        <v>Geometric Mean</v>
      </c>
      <c r="R100" s="1376" t="str">
        <f>IF(R84="","",IF(R84=0,"",(R88/R84)^(1/($D88-$D84-1))-1))</f>
        <v/>
      </c>
      <c r="S100" s="1358" t="str">
        <f>IF(S84="","",IF(S84=0,"",(S90/S84)^(1/($D90-$D84-1))-1))</f>
        <v/>
      </c>
      <c r="T100" s="1355"/>
      <c r="U100" s="1371" t="str">
        <f>IF(U91=0,"",(S90/U91)^(1/(TestYear-RebaseYear-1))-1)</f>
        <v/>
      </c>
    </row>
    <row r="101" spans="2:22" ht="13.5" thickBot="1" x14ac:dyDescent="0.25"/>
    <row r="102" spans="2:22" ht="13.5" thickBot="1" x14ac:dyDescent="0.25">
      <c r="B102" s="1318">
        <v>2</v>
      </c>
      <c r="C102" s="3" t="s">
        <v>14</v>
      </c>
      <c r="D102" s="1880" t="s">
        <v>77</v>
      </c>
      <c r="E102" s="1881"/>
      <c r="F102" s="1882"/>
      <c r="G102" s="1291"/>
      <c r="H102" s="13" t="s">
        <v>1224</v>
      </c>
      <c r="N102" s="1317" t="s">
        <v>74</v>
      </c>
      <c r="O102" s="1316"/>
      <c r="P102" s="1316"/>
      <c r="Q102" s="1316"/>
      <c r="R102" s="1316"/>
      <c r="S102" s="1316"/>
      <c r="T102" s="1316"/>
      <c r="U102" s="1316"/>
    </row>
    <row r="103" spans="2:22" ht="13.5" thickBot="1" x14ac:dyDescent="0.25">
      <c r="Q103" s="1355"/>
      <c r="R103" s="1355"/>
      <c r="S103" s="1355"/>
      <c r="T103" s="1355"/>
      <c r="U103" s="1355"/>
    </row>
    <row r="104" spans="2:22" ht="12.75" customHeight="1" x14ac:dyDescent="0.2">
      <c r="C104" s="1264"/>
      <c r="D104" s="1268" t="s">
        <v>1205</v>
      </c>
      <c r="E104" s="1268"/>
      <c r="F104" s="1883" t="s">
        <v>1034</v>
      </c>
      <c r="G104" s="1884"/>
      <c r="H104" s="1884"/>
      <c r="I104" s="1885"/>
      <c r="J104" s="1268"/>
      <c r="K104" s="1859" t="s">
        <v>1213</v>
      </c>
      <c r="L104" s="1860"/>
      <c r="M104" s="1860"/>
      <c r="N104" s="1860"/>
      <c r="O104" s="1861"/>
      <c r="P104" s="1287"/>
      <c r="Q104" s="1869" t="str">
        <f>CONCATENATE("Consumption (kWh) per ",LEFT(F104,LEN(F104)-1))</f>
        <v>Consumption (kWh) per Customer</v>
      </c>
      <c r="R104" s="1879"/>
      <c r="S104" s="1879"/>
      <c r="T104" s="1879"/>
      <c r="U104" s="1870"/>
      <c r="V104" s="1308"/>
    </row>
    <row r="105" spans="2:22" ht="39" thickBot="1" x14ac:dyDescent="0.25">
      <c r="C105" s="1271"/>
      <c r="D105" s="1277" t="str">
        <f>CONCATENATE("(for ",TestYear," Cost of Service")</f>
        <v>(for 2017 Cost of Service</v>
      </c>
      <c r="E105" s="1266"/>
      <c r="F105" s="1872"/>
      <c r="G105" s="1873"/>
      <c r="H105" s="1875"/>
      <c r="I105" s="1296"/>
      <c r="J105" s="1266"/>
      <c r="K105" s="1284"/>
      <c r="L105" s="1433" t="s">
        <v>1226</v>
      </c>
      <c r="M105" s="1433" t="s">
        <v>1210</v>
      </c>
      <c r="N105" s="1305"/>
      <c r="O105" s="1306" t="s">
        <v>1210</v>
      </c>
      <c r="P105" s="1266"/>
      <c r="Q105" s="1389"/>
      <c r="R105" s="1390" t="str">
        <f>L105</f>
        <v>Actual (Weather actual)</v>
      </c>
      <c r="S105" s="1391" t="str">
        <f>M105</f>
        <v>Weather-normalized</v>
      </c>
      <c r="T105" s="1391"/>
      <c r="U105" s="1392" t="str">
        <f>O105</f>
        <v>Weather-normalized</v>
      </c>
      <c r="V105" s="1308"/>
    </row>
    <row r="106" spans="2:22" x14ac:dyDescent="0.2">
      <c r="C106" s="1266" t="s">
        <v>890</v>
      </c>
      <c r="D106" s="1363">
        <f t="shared" ref="D106:D111" si="37">D107-1</f>
        <v>2011</v>
      </c>
      <c r="E106" s="1265"/>
      <c r="F106" s="1313" t="str">
        <f>F63</f>
        <v>Actual</v>
      </c>
      <c r="G106" s="1301">
        <v>1194</v>
      </c>
      <c r="H106" s="1297" t="str">
        <f t="shared" ref="H106:H112" si="38">IF(D106=RebaseYear,"Board-approved","")</f>
        <v/>
      </c>
      <c r="I106" s="1324"/>
      <c r="J106" s="1265"/>
      <c r="K106" s="1282" t="str">
        <f>F106</f>
        <v>Actual</v>
      </c>
      <c r="L106" s="1301">
        <v>30635475</v>
      </c>
      <c r="M106" s="1301">
        <v>30240037.150549825</v>
      </c>
      <c r="N106" s="1297" t="str">
        <f>H106</f>
        <v/>
      </c>
      <c r="O106" s="1492"/>
      <c r="P106" s="1265"/>
      <c r="Q106" s="1385" t="str">
        <f>K106</f>
        <v>Actual</v>
      </c>
      <c r="R106" s="1497">
        <f>IF(G106=0,"",L106/G106)</f>
        <v>25657.851758793971</v>
      </c>
      <c r="S106" s="1497">
        <f>IF(G106=0,"",M106/G106)</f>
        <v>25326.664280192483</v>
      </c>
      <c r="T106" s="1329" t="str">
        <f>N106</f>
        <v/>
      </c>
      <c r="U106" s="1329" t="str">
        <f>IF(T106="","",IF(I106=0,"",O106/I106))</f>
        <v/>
      </c>
      <c r="V106" s="1309"/>
    </row>
    <row r="107" spans="2:22" x14ac:dyDescent="0.2">
      <c r="C107" s="1266" t="s">
        <v>890</v>
      </c>
      <c r="D107" s="1363">
        <f t="shared" si="37"/>
        <v>2012</v>
      </c>
      <c r="E107" s="1265"/>
      <c r="F107" s="1314" t="str">
        <f t="shared" ref="F107:F112" si="39">F64</f>
        <v>Actual</v>
      </c>
      <c r="G107" s="1301">
        <v>1205</v>
      </c>
      <c r="H107" s="1297" t="str">
        <f t="shared" si="38"/>
        <v>Board-approved</v>
      </c>
      <c r="I107" s="1494">
        <v>1214.4801246521154</v>
      </c>
      <c r="J107" s="1265"/>
      <c r="K107" s="1282" t="str">
        <f t="shared" ref="K107:K112" si="40">F107</f>
        <v>Actual</v>
      </c>
      <c r="L107" s="1301">
        <v>29408826</v>
      </c>
      <c r="M107" s="1301">
        <v>29369686.09703109</v>
      </c>
      <c r="N107" s="1297" t="str">
        <f t="shared" ref="N107:N112" si="41">H107</f>
        <v>Board-approved</v>
      </c>
      <c r="O107" s="1493">
        <v>32594961.595119238</v>
      </c>
      <c r="P107" s="1265"/>
      <c r="Q107" s="1385" t="str">
        <f t="shared" ref="Q107:Q112" si="42">K107</f>
        <v>Actual</v>
      </c>
      <c r="R107" s="1497">
        <f t="shared" ref="R107:R112" si="43">IF(G107=0,"",L107/G107)</f>
        <v>24405.664730290457</v>
      </c>
      <c r="S107" s="1497">
        <f t="shared" ref="S107:S112" si="44">IF(G107=0,"",M107/G107)</f>
        <v>24373.183483013352</v>
      </c>
      <c r="T107" s="1329" t="str">
        <f t="shared" ref="T107:T112" si="45">N107</f>
        <v>Board-approved</v>
      </c>
      <c r="U107" s="1497">
        <f t="shared" ref="U107:U112" si="46">IF(T107="","",IF(I107=0,"",O107/I107))</f>
        <v>26838.612615793922</v>
      </c>
      <c r="V107" s="1309"/>
    </row>
    <row r="108" spans="2:22" x14ac:dyDescent="0.2">
      <c r="C108" s="1266" t="s">
        <v>890</v>
      </c>
      <c r="D108" s="1363">
        <f t="shared" si="37"/>
        <v>2013</v>
      </c>
      <c r="E108" s="1265"/>
      <c r="F108" s="1314" t="str">
        <f t="shared" si="39"/>
        <v>Actual</v>
      </c>
      <c r="G108" s="1301">
        <v>1207.5</v>
      </c>
      <c r="H108" s="1297" t="str">
        <f t="shared" si="38"/>
        <v/>
      </c>
      <c r="I108" s="1325"/>
      <c r="J108" s="1265"/>
      <c r="K108" s="1282" t="str">
        <f t="shared" si="40"/>
        <v>Actual</v>
      </c>
      <c r="L108" s="1301">
        <v>28921439</v>
      </c>
      <c r="M108" s="1301">
        <v>29018315.714063611</v>
      </c>
      <c r="N108" s="1297" t="str">
        <f t="shared" si="41"/>
        <v/>
      </c>
      <c r="O108" s="1325"/>
      <c r="P108" s="1265"/>
      <c r="Q108" s="1385" t="str">
        <f t="shared" si="42"/>
        <v>Actual</v>
      </c>
      <c r="R108" s="1495">
        <f t="shared" si="43"/>
        <v>23951.502277432712</v>
      </c>
      <c r="S108" s="1497">
        <f t="shared" si="44"/>
        <v>24031.731440218311</v>
      </c>
      <c r="T108" s="1329" t="str">
        <f t="shared" si="45"/>
        <v/>
      </c>
      <c r="U108" s="1329" t="str">
        <f t="shared" si="46"/>
        <v/>
      </c>
      <c r="V108" s="1309"/>
    </row>
    <row r="109" spans="2:22" x14ac:dyDescent="0.2">
      <c r="C109" s="1266" t="s">
        <v>890</v>
      </c>
      <c r="D109" s="1363">
        <f t="shared" si="37"/>
        <v>2014</v>
      </c>
      <c r="E109" s="1265"/>
      <c r="F109" s="1314" t="str">
        <f t="shared" si="39"/>
        <v>Actual</v>
      </c>
      <c r="G109" s="1301">
        <v>1214.5</v>
      </c>
      <c r="H109" s="1297" t="str">
        <f t="shared" si="38"/>
        <v/>
      </c>
      <c r="I109" s="1324"/>
      <c r="J109" s="1265"/>
      <c r="K109" s="1282" t="str">
        <f t="shared" si="40"/>
        <v>Actual</v>
      </c>
      <c r="L109" s="1301">
        <v>29746584</v>
      </c>
      <c r="M109" s="1301">
        <v>29855232.686133914</v>
      </c>
      <c r="N109" s="1297" t="str">
        <f t="shared" si="41"/>
        <v/>
      </c>
      <c r="O109" s="1324"/>
      <c r="P109" s="1265"/>
      <c r="Q109" s="1385" t="str">
        <f t="shared" si="42"/>
        <v>Actual</v>
      </c>
      <c r="R109" s="1495">
        <f t="shared" si="43"/>
        <v>24492.864553314121</v>
      </c>
      <c r="S109" s="1497">
        <f t="shared" si="44"/>
        <v>24582.324154906473</v>
      </c>
      <c r="T109" s="1329" t="str">
        <f t="shared" si="45"/>
        <v/>
      </c>
      <c r="U109" s="1329" t="str">
        <f t="shared" si="46"/>
        <v/>
      </c>
      <c r="V109" s="1309"/>
    </row>
    <row r="110" spans="2:22" x14ac:dyDescent="0.2">
      <c r="C110" s="1266" t="s">
        <v>890</v>
      </c>
      <c r="D110" s="1363">
        <f t="shared" si="37"/>
        <v>2015</v>
      </c>
      <c r="E110" s="1265"/>
      <c r="F110" s="1314" t="str">
        <f t="shared" si="39"/>
        <v>Actual</v>
      </c>
      <c r="G110" s="1301">
        <v>1221</v>
      </c>
      <c r="H110" s="1297" t="str">
        <f t="shared" si="38"/>
        <v/>
      </c>
      <c r="I110" s="1324"/>
      <c r="J110" s="1265"/>
      <c r="K110" s="1282" t="str">
        <f t="shared" si="40"/>
        <v>Actual</v>
      </c>
      <c r="L110" s="1301">
        <v>28622003</v>
      </c>
      <c r="M110" s="1301">
        <v>29020327.354160707</v>
      </c>
      <c r="N110" s="1297" t="str">
        <f t="shared" si="41"/>
        <v/>
      </c>
      <c r="O110" s="1324"/>
      <c r="P110" s="1265"/>
      <c r="Q110" s="1385" t="str">
        <f t="shared" si="42"/>
        <v>Actual</v>
      </c>
      <c r="R110" s="1495">
        <f t="shared" si="43"/>
        <v>23441.4438984439</v>
      </c>
      <c r="S110" s="1497">
        <f t="shared" si="44"/>
        <v>23767.671870729489</v>
      </c>
      <c r="T110" s="1329" t="str">
        <f t="shared" si="45"/>
        <v/>
      </c>
      <c r="U110" s="1329" t="str">
        <f t="shared" si="46"/>
        <v/>
      </c>
      <c r="V110" s="1309"/>
    </row>
    <row r="111" spans="2:22" x14ac:dyDescent="0.2">
      <c r="C111" s="1266" t="s">
        <v>313</v>
      </c>
      <c r="D111" s="1363">
        <f t="shared" si="37"/>
        <v>2016</v>
      </c>
      <c r="E111" s="1265"/>
      <c r="F111" s="1314" t="str">
        <f t="shared" si="39"/>
        <v>Forecast</v>
      </c>
      <c r="G111" s="1301">
        <v>1237.0605612126985</v>
      </c>
      <c r="H111" s="1297" t="str">
        <f t="shared" si="38"/>
        <v/>
      </c>
      <c r="I111" s="1324"/>
      <c r="J111" s="1265"/>
      <c r="K111" s="1282" t="str">
        <f t="shared" si="40"/>
        <v>Forecast</v>
      </c>
      <c r="L111" s="1303"/>
      <c r="M111" s="1301">
        <v>29223413.333587732</v>
      </c>
      <c r="N111" s="1297" t="str">
        <f t="shared" si="41"/>
        <v/>
      </c>
      <c r="O111" s="1324"/>
      <c r="P111" s="1265"/>
      <c r="Q111" s="1385" t="str">
        <f t="shared" si="42"/>
        <v>Forecast</v>
      </c>
      <c r="R111" s="1387">
        <f t="shared" si="43"/>
        <v>0</v>
      </c>
      <c r="S111" s="1497">
        <f t="shared" si="44"/>
        <v>23623.268132434703</v>
      </c>
      <c r="T111" s="1329" t="str">
        <f t="shared" si="45"/>
        <v/>
      </c>
      <c r="U111" s="1329" t="str">
        <f t="shared" si="46"/>
        <v/>
      </c>
      <c r="V111" s="1309"/>
    </row>
    <row r="112" spans="2:22" ht="13.5" thickBot="1" x14ac:dyDescent="0.25">
      <c r="C112" s="1267" t="s">
        <v>314</v>
      </c>
      <c r="D112" s="1364">
        <f>TestYear</f>
        <v>2017</v>
      </c>
      <c r="E112" s="1271"/>
      <c r="F112" s="1315" t="str">
        <f t="shared" si="39"/>
        <v>Forecast</v>
      </c>
      <c r="G112" s="1302">
        <v>1253.3323768287278</v>
      </c>
      <c r="H112" s="1298" t="str">
        <f t="shared" si="38"/>
        <v/>
      </c>
      <c r="I112" s="1326"/>
      <c r="J112" s="1271"/>
      <c r="K112" s="1283" t="str">
        <f t="shared" si="40"/>
        <v>Forecast</v>
      </c>
      <c r="L112" s="1304"/>
      <c r="M112" s="1302">
        <v>29137273.513669658</v>
      </c>
      <c r="N112" s="1298" t="str">
        <f t="shared" si="41"/>
        <v/>
      </c>
      <c r="O112" s="1326"/>
      <c r="P112" s="1271"/>
      <c r="Q112" s="1386" t="str">
        <f t="shared" si="42"/>
        <v>Forecast</v>
      </c>
      <c r="R112" s="1388">
        <f t="shared" si="43"/>
        <v>0</v>
      </c>
      <c r="S112" s="1498">
        <f t="shared" si="44"/>
        <v>23247.842353993037</v>
      </c>
      <c r="T112" s="1355" t="str">
        <f t="shared" si="45"/>
        <v/>
      </c>
      <c r="U112" s="1355" t="str">
        <f t="shared" si="46"/>
        <v/>
      </c>
      <c r="V112" s="1309"/>
    </row>
    <row r="113" spans="2:21" ht="13.5" thickBot="1" x14ac:dyDescent="0.25">
      <c r="B113" s="1329"/>
      <c r="C113" s="1366"/>
      <c r="I113" s="1408">
        <f>SUM(I106:I111)</f>
        <v>1214.4801246521154</v>
      </c>
      <c r="O113" s="1408">
        <f>SUM(O106:O111)</f>
        <v>32594961.595119238</v>
      </c>
      <c r="U113" s="1408">
        <f>SUM(U106:U111)</f>
        <v>26838.612615793922</v>
      </c>
    </row>
    <row r="114" spans="2:21" ht="39" thickBot="1" x14ac:dyDescent="0.25">
      <c r="C114" s="1400" t="s">
        <v>952</v>
      </c>
      <c r="D114" s="1399" t="s">
        <v>15</v>
      </c>
      <c r="E114" s="1361"/>
      <c r="F114" s="1361"/>
      <c r="G114" s="1435" t="s">
        <v>1222</v>
      </c>
      <c r="H114" s="1361"/>
      <c r="I114" s="1394" t="s">
        <v>1235</v>
      </c>
      <c r="J114" s="1396"/>
      <c r="K114" s="1395" t="s">
        <v>15</v>
      </c>
      <c r="L114" s="1874" t="s">
        <v>1222</v>
      </c>
      <c r="M114" s="1874"/>
      <c r="N114" s="1361"/>
      <c r="O114" s="1394" t="str">
        <f>I114</f>
        <v>Test Year Versus Board-approved</v>
      </c>
      <c r="P114" s="1397"/>
      <c r="Q114" s="1395" t="s">
        <v>15</v>
      </c>
      <c r="R114" s="1874" t="s">
        <v>1222</v>
      </c>
      <c r="S114" s="1874"/>
      <c r="T114" s="1361"/>
      <c r="U114" s="1394" t="str">
        <f>O114</f>
        <v>Test Year Versus Board-approved</v>
      </c>
    </row>
    <row r="115" spans="2:21" x14ac:dyDescent="0.2">
      <c r="C115" s="1265"/>
      <c r="D115" s="1377">
        <f t="shared" ref="D115:D121" si="47">D106</f>
        <v>2011</v>
      </c>
      <c r="E115" s="1329"/>
      <c r="F115" s="1329"/>
      <c r="G115" s="1372"/>
      <c r="H115" s="1329"/>
      <c r="I115" s="1378"/>
      <c r="J115" s="1384"/>
      <c r="K115" s="1363">
        <f>D115</f>
        <v>2011</v>
      </c>
      <c r="L115" s="1351"/>
      <c r="M115" s="1351"/>
      <c r="N115" s="1329"/>
      <c r="O115" s="1324"/>
      <c r="P115" s="1265"/>
      <c r="Q115" s="1363">
        <f>K115</f>
        <v>2011</v>
      </c>
      <c r="R115" s="1330"/>
      <c r="S115" s="1330"/>
      <c r="T115" s="1329"/>
      <c r="U115" s="1324"/>
    </row>
    <row r="116" spans="2:21" x14ac:dyDescent="0.2">
      <c r="C116" s="1265"/>
      <c r="D116" s="1365">
        <f t="shared" si="47"/>
        <v>2012</v>
      </c>
      <c r="E116" s="1329"/>
      <c r="F116" s="1329"/>
      <c r="G116" s="1373">
        <f t="shared" ref="G116:G121" si="48">IF(G106=0,"",G107/G106-1)</f>
        <v>9.2127303182578668E-3</v>
      </c>
      <c r="H116" s="1329"/>
      <c r="I116" s="1378"/>
      <c r="J116" s="1384"/>
      <c r="K116" s="1363">
        <f t="shared" ref="K116:K122" si="49">D116</f>
        <v>2012</v>
      </c>
      <c r="L116" s="1353">
        <f t="shared" ref="L116:M119" si="50">IF(L106=0,"",L107/L106-1)</f>
        <v>-4.0040149532527214E-2</v>
      </c>
      <c r="M116" s="1353">
        <f t="shared" si="50"/>
        <v>-2.8781414823854101E-2</v>
      </c>
      <c r="N116" s="1329"/>
      <c r="O116" s="1324"/>
      <c r="P116" s="1265"/>
      <c r="Q116" s="1363">
        <f t="shared" ref="Q116:Q122" si="51">K116</f>
        <v>2012</v>
      </c>
      <c r="R116" s="1374">
        <f t="shared" ref="R116:S118" si="52">IF(R106="","",IF(R106=0,"",R107/R106-1))</f>
        <v>-4.880326849945027E-2</v>
      </c>
      <c r="S116" s="1374">
        <f t="shared" si="52"/>
        <v>-3.764731062214266E-2</v>
      </c>
      <c r="T116" s="1329"/>
      <c r="U116" s="1324"/>
    </row>
    <row r="117" spans="2:21" x14ac:dyDescent="0.2">
      <c r="C117" s="1265"/>
      <c r="D117" s="1365">
        <f t="shared" si="47"/>
        <v>2013</v>
      </c>
      <c r="E117" s="1329"/>
      <c r="F117" s="1329"/>
      <c r="G117" s="1373">
        <f t="shared" si="48"/>
        <v>2.0746887966804906E-3</v>
      </c>
      <c r="H117" s="1329"/>
      <c r="I117" s="1378"/>
      <c r="J117" s="1384"/>
      <c r="K117" s="1363">
        <f t="shared" si="49"/>
        <v>2013</v>
      </c>
      <c r="L117" s="1353">
        <f t="shared" si="50"/>
        <v>-1.6572813889272564E-2</v>
      </c>
      <c r="M117" s="1353">
        <f t="shared" si="50"/>
        <v>-1.1963709173010151E-2</v>
      </c>
      <c r="N117" s="1329"/>
      <c r="O117" s="1324"/>
      <c r="P117" s="1265"/>
      <c r="Q117" s="1363">
        <f t="shared" si="51"/>
        <v>2013</v>
      </c>
      <c r="R117" s="1374">
        <f t="shared" si="52"/>
        <v>-1.8608895019936567E-2</v>
      </c>
      <c r="S117" s="1374">
        <f t="shared" si="52"/>
        <v>-1.4009332963542231E-2</v>
      </c>
      <c r="T117" s="1329"/>
      <c r="U117" s="1324"/>
    </row>
    <row r="118" spans="2:21" x14ac:dyDescent="0.2">
      <c r="C118" s="1265"/>
      <c r="D118" s="1365">
        <f t="shared" si="47"/>
        <v>2014</v>
      </c>
      <c r="E118" s="1329"/>
      <c r="F118" s="1329"/>
      <c r="G118" s="1373">
        <f t="shared" si="48"/>
        <v>5.7971014492752548E-3</v>
      </c>
      <c r="H118" s="1329"/>
      <c r="I118" s="1378"/>
      <c r="J118" s="1384"/>
      <c r="K118" s="1363">
        <f t="shared" si="49"/>
        <v>2014</v>
      </c>
      <c r="L118" s="1353">
        <f t="shared" si="50"/>
        <v>2.8530565163095822E-2</v>
      </c>
      <c r="M118" s="1353">
        <f t="shared" si="50"/>
        <v>2.8840990645942144E-2</v>
      </c>
      <c r="N118" s="1329"/>
      <c r="O118" s="1324"/>
      <c r="P118" s="1265"/>
      <c r="Q118" s="1363">
        <f t="shared" si="51"/>
        <v>2014</v>
      </c>
      <c r="R118" s="1374">
        <f t="shared" si="52"/>
        <v>2.260243510451887E-2</v>
      </c>
      <c r="S118" s="1374">
        <f t="shared" si="52"/>
        <v>2.2911071391498616E-2</v>
      </c>
      <c r="T118" s="1329"/>
      <c r="U118" s="1324"/>
    </row>
    <row r="119" spans="2:21" x14ac:dyDescent="0.2">
      <c r="C119" s="1265"/>
      <c r="D119" s="1365">
        <f t="shared" si="47"/>
        <v>2015</v>
      </c>
      <c r="E119" s="1329"/>
      <c r="F119" s="1329"/>
      <c r="G119" s="1373">
        <f t="shared" si="48"/>
        <v>5.3519967064634688E-3</v>
      </c>
      <c r="H119" s="1329"/>
      <c r="I119" s="1378"/>
      <c r="J119" s="1384"/>
      <c r="K119" s="1363">
        <f t="shared" si="49"/>
        <v>2015</v>
      </c>
      <c r="L119" s="1353">
        <f t="shared" si="50"/>
        <v>-3.7805382964309464E-2</v>
      </c>
      <c r="M119" s="1353">
        <f t="shared" si="50"/>
        <v>-2.7965125602955831E-2</v>
      </c>
      <c r="N119" s="1329"/>
      <c r="O119" s="1324"/>
      <c r="P119" s="1265"/>
      <c r="Q119" s="1363">
        <f t="shared" si="51"/>
        <v>2015</v>
      </c>
      <c r="R119" s="1374">
        <f t="shared" ref="R119:S121" si="53">IF(R109="","",IF(R109=0,"",R110/R109-1))</f>
        <v>-4.2927631130347033E-2</v>
      </c>
      <c r="S119" s="1374">
        <f t="shared" si="53"/>
        <v>-3.3139758431441235E-2</v>
      </c>
      <c r="T119" s="1329"/>
      <c r="U119" s="1324"/>
    </row>
    <row r="120" spans="2:21" x14ac:dyDescent="0.2">
      <c r="C120" s="1265"/>
      <c r="D120" s="1365">
        <f t="shared" si="47"/>
        <v>2016</v>
      </c>
      <c r="E120" s="1329"/>
      <c r="F120" s="1329"/>
      <c r="G120" s="1373">
        <f t="shared" si="48"/>
        <v>1.3153612786812818E-2</v>
      </c>
      <c r="H120" s="1329"/>
      <c r="I120" s="1378"/>
      <c r="J120" s="1384"/>
      <c r="K120" s="1363">
        <f t="shared" si="49"/>
        <v>2016</v>
      </c>
      <c r="L120" s="1353" t="str">
        <f>IF(K111="Forecast","",IF(L110=0,"",L111/L110-1))</f>
        <v/>
      </c>
      <c r="M120" s="1353">
        <f>IF(M110=0,"",M111/M110-1)</f>
        <v>6.9980595652345823E-3</v>
      </c>
      <c r="N120" s="1329"/>
      <c r="O120" s="1324"/>
      <c r="P120" s="1265"/>
      <c r="Q120" s="1363">
        <f t="shared" si="51"/>
        <v>2016</v>
      </c>
      <c r="R120" s="1374" t="str">
        <f>IF(Q111="Forecast","",IF(R110=0,"",R111/R110-1))</f>
        <v/>
      </c>
      <c r="S120" s="1374">
        <f t="shared" si="53"/>
        <v>-6.0756366496553804E-3</v>
      </c>
      <c r="T120" s="1329"/>
      <c r="U120" s="1324"/>
    </row>
    <row r="121" spans="2:21" x14ac:dyDescent="0.2">
      <c r="C121" s="1265"/>
      <c r="D121" s="1365">
        <f t="shared" si="47"/>
        <v>2017</v>
      </c>
      <c r="E121" s="1329"/>
      <c r="F121" s="1329"/>
      <c r="G121" s="1373">
        <f t="shared" si="48"/>
        <v>1.3153612786812818E-2</v>
      </c>
      <c r="H121" s="1329"/>
      <c r="I121" s="1379">
        <f>IF(I113=0,"",G112/I113-1)</f>
        <v>3.1990850560639217E-2</v>
      </c>
      <c r="J121" s="1384"/>
      <c r="K121" s="1363">
        <f t="shared" si="49"/>
        <v>2017</v>
      </c>
      <c r="L121" s="1353" t="str">
        <f>IF(K112="Forecast","",IF(L111=0,"",L112/L111-1))</f>
        <v/>
      </c>
      <c r="M121" s="1353">
        <f>IF(M111=0,"",M112/M111-1)</f>
        <v>-2.9476303447095731E-3</v>
      </c>
      <c r="N121" s="1329"/>
      <c r="O121" s="1354">
        <f>IF(O113=0,"",M112/O113-1)</f>
        <v>-0.10608044655488513</v>
      </c>
      <c r="P121" s="1265"/>
      <c r="Q121" s="1363">
        <f t="shared" si="51"/>
        <v>2017</v>
      </c>
      <c r="R121" s="1374" t="str">
        <f>IF(Q112="Forecast","",IF(R111=0,"",R112/R111-1))</f>
        <v/>
      </c>
      <c r="S121" s="1374">
        <f t="shared" si="53"/>
        <v>-1.5892203243725089E-2</v>
      </c>
      <c r="T121" s="1329"/>
      <c r="U121" s="1354">
        <f>IF(U113=0,"",S112/U113-1)</f>
        <v>-0.1337912027422683</v>
      </c>
    </row>
    <row r="122" spans="2:21" ht="26.25" thickBot="1" x14ac:dyDescent="0.25">
      <c r="C122" s="1271"/>
      <c r="D122" s="1405" t="s">
        <v>1221</v>
      </c>
      <c r="E122" s="1355"/>
      <c r="F122" s="1355"/>
      <c r="G122" s="1375">
        <f>IF(G106=0,"",(G112/G106)^(1/($D112-$D106-1))-1)</f>
        <v>9.7465695392373597E-3</v>
      </c>
      <c r="H122" s="1355"/>
      <c r="I122" s="1406">
        <f>IF(I113=0,"",(G112/I113)^(1/(TestYear-RebaseYear-1))-1)</f>
        <v>7.9035195348584608E-3</v>
      </c>
      <c r="J122" s="1360"/>
      <c r="K122" s="1404" t="str">
        <f t="shared" si="49"/>
        <v>Geometric Mean</v>
      </c>
      <c r="L122" s="1358">
        <f>IF(L106=0,"",(L110/L106)^(1/($D110-$D106-1))-1)</f>
        <v>-2.2406133378317983E-2</v>
      </c>
      <c r="M122" s="1358">
        <f>IF(M106=0,"",(M112/M106)^(1/($D112-$D106-1))-1)</f>
        <v>-7.4021776383397242E-3</v>
      </c>
      <c r="N122" s="1355"/>
      <c r="O122" s="1371">
        <f>IF(O113=0,"",(M112/O113)^(1/(TestYear-RebaseYear-1))-1)</f>
        <v>-2.7645542905905374E-2</v>
      </c>
      <c r="P122" s="1271"/>
      <c r="Q122" s="1404" t="str">
        <f t="shared" si="51"/>
        <v>Geometric Mean</v>
      </c>
      <c r="R122" s="1376">
        <f>IF(R106="","",IF(R106=0,"",(R110/R106)^(1/($D110-$D106-1))-1))</f>
        <v>-2.9665761649192657E-2</v>
      </c>
      <c r="S122" s="1358">
        <f>IF(S106="","",IF(S106=0,"",(S112/S106)^(1/($D112-$D106-1))-1))</f>
        <v>-1.6983219052085885E-2</v>
      </c>
      <c r="T122" s="1355"/>
      <c r="U122" s="1371">
        <f>IF(U113=0,"",(S112/U113)^(1/(TestYear-RebaseYear-1))-1)</f>
        <v>-3.5270302912692952E-2</v>
      </c>
    </row>
    <row r="124" spans="2:21" ht="13.5" thickBot="1" x14ac:dyDescent="0.25">
      <c r="Q124" s="1355"/>
      <c r="R124" s="1355"/>
      <c r="S124" s="1355"/>
      <c r="T124" s="1355"/>
      <c r="U124" s="1355"/>
    </row>
    <row r="125" spans="2:21" ht="12.75" customHeight="1" x14ac:dyDescent="0.2">
      <c r="C125" s="1264"/>
      <c r="D125" s="1268" t="s">
        <v>1205</v>
      </c>
      <c r="E125" s="1268"/>
      <c r="F125" s="1876" t="s">
        <v>1198</v>
      </c>
      <c r="G125" s="1877"/>
      <c r="H125" s="1877"/>
      <c r="I125" s="1878"/>
      <c r="K125" s="1859" t="str">
        <f>IF(ISBLANK(N102),"",CONCATENATE("Demand (",N102,")"))</f>
        <v>Demand (kWh)</v>
      </c>
      <c r="L125" s="1860"/>
      <c r="M125" s="1860"/>
      <c r="N125" s="1860"/>
      <c r="O125" s="1861"/>
      <c r="Q125" s="1869" t="str">
        <f>CONCATENATE("Demand (",N102,") per ",LEFT(F104,LEN(F104)-1))</f>
        <v>Demand (kWh) per Customer</v>
      </c>
      <c r="R125" s="1879"/>
      <c r="S125" s="1879"/>
      <c r="T125" s="1879"/>
      <c r="U125" s="1870"/>
    </row>
    <row r="126" spans="2:21" ht="39" thickBot="1" x14ac:dyDescent="0.25">
      <c r="C126" s="1271"/>
      <c r="D126" s="1277" t="str">
        <f>CONCATENATE("(for ",TestYear," Cost of Service")</f>
        <v>(for 2017 Cost of Service</v>
      </c>
      <c r="E126" s="1266"/>
      <c r="F126" s="1872"/>
      <c r="G126" s="1873"/>
      <c r="H126" s="1873"/>
      <c r="I126" s="1296"/>
      <c r="K126" s="1284"/>
      <c r="L126" s="1433" t="s">
        <v>1226</v>
      </c>
      <c r="M126" s="1433" t="s">
        <v>1210</v>
      </c>
      <c r="N126" s="1305"/>
      <c r="O126" s="1306" t="str">
        <f>M126</f>
        <v>Weather-normalized</v>
      </c>
      <c r="Q126" s="1403"/>
      <c r="R126" s="1433" t="str">
        <f>L126</f>
        <v>Actual (Weather actual)</v>
      </c>
      <c r="S126" s="1433" t="str">
        <f>M126</f>
        <v>Weather-normalized</v>
      </c>
      <c r="T126" s="1433"/>
      <c r="U126" s="1434" t="str">
        <f>O126</f>
        <v>Weather-normalized</v>
      </c>
    </row>
    <row r="127" spans="2:21" x14ac:dyDescent="0.2">
      <c r="C127" s="1266" t="s">
        <v>890</v>
      </c>
      <c r="D127" s="1363">
        <f t="shared" ref="D127:D132" si="54">D128-1</f>
        <v>2011</v>
      </c>
      <c r="E127" s="1265"/>
      <c r="F127" s="1313" t="str">
        <f t="shared" ref="F127:F133" si="55">F106</f>
        <v>Actual</v>
      </c>
      <c r="G127" s="1311">
        <v>182517</v>
      </c>
      <c r="H127" s="2" t="str">
        <f t="shared" ref="H127:H133" si="56">IF(D127=RebaseYear,"Board-approved","")</f>
        <v/>
      </c>
      <c r="I127" s="1383"/>
      <c r="K127" s="1282" t="str">
        <f t="shared" ref="K127:K133" si="57">K106</f>
        <v>Actual</v>
      </c>
      <c r="L127" s="1294"/>
      <c r="M127" s="1294"/>
      <c r="N127" s="1258" t="str">
        <f t="shared" ref="N127:N133" si="58">N106</f>
        <v/>
      </c>
      <c r="O127" s="1324"/>
      <c r="Q127" s="1385" t="str">
        <f>K127</f>
        <v>Actual</v>
      </c>
      <c r="R127" s="1329">
        <f>IF(G127=0,"",L127/G127)</f>
        <v>0</v>
      </c>
      <c r="S127" s="1309">
        <f>IF(G127=0,"",M127/G127)</f>
        <v>0</v>
      </c>
      <c r="T127" s="1309" t="str">
        <f>N127</f>
        <v/>
      </c>
      <c r="U127" s="1265" t="str">
        <f>IF(T127="","",IF(I127=0,"",O127/I127))</f>
        <v/>
      </c>
    </row>
    <row r="128" spans="2:21" x14ac:dyDescent="0.2">
      <c r="C128" s="1266" t="s">
        <v>890</v>
      </c>
      <c r="D128" s="1363">
        <f t="shared" si="54"/>
        <v>2012</v>
      </c>
      <c r="E128" s="1265"/>
      <c r="F128" s="1314" t="str">
        <f t="shared" si="55"/>
        <v>Actual</v>
      </c>
      <c r="G128" s="1311">
        <v>422909</v>
      </c>
      <c r="H128" s="2" t="str">
        <f t="shared" si="56"/>
        <v>Board-approved</v>
      </c>
      <c r="I128" s="1311">
        <v>351937.48567666271</v>
      </c>
      <c r="K128" s="1282" t="str">
        <f t="shared" si="57"/>
        <v>Actual</v>
      </c>
      <c r="L128" s="1294"/>
      <c r="M128" s="1294"/>
      <c r="N128" s="1258" t="str">
        <f t="shared" si="58"/>
        <v>Board-approved</v>
      </c>
      <c r="O128" s="1324"/>
      <c r="Q128" s="1385" t="str">
        <f t="shared" ref="Q128:Q133" si="59">K128</f>
        <v>Actual</v>
      </c>
      <c r="R128" s="1329">
        <f t="shared" ref="R128:R133" si="60">IF(G128=0,"",L128/G128)</f>
        <v>0</v>
      </c>
      <c r="S128" s="1309">
        <f t="shared" ref="S128:S133" si="61">IF(G128=0,"",M128/G128)</f>
        <v>0</v>
      </c>
      <c r="T128" s="1309" t="str">
        <f t="shared" ref="T128:T133" si="62">N128</f>
        <v>Board-approved</v>
      </c>
      <c r="U128" s="1265">
        <f t="shared" ref="U128:U133" si="63">IF(T128="","",IF(I128=0,"",O128/I128))</f>
        <v>0</v>
      </c>
    </row>
    <row r="129" spans="3:21" x14ac:dyDescent="0.2">
      <c r="C129" s="1266" t="s">
        <v>890</v>
      </c>
      <c r="D129" s="1363">
        <f t="shared" si="54"/>
        <v>2013</v>
      </c>
      <c r="E129" s="1265"/>
      <c r="F129" s="1314" t="str">
        <f t="shared" si="55"/>
        <v>Actual</v>
      </c>
      <c r="G129" s="1311">
        <v>423252.77505673614</v>
      </c>
      <c r="H129" s="2" t="str">
        <f t="shared" si="56"/>
        <v/>
      </c>
      <c r="I129" s="1328"/>
      <c r="K129" s="1282" t="str">
        <f t="shared" si="57"/>
        <v>Actual</v>
      </c>
      <c r="L129" s="1294"/>
      <c r="M129" s="1294"/>
      <c r="N129" s="1258" t="str">
        <f t="shared" si="58"/>
        <v/>
      </c>
      <c r="O129" s="1325"/>
      <c r="Q129" s="1385" t="str">
        <f t="shared" si="59"/>
        <v>Actual</v>
      </c>
      <c r="R129" s="1329">
        <f t="shared" si="60"/>
        <v>0</v>
      </c>
      <c r="S129" s="1309">
        <f t="shared" si="61"/>
        <v>0</v>
      </c>
      <c r="T129" s="1309" t="str">
        <f t="shared" si="62"/>
        <v/>
      </c>
      <c r="U129" s="1265" t="str">
        <f t="shared" si="63"/>
        <v/>
      </c>
    </row>
    <row r="130" spans="3:21" x14ac:dyDescent="0.2">
      <c r="C130" s="1266" t="s">
        <v>890</v>
      </c>
      <c r="D130" s="1363">
        <f t="shared" si="54"/>
        <v>2014</v>
      </c>
      <c r="E130" s="1265"/>
      <c r="F130" s="1314" t="str">
        <f t="shared" si="55"/>
        <v>Actual</v>
      </c>
      <c r="G130" s="1311">
        <v>431736.7</v>
      </c>
      <c r="H130" s="2" t="str">
        <f t="shared" si="56"/>
        <v/>
      </c>
      <c r="I130" s="1324"/>
      <c r="K130" s="1282" t="str">
        <f t="shared" si="57"/>
        <v>Actual</v>
      </c>
      <c r="L130" s="1294"/>
      <c r="M130" s="1294"/>
      <c r="N130" s="1258" t="str">
        <f t="shared" si="58"/>
        <v/>
      </c>
      <c r="O130" s="1324"/>
      <c r="Q130" s="1385" t="str">
        <f t="shared" si="59"/>
        <v>Actual</v>
      </c>
      <c r="R130" s="1329">
        <f t="shared" si="60"/>
        <v>0</v>
      </c>
      <c r="S130" s="1309">
        <f t="shared" si="61"/>
        <v>0</v>
      </c>
      <c r="T130" s="1309" t="str">
        <f t="shared" si="62"/>
        <v/>
      </c>
      <c r="U130" s="1265" t="str">
        <f t="shared" si="63"/>
        <v/>
      </c>
    </row>
    <row r="131" spans="3:21" x14ac:dyDescent="0.2">
      <c r="C131" s="1266" t="s">
        <v>890</v>
      </c>
      <c r="D131" s="1363">
        <f t="shared" si="54"/>
        <v>2015</v>
      </c>
      <c r="E131" s="1265"/>
      <c r="F131" s="1314" t="str">
        <f t="shared" si="55"/>
        <v>Actual</v>
      </c>
      <c r="G131" s="1311">
        <v>385021</v>
      </c>
      <c r="H131" s="2" t="str">
        <f t="shared" si="56"/>
        <v/>
      </c>
      <c r="I131" s="1324"/>
      <c r="K131" s="1282" t="str">
        <f t="shared" si="57"/>
        <v>Actual</v>
      </c>
      <c r="L131" s="1294"/>
      <c r="M131" s="1294"/>
      <c r="N131" s="1258" t="str">
        <f t="shared" si="58"/>
        <v/>
      </c>
      <c r="O131" s="1324"/>
      <c r="Q131" s="1385" t="str">
        <f t="shared" si="59"/>
        <v>Actual</v>
      </c>
      <c r="R131" s="1329">
        <f t="shared" si="60"/>
        <v>0</v>
      </c>
      <c r="S131" s="1309">
        <f t="shared" si="61"/>
        <v>0</v>
      </c>
      <c r="T131" s="1309" t="str">
        <f t="shared" si="62"/>
        <v/>
      </c>
      <c r="U131" s="1265" t="str">
        <f t="shared" si="63"/>
        <v/>
      </c>
    </row>
    <row r="132" spans="3:21" x14ac:dyDescent="0.2">
      <c r="C132" s="1266" t="s">
        <v>1203</v>
      </c>
      <c r="D132" s="1363">
        <f t="shared" si="54"/>
        <v>2016</v>
      </c>
      <c r="E132" s="1265"/>
      <c r="F132" s="1314" t="str">
        <f t="shared" si="55"/>
        <v>Forecast</v>
      </c>
      <c r="G132" s="1311">
        <v>380218.40727182978</v>
      </c>
      <c r="H132" s="2" t="str">
        <f t="shared" si="56"/>
        <v/>
      </c>
      <c r="I132" s="1324"/>
      <c r="K132" s="1282" t="str">
        <f t="shared" si="57"/>
        <v>Forecast</v>
      </c>
      <c r="L132" s="1303"/>
      <c r="M132" s="1334"/>
      <c r="N132" s="1258" t="str">
        <f t="shared" si="58"/>
        <v/>
      </c>
      <c r="O132" s="1324"/>
      <c r="Q132" s="1385" t="str">
        <f t="shared" si="59"/>
        <v>Forecast</v>
      </c>
      <c r="R132" s="1329">
        <f t="shared" si="60"/>
        <v>0</v>
      </c>
      <c r="S132" s="1309">
        <f t="shared" si="61"/>
        <v>0</v>
      </c>
      <c r="T132" s="1309" t="str">
        <f t="shared" si="62"/>
        <v/>
      </c>
      <c r="U132" s="1265" t="str">
        <f t="shared" si="63"/>
        <v/>
      </c>
    </row>
    <row r="133" spans="3:21" ht="13.5" thickBot="1" x14ac:dyDescent="0.25">
      <c r="C133" s="1267" t="s">
        <v>1204</v>
      </c>
      <c r="D133" s="1364">
        <f>TestYear</f>
        <v>2017</v>
      </c>
      <c r="E133" s="1271"/>
      <c r="F133" s="1315" t="str">
        <f t="shared" si="55"/>
        <v>Forecast</v>
      </c>
      <c r="G133" s="1312">
        <v>564424.28282827383</v>
      </c>
      <c r="H133" s="1307" t="str">
        <f t="shared" si="56"/>
        <v/>
      </c>
      <c r="I133" s="1326"/>
      <c r="K133" s="1283" t="str">
        <f t="shared" si="57"/>
        <v>Forecast</v>
      </c>
      <c r="L133" s="1304"/>
      <c r="M133" s="1335"/>
      <c r="N133" s="1262" t="str">
        <f t="shared" si="58"/>
        <v/>
      </c>
      <c r="O133" s="1326"/>
      <c r="Q133" s="1319" t="str">
        <f t="shared" si="59"/>
        <v>Forecast</v>
      </c>
      <c r="R133" s="1310">
        <f t="shared" si="60"/>
        <v>0</v>
      </c>
      <c r="S133" s="1310">
        <f t="shared" si="61"/>
        <v>0</v>
      </c>
      <c r="T133" s="1310" t="str">
        <f t="shared" si="62"/>
        <v/>
      </c>
      <c r="U133" s="1271" t="str">
        <f t="shared" si="63"/>
        <v/>
      </c>
    </row>
    <row r="134" spans="3:21" ht="13.5" thickBot="1" x14ac:dyDescent="0.25">
      <c r="C134" s="1366"/>
      <c r="I134" s="1408">
        <f>SUM(I127:I132)</f>
        <v>351937.48567666271</v>
      </c>
      <c r="J134" s="1329"/>
      <c r="O134" s="1408">
        <f>SUM(O127:O132)</f>
        <v>0</v>
      </c>
      <c r="U134" s="1408">
        <f>SUM(U127:U132)</f>
        <v>0</v>
      </c>
    </row>
    <row r="135" spans="3:21" ht="39" thickBot="1" x14ac:dyDescent="0.25">
      <c r="C135" s="1400" t="s">
        <v>952</v>
      </c>
      <c r="D135" s="1399" t="s">
        <v>15</v>
      </c>
      <c r="E135" s="1435"/>
      <c r="F135" s="1435"/>
      <c r="G135" s="1435" t="s">
        <v>1222</v>
      </c>
      <c r="H135" s="1435"/>
      <c r="I135" s="1394" t="str">
        <f>I114</f>
        <v>Test Year Versus Board-approved</v>
      </c>
      <c r="J135" s="1407"/>
      <c r="K135" s="1395" t="s">
        <v>15</v>
      </c>
      <c r="L135" s="1874" t="s">
        <v>1222</v>
      </c>
      <c r="M135" s="1874"/>
      <c r="N135" s="1435"/>
      <c r="O135" s="1394" t="str">
        <f>I135</f>
        <v>Test Year Versus Board-approved</v>
      </c>
      <c r="P135" s="1380"/>
      <c r="Q135" s="1395" t="s">
        <v>15</v>
      </c>
      <c r="R135" s="1874" t="s">
        <v>1222</v>
      </c>
      <c r="S135" s="1874"/>
      <c r="T135" s="1435"/>
      <c r="U135" s="1394" t="str">
        <f>O135</f>
        <v>Test Year Versus Board-approved</v>
      </c>
    </row>
    <row r="136" spans="3:21" x14ac:dyDescent="0.2">
      <c r="C136" s="1265"/>
      <c r="D136" s="1402">
        <f t="shared" ref="D136:D142" si="64">D127</f>
        <v>2011</v>
      </c>
      <c r="E136" s="1345"/>
      <c r="F136" s="1329"/>
      <c r="G136" s="1372"/>
      <c r="H136" s="1329"/>
      <c r="I136" s="1378"/>
      <c r="J136" s="1265"/>
      <c r="K136" s="1363">
        <f>D136</f>
        <v>2011</v>
      </c>
      <c r="L136" s="1351"/>
      <c r="M136" s="1351"/>
      <c r="N136" s="1329"/>
      <c r="O136" s="1381"/>
      <c r="P136" s="1265"/>
      <c r="Q136" s="1363">
        <f>K136</f>
        <v>2011</v>
      </c>
      <c r="R136" s="1330"/>
      <c r="S136" s="1330"/>
      <c r="T136" s="1329"/>
      <c r="U136" s="1324"/>
    </row>
    <row r="137" spans="3:21" x14ac:dyDescent="0.2">
      <c r="C137" s="1265"/>
      <c r="D137" s="1365">
        <f t="shared" si="64"/>
        <v>2012</v>
      </c>
      <c r="E137" s="1329"/>
      <c r="F137" s="1329"/>
      <c r="G137" s="1373">
        <f t="shared" ref="G137:G142" si="65">IF(G127=0,"",G128/G127-1)</f>
        <v>1.317093750171217</v>
      </c>
      <c r="H137" s="1329"/>
      <c r="I137" s="1378"/>
      <c r="J137" s="1265"/>
      <c r="K137" s="1363">
        <f t="shared" ref="K137:K143" si="66">D137</f>
        <v>2012</v>
      </c>
      <c r="L137" s="1353" t="str">
        <f t="shared" ref="L137:M139" si="67">IF(L127=0,"",L128/L127-1)</f>
        <v/>
      </c>
      <c r="M137" s="1353" t="str">
        <f t="shared" si="67"/>
        <v/>
      </c>
      <c r="N137" s="1329"/>
      <c r="O137" s="1381"/>
      <c r="P137" s="1265"/>
      <c r="Q137" s="1363">
        <f t="shared" ref="Q137:Q143" si="68">K137</f>
        <v>2012</v>
      </c>
      <c r="R137" s="1374" t="str">
        <f t="shared" ref="R137:S139" si="69">IF(R127="","",IF(R127=0,"",R128/R127-1))</f>
        <v/>
      </c>
      <c r="S137" s="1374" t="str">
        <f t="shared" si="69"/>
        <v/>
      </c>
      <c r="T137" s="1329"/>
      <c r="U137" s="1324"/>
    </row>
    <row r="138" spans="3:21" x14ac:dyDescent="0.2">
      <c r="C138" s="1265"/>
      <c r="D138" s="1401">
        <f t="shared" si="64"/>
        <v>2013</v>
      </c>
      <c r="E138" s="1329"/>
      <c r="F138" s="1329"/>
      <c r="G138" s="1373">
        <f t="shared" si="65"/>
        <v>8.1288186521488726E-4</v>
      </c>
      <c r="H138" s="1329"/>
      <c r="I138" s="1378"/>
      <c r="J138" s="1265"/>
      <c r="K138" s="1363">
        <f t="shared" si="66"/>
        <v>2013</v>
      </c>
      <c r="L138" s="1353" t="str">
        <f t="shared" si="67"/>
        <v/>
      </c>
      <c r="M138" s="1353" t="str">
        <f t="shared" si="67"/>
        <v/>
      </c>
      <c r="N138" s="1329"/>
      <c r="O138" s="1381"/>
      <c r="P138" s="1265"/>
      <c r="Q138" s="1363">
        <f t="shared" si="68"/>
        <v>2013</v>
      </c>
      <c r="R138" s="1374" t="str">
        <f t="shared" si="69"/>
        <v/>
      </c>
      <c r="S138" s="1374" t="str">
        <f t="shared" si="69"/>
        <v/>
      </c>
      <c r="T138" s="1329"/>
      <c r="U138" s="1324"/>
    </row>
    <row r="139" spans="3:21" x14ac:dyDescent="0.2">
      <c r="C139" s="1265"/>
      <c r="D139" s="1365">
        <f t="shared" si="64"/>
        <v>2014</v>
      </c>
      <c r="E139" s="1329"/>
      <c r="F139" s="1329"/>
      <c r="G139" s="1373">
        <f t="shared" si="65"/>
        <v>2.0044581969076658E-2</v>
      </c>
      <c r="H139" s="1329"/>
      <c r="I139" s="1378"/>
      <c r="J139" s="1265"/>
      <c r="K139" s="1363">
        <f t="shared" si="66"/>
        <v>2014</v>
      </c>
      <c r="L139" s="1353" t="str">
        <f t="shared" si="67"/>
        <v/>
      </c>
      <c r="M139" s="1353" t="str">
        <f t="shared" si="67"/>
        <v/>
      </c>
      <c r="N139" s="1329"/>
      <c r="O139" s="1381"/>
      <c r="P139" s="1265"/>
      <c r="Q139" s="1363">
        <f t="shared" si="68"/>
        <v>2014</v>
      </c>
      <c r="R139" s="1374" t="str">
        <f t="shared" si="69"/>
        <v/>
      </c>
      <c r="S139" s="1374" t="str">
        <f t="shared" si="69"/>
        <v/>
      </c>
      <c r="T139" s="1329"/>
      <c r="U139" s="1324"/>
    </row>
    <row r="140" spans="3:21" x14ac:dyDescent="0.2">
      <c r="C140" s="1265"/>
      <c r="D140" s="1365">
        <f t="shared" si="64"/>
        <v>2015</v>
      </c>
      <c r="E140" s="1329"/>
      <c r="F140" s="1329"/>
      <c r="G140" s="1373">
        <f t="shared" si="65"/>
        <v>-0.10820414386824195</v>
      </c>
      <c r="H140" s="1329"/>
      <c r="I140" s="1378"/>
      <c r="J140" s="1265"/>
      <c r="K140" s="1363">
        <f t="shared" si="66"/>
        <v>2015</v>
      </c>
      <c r="L140" s="1353" t="str">
        <f t="shared" ref="L140:M142" si="70">IF(L130=0,"",L131/L130-1)</f>
        <v/>
      </c>
      <c r="M140" s="1353" t="str">
        <f t="shared" si="70"/>
        <v/>
      </c>
      <c r="N140" s="1329"/>
      <c r="O140" s="1381"/>
      <c r="P140" s="1265"/>
      <c r="Q140" s="1363">
        <f t="shared" si="68"/>
        <v>2015</v>
      </c>
      <c r="R140" s="1374" t="str">
        <f t="shared" ref="R140:S142" si="71">IF(R130="","",IF(R130=0,"",R131/R130-1))</f>
        <v/>
      </c>
      <c r="S140" s="1374" t="str">
        <f t="shared" si="71"/>
        <v/>
      </c>
      <c r="T140" s="1329"/>
      <c r="U140" s="1324"/>
    </row>
    <row r="141" spans="3:21" x14ac:dyDescent="0.2">
      <c r="C141" s="1265"/>
      <c r="D141" s="1365">
        <f t="shared" si="64"/>
        <v>2016</v>
      </c>
      <c r="E141" s="1329"/>
      <c r="F141" s="1329"/>
      <c r="G141" s="1373">
        <f t="shared" si="65"/>
        <v>-1.247358644897345E-2</v>
      </c>
      <c r="H141" s="1329"/>
      <c r="I141" s="1378"/>
      <c r="J141" s="1265"/>
      <c r="K141" s="1363">
        <f t="shared" si="66"/>
        <v>2016</v>
      </c>
      <c r="L141" s="1353" t="str">
        <f>IF(K132="Forecast","",IF(L131=0,"",L132/L131-1))</f>
        <v/>
      </c>
      <c r="M141" s="1353" t="str">
        <f t="shared" si="70"/>
        <v/>
      </c>
      <c r="N141" s="1329"/>
      <c r="O141" s="1381"/>
      <c r="P141" s="1265"/>
      <c r="Q141" s="1363">
        <f t="shared" si="68"/>
        <v>2016</v>
      </c>
      <c r="R141" s="1374" t="str">
        <f>IF(Q132="Forecast","",IF(R131=0,"",R132/R131-1))</f>
        <v/>
      </c>
      <c r="S141" s="1374" t="str">
        <f t="shared" si="71"/>
        <v/>
      </c>
      <c r="T141" s="1329"/>
      <c r="U141" s="1324"/>
    </row>
    <row r="142" spans="3:21" x14ac:dyDescent="0.2">
      <c r="C142" s="1265"/>
      <c r="D142" s="1401">
        <f t="shared" si="64"/>
        <v>2017</v>
      </c>
      <c r="E142" s="1329"/>
      <c r="F142" s="1329"/>
      <c r="G142" s="1373">
        <f t="shared" si="65"/>
        <v>0.48447384985427511</v>
      </c>
      <c r="H142" s="1329"/>
      <c r="I142" s="1379">
        <f>IF(I134=0,"",G133/I134-1)</f>
        <v>0.60376290051361625</v>
      </c>
      <c r="J142" s="1265"/>
      <c r="K142" s="1363">
        <f t="shared" si="66"/>
        <v>2017</v>
      </c>
      <c r="L142" s="1353" t="str">
        <f>IF(K133="Forecast","",IF(L132=0,"",L133/L132-1))</f>
        <v/>
      </c>
      <c r="M142" s="1353" t="str">
        <f t="shared" si="70"/>
        <v/>
      </c>
      <c r="N142" s="1329"/>
      <c r="O142" s="1382" t="str">
        <f>IF(O134=0,"",M133/O134-1)</f>
        <v/>
      </c>
      <c r="P142" s="1265"/>
      <c r="Q142" s="1363">
        <f t="shared" si="68"/>
        <v>2017</v>
      </c>
      <c r="R142" s="1374" t="str">
        <f>IF(Q133="Forecast","",IF(R132=0,"",R133/R132-1))</f>
        <v/>
      </c>
      <c r="S142" s="1374" t="str">
        <f t="shared" si="71"/>
        <v/>
      </c>
      <c r="T142" s="1329"/>
      <c r="U142" s="1354" t="str">
        <f>IF(U134=0,"",S133/U134-1)</f>
        <v/>
      </c>
    </row>
    <row r="143" spans="3:21" ht="26.25" thickBot="1" x14ac:dyDescent="0.25">
      <c r="C143" s="1271"/>
      <c r="D143" s="1405" t="s">
        <v>1221</v>
      </c>
      <c r="E143" s="1355"/>
      <c r="F143" s="1355"/>
      <c r="G143" s="1375">
        <f>IF(G127=0,"",(G133/G127)^(1/($D133-$D127-1))-1)</f>
        <v>0.25331568155156314</v>
      </c>
      <c r="H143" s="1355"/>
      <c r="I143" s="1371">
        <f>IF(I134=0,"",(G133/I134)^(1/(TestYear-RebaseYear-1))-1)</f>
        <v>0.12534332876307386</v>
      </c>
      <c r="J143" s="1265"/>
      <c r="K143" s="1404" t="str">
        <f t="shared" si="66"/>
        <v>Geometric Mean</v>
      </c>
      <c r="L143" s="1358" t="str">
        <f>IF(L127=0,"",(L131/L127)^(1/($D131-$D127-1))-1)</f>
        <v/>
      </c>
      <c r="M143" s="1358" t="str">
        <f>IF(M127=0,"",(M133/M127)^(1/($D133-$D127-1))-1)</f>
        <v/>
      </c>
      <c r="N143" s="1355"/>
      <c r="O143" s="1371" t="str">
        <f>IF(O134=0,"",(M133/O134)^(1/(TestYear-RebaseYear-1))-1)</f>
        <v/>
      </c>
      <c r="P143" s="1271"/>
      <c r="Q143" s="1404" t="str">
        <f t="shared" si="68"/>
        <v>Geometric Mean</v>
      </c>
      <c r="R143" s="1376" t="str">
        <f>IF(R127="","",IF(R127=0,"",(R131/R127)^(1/($D131-$D127-1))-1))</f>
        <v/>
      </c>
      <c r="S143" s="1358" t="str">
        <f>IF(S127="","",IF(S127=0,"",(S133/S127)^(1/($D133-$D127-1))-1))</f>
        <v/>
      </c>
      <c r="T143" s="1355"/>
      <c r="U143" s="1371" t="str">
        <f>IF(U134=0,"",(S133/U134)^(1/(TestYear-RebaseYear-1))-1)</f>
        <v/>
      </c>
    </row>
    <row r="144" spans="3:21" ht="13.5" thickBot="1" x14ac:dyDescent="0.25"/>
    <row r="145" spans="2:22" ht="13.5" thickBot="1" x14ac:dyDescent="0.25">
      <c r="B145" s="1318">
        <v>3</v>
      </c>
      <c r="C145" s="3" t="s">
        <v>14</v>
      </c>
      <c r="D145" s="1880" t="s">
        <v>1236</v>
      </c>
      <c r="E145" s="1881"/>
      <c r="F145" s="1882"/>
      <c r="G145" s="1291"/>
      <c r="H145" s="13" t="s">
        <v>1224</v>
      </c>
      <c r="N145" s="1317" t="s">
        <v>75</v>
      </c>
      <c r="O145" s="1316"/>
      <c r="P145" s="1316"/>
      <c r="Q145" s="1316"/>
      <c r="R145" s="1316"/>
      <c r="S145" s="1316"/>
      <c r="T145" s="1316"/>
      <c r="U145" s="1316"/>
    </row>
    <row r="146" spans="2:22" ht="13.5" thickBot="1" x14ac:dyDescent="0.25">
      <c r="Q146" s="1355"/>
      <c r="R146" s="1355"/>
      <c r="S146" s="1355"/>
      <c r="T146" s="1355"/>
      <c r="U146" s="1355"/>
    </row>
    <row r="147" spans="2:22" ht="12.75" customHeight="1" x14ac:dyDescent="0.2">
      <c r="C147" s="1264"/>
      <c r="D147" s="1268" t="s">
        <v>1205</v>
      </c>
      <c r="E147" s="1268"/>
      <c r="F147" s="1883" t="s">
        <v>1034</v>
      </c>
      <c r="G147" s="1884"/>
      <c r="H147" s="1884"/>
      <c r="I147" s="1885"/>
      <c r="J147" s="1268"/>
      <c r="K147" s="1859" t="s">
        <v>1213</v>
      </c>
      <c r="L147" s="1860"/>
      <c r="M147" s="1860"/>
      <c r="N147" s="1860"/>
      <c r="O147" s="1861"/>
      <c r="P147" s="1287"/>
      <c r="Q147" s="1869" t="str">
        <f>CONCATENATE("Consumption (kWh) per ",LEFT(F147,LEN(F147)-1))</f>
        <v>Consumption (kWh) per Customer</v>
      </c>
      <c r="R147" s="1879"/>
      <c r="S147" s="1879"/>
      <c r="T147" s="1879"/>
      <c r="U147" s="1870"/>
      <c r="V147" s="1308"/>
    </row>
    <row r="148" spans="2:22" ht="39" thickBot="1" x14ac:dyDescent="0.25">
      <c r="C148" s="1271"/>
      <c r="D148" s="1277" t="str">
        <f>CONCATENATE("(for ",TestYear," Cost of Service")</f>
        <v>(for 2017 Cost of Service</v>
      </c>
      <c r="E148" s="1266"/>
      <c r="F148" s="1872"/>
      <c r="G148" s="1873"/>
      <c r="H148" s="1875"/>
      <c r="I148" s="1296"/>
      <c r="J148" s="1266"/>
      <c r="K148" s="1284"/>
      <c r="L148" s="1433" t="s">
        <v>1226</v>
      </c>
      <c r="M148" s="1433" t="s">
        <v>1210</v>
      </c>
      <c r="N148" s="1305"/>
      <c r="O148" s="1306" t="s">
        <v>1210</v>
      </c>
      <c r="P148" s="1266"/>
      <c r="Q148" s="1389"/>
      <c r="R148" s="1390" t="str">
        <f>L148</f>
        <v>Actual (Weather actual)</v>
      </c>
      <c r="S148" s="1391" t="str">
        <f>M148</f>
        <v>Weather-normalized</v>
      </c>
      <c r="T148" s="1391"/>
      <c r="U148" s="1392" t="str">
        <f>O148</f>
        <v>Weather-normalized</v>
      </c>
      <c r="V148" s="1308"/>
    </row>
    <row r="149" spans="2:22" x14ac:dyDescent="0.2">
      <c r="C149" s="1266" t="s">
        <v>890</v>
      </c>
      <c r="D149" s="1363">
        <f t="shared" ref="D149:D154" si="72">D150-1</f>
        <v>2011</v>
      </c>
      <c r="E149" s="1265"/>
      <c r="F149" s="1313" t="str">
        <f>F106</f>
        <v>Actual</v>
      </c>
      <c r="G149" s="1301">
        <v>95</v>
      </c>
      <c r="H149" s="1297" t="str">
        <f t="shared" ref="H149:H155" si="73">IF(D149=RebaseYear,"Board-approved","")</f>
        <v/>
      </c>
      <c r="I149" s="1324"/>
      <c r="J149" s="1265"/>
      <c r="K149" s="1282" t="str">
        <f>F149</f>
        <v>Actual</v>
      </c>
      <c r="L149" s="1301">
        <v>64324224</v>
      </c>
      <c r="M149" s="1301">
        <v>63493937.124862231</v>
      </c>
      <c r="N149" s="1297" t="str">
        <f>H149</f>
        <v/>
      </c>
      <c r="O149" s="1492"/>
      <c r="P149" s="1265"/>
      <c r="Q149" s="1385" t="str">
        <f>K149</f>
        <v>Actual</v>
      </c>
      <c r="R149" s="1497">
        <f>IF(G149=0,"",L149/G149)</f>
        <v>677097.09473684209</v>
      </c>
      <c r="S149" s="1497">
        <f>IF(G149=0,"",M149/G149)</f>
        <v>668357.23289328662</v>
      </c>
      <c r="T149" s="1329" t="str">
        <f>N149</f>
        <v/>
      </c>
      <c r="U149" s="1329" t="str">
        <f>IF(T149="","",IF(I149=0,"",O149/I149))</f>
        <v/>
      </c>
      <c r="V149" s="1309"/>
    </row>
    <row r="150" spans="2:22" x14ac:dyDescent="0.2">
      <c r="C150" s="1266" t="s">
        <v>890</v>
      </c>
      <c r="D150" s="1363">
        <f t="shared" si="72"/>
        <v>2012</v>
      </c>
      <c r="E150" s="1265"/>
      <c r="F150" s="1314" t="str">
        <f t="shared" ref="F150:F155" si="74">F107</f>
        <v>Actual</v>
      </c>
      <c r="G150" s="1301">
        <v>89</v>
      </c>
      <c r="H150" s="1297" t="str">
        <f t="shared" si="73"/>
        <v>Board-approved</v>
      </c>
      <c r="I150" s="1494">
        <v>93.462448747383306</v>
      </c>
      <c r="J150" s="1265"/>
      <c r="K150" s="1282" t="str">
        <f t="shared" ref="K150:K155" si="75">F150</f>
        <v>Actual</v>
      </c>
      <c r="L150" s="1301">
        <v>60934472.188461378</v>
      </c>
      <c r="M150" s="1301">
        <v>60853375.1283843</v>
      </c>
      <c r="N150" s="1297" t="str">
        <f t="shared" ref="N150:N155" si="76">H150</f>
        <v>Board-approved</v>
      </c>
      <c r="O150" s="1493">
        <v>66668106.413480401</v>
      </c>
      <c r="P150" s="1265"/>
      <c r="Q150" s="1385" t="str">
        <f t="shared" ref="Q150:Q155" si="77">K150</f>
        <v>Actual</v>
      </c>
      <c r="R150" s="1497">
        <f t="shared" ref="R150:R155" si="78">IF(G150=0,"",L150/G150)</f>
        <v>684656.99088158854</v>
      </c>
      <c r="S150" s="1497">
        <f t="shared" ref="S150:S155" si="79">IF(G150=0,"",M150/G150)</f>
        <v>683745.78795937414</v>
      </c>
      <c r="T150" s="1329" t="str">
        <f t="shared" ref="T150:T155" si="80">N150</f>
        <v>Board-approved</v>
      </c>
      <c r="U150" s="1497">
        <f t="shared" ref="U150:U155" si="81">IF(T150="","",IF(I150=0,"",O150/I150))</f>
        <v>713314.35573312989</v>
      </c>
      <c r="V150" s="1309"/>
    </row>
    <row r="151" spans="2:22" x14ac:dyDescent="0.2">
      <c r="C151" s="1266" t="s">
        <v>890</v>
      </c>
      <c r="D151" s="1363">
        <f t="shared" si="72"/>
        <v>2013</v>
      </c>
      <c r="E151" s="1265"/>
      <c r="F151" s="1314" t="str">
        <f t="shared" si="74"/>
        <v>Actual</v>
      </c>
      <c r="G151" s="1301">
        <v>89</v>
      </c>
      <c r="H151" s="1297" t="str">
        <f t="shared" si="73"/>
        <v/>
      </c>
      <c r="I151" s="1325"/>
      <c r="J151" s="1265"/>
      <c r="K151" s="1282" t="str">
        <f t="shared" si="75"/>
        <v>Actual</v>
      </c>
      <c r="L151" s="1301">
        <v>59427521.597267792</v>
      </c>
      <c r="M151" s="1301">
        <v>59626583.027692735</v>
      </c>
      <c r="N151" s="1297" t="str">
        <f t="shared" si="76"/>
        <v/>
      </c>
      <c r="O151" s="1325"/>
      <c r="P151" s="1265"/>
      <c r="Q151" s="1385" t="str">
        <f t="shared" si="77"/>
        <v>Actual</v>
      </c>
      <c r="R151" s="1495">
        <f t="shared" si="78"/>
        <v>667724.96176705381</v>
      </c>
      <c r="S151" s="1497">
        <f t="shared" si="79"/>
        <v>669961.60705272737</v>
      </c>
      <c r="T151" s="1329" t="str">
        <f t="shared" si="80"/>
        <v/>
      </c>
      <c r="U151" s="1329" t="str">
        <f t="shared" si="81"/>
        <v/>
      </c>
      <c r="V151" s="1309"/>
    </row>
    <row r="152" spans="2:22" x14ac:dyDescent="0.2">
      <c r="C152" s="1266" t="s">
        <v>890</v>
      </c>
      <c r="D152" s="1363">
        <f t="shared" si="72"/>
        <v>2014</v>
      </c>
      <c r="E152" s="1265"/>
      <c r="F152" s="1314" t="str">
        <f t="shared" si="74"/>
        <v>Actual</v>
      </c>
      <c r="G152" s="1301">
        <v>90</v>
      </c>
      <c r="H152" s="1297" t="str">
        <f t="shared" si="73"/>
        <v/>
      </c>
      <c r="I152" s="1324"/>
      <c r="J152" s="1265"/>
      <c r="K152" s="1282" t="str">
        <f t="shared" si="75"/>
        <v>Actual</v>
      </c>
      <c r="L152" s="1301">
        <v>57346380</v>
      </c>
      <c r="M152" s="1301">
        <v>57555836.280476987</v>
      </c>
      <c r="N152" s="1297" t="str">
        <f t="shared" si="76"/>
        <v/>
      </c>
      <c r="O152" s="1324"/>
      <c r="P152" s="1265"/>
      <c r="Q152" s="1385" t="str">
        <f t="shared" si="77"/>
        <v>Actual</v>
      </c>
      <c r="R152" s="1495">
        <f t="shared" si="78"/>
        <v>637182</v>
      </c>
      <c r="S152" s="1497">
        <f t="shared" si="79"/>
        <v>639509.29200529982</v>
      </c>
      <c r="T152" s="1329" t="str">
        <f t="shared" si="80"/>
        <v/>
      </c>
      <c r="U152" s="1329" t="str">
        <f t="shared" si="81"/>
        <v/>
      </c>
      <c r="V152" s="1309"/>
    </row>
    <row r="153" spans="2:22" x14ac:dyDescent="0.2">
      <c r="C153" s="1266" t="s">
        <v>890</v>
      </c>
      <c r="D153" s="1363">
        <f t="shared" si="72"/>
        <v>2015</v>
      </c>
      <c r="E153" s="1265"/>
      <c r="F153" s="1314" t="str">
        <f t="shared" si="74"/>
        <v>Actual</v>
      </c>
      <c r="G153" s="1301">
        <v>92.5</v>
      </c>
      <c r="H153" s="1297" t="str">
        <f t="shared" si="73"/>
        <v/>
      </c>
      <c r="I153" s="1324"/>
      <c r="J153" s="1265"/>
      <c r="K153" s="1282" t="str">
        <f t="shared" si="75"/>
        <v>Actual</v>
      </c>
      <c r="L153" s="1301">
        <v>62304426.670519009</v>
      </c>
      <c r="M153" s="1301">
        <v>63171499.828008629</v>
      </c>
      <c r="N153" s="1297" t="str">
        <f t="shared" si="76"/>
        <v/>
      </c>
      <c r="O153" s="1324"/>
      <c r="P153" s="1265"/>
      <c r="Q153" s="1385" t="str">
        <f t="shared" si="77"/>
        <v>Actual</v>
      </c>
      <c r="R153" s="1495">
        <f t="shared" si="78"/>
        <v>673561.36941101635</v>
      </c>
      <c r="S153" s="1497">
        <f t="shared" si="79"/>
        <v>682935.13327576895</v>
      </c>
      <c r="T153" s="1329" t="str">
        <f t="shared" si="80"/>
        <v/>
      </c>
      <c r="U153" s="1329" t="str">
        <f t="shared" si="81"/>
        <v/>
      </c>
      <c r="V153" s="1309"/>
    </row>
    <row r="154" spans="2:22" x14ac:dyDescent="0.2">
      <c r="C154" s="1266" t="s">
        <v>313</v>
      </c>
      <c r="D154" s="1363">
        <f t="shared" si="72"/>
        <v>2016</v>
      </c>
      <c r="E154" s="1265"/>
      <c r="F154" s="1314" t="str">
        <f t="shared" si="74"/>
        <v>Forecast</v>
      </c>
      <c r="G154" s="1301">
        <v>92.5</v>
      </c>
      <c r="H154" s="1297" t="str">
        <f t="shared" si="73"/>
        <v/>
      </c>
      <c r="I154" s="1324"/>
      <c r="J154" s="1265"/>
      <c r="K154" s="1282" t="str">
        <f t="shared" si="75"/>
        <v>Forecast</v>
      </c>
      <c r="L154" s="1303"/>
      <c r="M154" s="1301">
        <v>62116820.189978786</v>
      </c>
      <c r="N154" s="1297" t="str">
        <f t="shared" si="76"/>
        <v/>
      </c>
      <c r="O154" s="1324"/>
      <c r="P154" s="1265"/>
      <c r="Q154" s="1385" t="str">
        <f t="shared" si="77"/>
        <v>Forecast</v>
      </c>
      <c r="R154" s="1387">
        <f t="shared" si="78"/>
        <v>0</v>
      </c>
      <c r="S154" s="1497">
        <f t="shared" si="79"/>
        <v>671533.19124301395</v>
      </c>
      <c r="T154" s="1329" t="str">
        <f t="shared" si="80"/>
        <v/>
      </c>
      <c r="U154" s="1329" t="str">
        <f t="shared" si="81"/>
        <v/>
      </c>
      <c r="V154" s="1309"/>
    </row>
    <row r="155" spans="2:22" ht="13.5" thickBot="1" x14ac:dyDescent="0.25">
      <c r="C155" s="1267" t="s">
        <v>314</v>
      </c>
      <c r="D155" s="1364">
        <f>TestYear</f>
        <v>2017</v>
      </c>
      <c r="E155" s="1271"/>
      <c r="F155" s="1315" t="str">
        <f t="shared" si="74"/>
        <v>Forecast</v>
      </c>
      <c r="G155" s="1302">
        <v>92.5</v>
      </c>
      <c r="H155" s="1298" t="str">
        <f t="shared" si="73"/>
        <v/>
      </c>
      <c r="I155" s="1326"/>
      <c r="J155" s="1271"/>
      <c r="K155" s="1283" t="str">
        <f t="shared" si="75"/>
        <v>Forecast</v>
      </c>
      <c r="L155" s="1304"/>
      <c r="M155" s="1302">
        <v>60741787.912906595</v>
      </c>
      <c r="N155" s="1298" t="str">
        <f t="shared" si="76"/>
        <v/>
      </c>
      <c r="O155" s="1326"/>
      <c r="P155" s="1271"/>
      <c r="Q155" s="1386" t="str">
        <f t="shared" si="77"/>
        <v>Forecast</v>
      </c>
      <c r="R155" s="1388">
        <f t="shared" si="78"/>
        <v>0</v>
      </c>
      <c r="S155" s="1498">
        <f t="shared" si="79"/>
        <v>656667.97743682808</v>
      </c>
      <c r="T155" s="1355" t="str">
        <f t="shared" si="80"/>
        <v/>
      </c>
      <c r="U155" s="1355" t="str">
        <f t="shared" si="81"/>
        <v/>
      </c>
      <c r="V155" s="1309"/>
    </row>
    <row r="156" spans="2:22" ht="13.5" thickBot="1" x14ac:dyDescent="0.25">
      <c r="B156" s="1329"/>
      <c r="C156" s="1366"/>
      <c r="I156" s="1408">
        <f>SUM(I149:I154)</f>
        <v>93.462448747383306</v>
      </c>
      <c r="O156" s="1408">
        <f>SUM(O149:O154)</f>
        <v>66668106.413480401</v>
      </c>
      <c r="U156" s="1408">
        <f>SUM(U149:U154)</f>
        <v>713314.35573312989</v>
      </c>
    </row>
    <row r="157" spans="2:22" ht="39" thickBot="1" x14ac:dyDescent="0.25">
      <c r="C157" s="1400" t="s">
        <v>952</v>
      </c>
      <c r="D157" s="1399" t="s">
        <v>15</v>
      </c>
      <c r="E157" s="1361"/>
      <c r="F157" s="1361"/>
      <c r="G157" s="1435" t="s">
        <v>1222</v>
      </c>
      <c r="H157" s="1361"/>
      <c r="I157" s="1394" t="s">
        <v>1235</v>
      </c>
      <c r="J157" s="1396"/>
      <c r="K157" s="1395" t="s">
        <v>15</v>
      </c>
      <c r="L157" s="1874" t="s">
        <v>1222</v>
      </c>
      <c r="M157" s="1874"/>
      <c r="N157" s="1361"/>
      <c r="O157" s="1394" t="str">
        <f>I157</f>
        <v>Test Year Versus Board-approved</v>
      </c>
      <c r="P157" s="1397"/>
      <c r="Q157" s="1395" t="s">
        <v>15</v>
      </c>
      <c r="R157" s="1874" t="s">
        <v>1222</v>
      </c>
      <c r="S157" s="1874"/>
      <c r="T157" s="1361"/>
      <c r="U157" s="1394" t="str">
        <f>O157</f>
        <v>Test Year Versus Board-approved</v>
      </c>
    </row>
    <row r="158" spans="2:22" x14ac:dyDescent="0.2">
      <c r="C158" s="1265"/>
      <c r="D158" s="1377">
        <f t="shared" ref="D158:D164" si="82">D149</f>
        <v>2011</v>
      </c>
      <c r="E158" s="1329"/>
      <c r="F158" s="1329"/>
      <c r="G158" s="1372"/>
      <c r="H158" s="1329"/>
      <c r="I158" s="1378"/>
      <c r="J158" s="1384"/>
      <c r="K158" s="1363">
        <f>D158</f>
        <v>2011</v>
      </c>
      <c r="L158" s="1351"/>
      <c r="M158" s="1351"/>
      <c r="N158" s="1329"/>
      <c r="O158" s="1324"/>
      <c r="P158" s="1265"/>
      <c r="Q158" s="1363">
        <f>K158</f>
        <v>2011</v>
      </c>
      <c r="R158" s="1330"/>
      <c r="S158" s="1330"/>
      <c r="T158" s="1329"/>
      <c r="U158" s="1324"/>
    </row>
    <row r="159" spans="2:22" x14ac:dyDescent="0.2">
      <c r="C159" s="1265"/>
      <c r="D159" s="1365">
        <f t="shared" si="82"/>
        <v>2012</v>
      </c>
      <c r="E159" s="1329"/>
      <c r="F159" s="1329"/>
      <c r="G159" s="1373">
        <f t="shared" ref="G159:G164" si="83">IF(G149=0,"",G150/G149-1)</f>
        <v>-6.315789473684208E-2</v>
      </c>
      <c r="H159" s="1329"/>
      <c r="I159" s="1378"/>
      <c r="J159" s="1384"/>
      <c r="K159" s="1363">
        <f t="shared" ref="K159:K165" si="84">D159</f>
        <v>2012</v>
      </c>
      <c r="L159" s="1353">
        <f t="shared" ref="L159:M162" si="85">IF(L149=0,"",L150/L149-1)</f>
        <v>-5.2697904471239676E-2</v>
      </c>
      <c r="M159" s="1353">
        <f t="shared" si="85"/>
        <v>-4.1587624205523865E-2</v>
      </c>
      <c r="N159" s="1329"/>
      <c r="O159" s="1324"/>
      <c r="P159" s="1265"/>
      <c r="Q159" s="1363">
        <f t="shared" ref="Q159:Q165" si="86">K159</f>
        <v>2012</v>
      </c>
      <c r="R159" s="1374">
        <f t="shared" ref="R159:S162" si="87">IF(R149="","",IF(R149=0,"",R150/R149-1))</f>
        <v>1.1165158148676912E-2</v>
      </c>
      <c r="S159" s="1374">
        <f t="shared" si="87"/>
        <v>2.3024446072755334E-2</v>
      </c>
      <c r="T159" s="1329"/>
      <c r="U159" s="1324"/>
    </row>
    <row r="160" spans="2:22" x14ac:dyDescent="0.2">
      <c r="C160" s="1265"/>
      <c r="D160" s="1365">
        <f t="shared" si="82"/>
        <v>2013</v>
      </c>
      <c r="E160" s="1329"/>
      <c r="F160" s="1329"/>
      <c r="G160" s="1373">
        <f t="shared" si="83"/>
        <v>0</v>
      </c>
      <c r="H160" s="1329"/>
      <c r="I160" s="1378"/>
      <c r="J160" s="1384"/>
      <c r="K160" s="1363">
        <f t="shared" si="84"/>
        <v>2013</v>
      </c>
      <c r="L160" s="1353">
        <f t="shared" si="85"/>
        <v>-2.4730674396141628E-2</v>
      </c>
      <c r="M160" s="1353">
        <f t="shared" si="85"/>
        <v>-2.015980375950166E-2</v>
      </c>
      <c r="N160" s="1329"/>
      <c r="O160" s="1324"/>
      <c r="P160" s="1265"/>
      <c r="Q160" s="1363">
        <f t="shared" si="86"/>
        <v>2013</v>
      </c>
      <c r="R160" s="1374">
        <f t="shared" si="87"/>
        <v>-2.4730674396141739E-2</v>
      </c>
      <c r="S160" s="1374">
        <f t="shared" si="87"/>
        <v>-2.0159803759501549E-2</v>
      </c>
      <c r="T160" s="1329"/>
      <c r="U160" s="1324"/>
    </row>
    <row r="161" spans="3:21" x14ac:dyDescent="0.2">
      <c r="C161" s="1265"/>
      <c r="D161" s="1365">
        <f t="shared" si="82"/>
        <v>2014</v>
      </c>
      <c r="E161" s="1329"/>
      <c r="F161" s="1329"/>
      <c r="G161" s="1373">
        <f t="shared" si="83"/>
        <v>1.1235955056179803E-2</v>
      </c>
      <c r="H161" s="1329"/>
      <c r="I161" s="1378"/>
      <c r="J161" s="1384"/>
      <c r="K161" s="1363">
        <f t="shared" si="84"/>
        <v>2014</v>
      </c>
      <c r="L161" s="1353">
        <f t="shared" si="85"/>
        <v>-3.5019828209754467E-2</v>
      </c>
      <c r="M161" s="1353">
        <f t="shared" si="85"/>
        <v>-3.4728583159863713E-2</v>
      </c>
      <c r="N161" s="1329"/>
      <c r="O161" s="1324"/>
      <c r="P161" s="1265"/>
      <c r="Q161" s="1363">
        <f t="shared" si="86"/>
        <v>2014</v>
      </c>
      <c r="R161" s="1374">
        <f t="shared" si="87"/>
        <v>-4.5741830118534943E-2</v>
      </c>
      <c r="S161" s="1374">
        <f t="shared" si="87"/>
        <v>-4.5453821124754268E-2</v>
      </c>
      <c r="T161" s="1329"/>
      <c r="U161" s="1324"/>
    </row>
    <row r="162" spans="3:21" x14ac:dyDescent="0.2">
      <c r="C162" s="1265"/>
      <c r="D162" s="1365">
        <f t="shared" si="82"/>
        <v>2015</v>
      </c>
      <c r="E162" s="1329"/>
      <c r="F162" s="1329"/>
      <c r="G162" s="1373">
        <f t="shared" si="83"/>
        <v>2.7777777777777679E-2</v>
      </c>
      <c r="H162" s="1329"/>
      <c r="I162" s="1378"/>
      <c r="J162" s="1384"/>
      <c r="K162" s="1363">
        <f t="shared" si="84"/>
        <v>2015</v>
      </c>
      <c r="L162" s="1353">
        <f t="shared" si="85"/>
        <v>8.6457884011493125E-2</v>
      </c>
      <c r="M162" s="1353">
        <f t="shared" si="85"/>
        <v>9.7568967987291311E-2</v>
      </c>
      <c r="N162" s="1329"/>
      <c r="O162" s="1324"/>
      <c r="P162" s="1265"/>
      <c r="Q162" s="1363">
        <f t="shared" si="86"/>
        <v>2015</v>
      </c>
      <c r="R162" s="1374">
        <f t="shared" si="87"/>
        <v>5.7094157416587965E-2</v>
      </c>
      <c r="S162" s="1374">
        <f t="shared" si="87"/>
        <v>6.7904941825472687E-2</v>
      </c>
      <c r="T162" s="1329"/>
      <c r="U162" s="1324"/>
    </row>
    <row r="163" spans="3:21" x14ac:dyDescent="0.2">
      <c r="C163" s="1265"/>
      <c r="D163" s="1365">
        <f t="shared" si="82"/>
        <v>2016</v>
      </c>
      <c r="E163" s="1329"/>
      <c r="F163" s="1329"/>
      <c r="G163" s="1373">
        <f t="shared" si="83"/>
        <v>0</v>
      </c>
      <c r="H163" s="1329"/>
      <c r="I163" s="1378"/>
      <c r="J163" s="1384"/>
      <c r="K163" s="1363">
        <f t="shared" si="84"/>
        <v>2016</v>
      </c>
      <c r="L163" s="1353" t="str">
        <f>IF(K154="Forecast","",IF(L153=0,"",L154/L153-1))</f>
        <v/>
      </c>
      <c r="M163" s="1353">
        <f>IF(M153=0,"",M154/M153-1)</f>
        <v>-1.6695497825781058E-2</v>
      </c>
      <c r="N163" s="1329"/>
      <c r="O163" s="1324"/>
      <c r="P163" s="1265"/>
      <c r="Q163" s="1363">
        <f t="shared" si="86"/>
        <v>2016</v>
      </c>
      <c r="R163" s="1374" t="str">
        <f>IF(Q154="Forecast","",IF(R153=0,"",R154/R153-1))</f>
        <v/>
      </c>
      <c r="S163" s="1374">
        <f>IF(S153="","",IF(S153=0,"",S154/S153-1))</f>
        <v>-1.6695497825780947E-2</v>
      </c>
      <c r="T163" s="1329"/>
      <c r="U163" s="1324"/>
    </row>
    <row r="164" spans="3:21" x14ac:dyDescent="0.2">
      <c r="C164" s="1265"/>
      <c r="D164" s="1365">
        <f t="shared" si="82"/>
        <v>2017</v>
      </c>
      <c r="E164" s="1329"/>
      <c r="F164" s="1329"/>
      <c r="G164" s="1373">
        <f t="shared" si="83"/>
        <v>0</v>
      </c>
      <c r="H164" s="1329"/>
      <c r="I164" s="1379">
        <f>IF(I156=0,"",G155/I156-1)</f>
        <v>-1.0297705231163801E-2</v>
      </c>
      <c r="J164" s="1384"/>
      <c r="K164" s="1363">
        <f t="shared" si="84"/>
        <v>2017</v>
      </c>
      <c r="L164" s="1353" t="str">
        <f>IF(K155="Forecast","",IF(L154=0,"",L155/L154-1))</f>
        <v/>
      </c>
      <c r="M164" s="1353">
        <f>IF(M154=0,"",M155/M154-1)</f>
        <v>-2.2136230941422586E-2</v>
      </c>
      <c r="N164" s="1329"/>
      <c r="O164" s="1354">
        <f>IF(O156=0,"",M155/O156-1)</f>
        <v>-8.8892857760476285E-2</v>
      </c>
      <c r="P164" s="1265"/>
      <c r="Q164" s="1363">
        <f t="shared" si="86"/>
        <v>2017</v>
      </c>
      <c r="R164" s="1374" t="str">
        <f>IF(Q155="Forecast","",IF(R154=0,"",R155/R154-1))</f>
        <v/>
      </c>
      <c r="S164" s="1374">
        <f>IF(S154="","",IF(S154=0,"",S155/S154-1))</f>
        <v>-2.2136230941422586E-2</v>
      </c>
      <c r="T164" s="1329"/>
      <c r="U164" s="1354">
        <f>IF(U156=0,"",S155/U156-1)</f>
        <v>-7.9412923406093294E-2</v>
      </c>
    </row>
    <row r="165" spans="3:21" ht="26.25" thickBot="1" x14ac:dyDescent="0.25">
      <c r="C165" s="1271"/>
      <c r="D165" s="1405" t="s">
        <v>1221</v>
      </c>
      <c r="E165" s="1355"/>
      <c r="F165" s="1355"/>
      <c r="G165" s="1375">
        <f>IF(G149=0,"",(G155/G149)^(1/($D155-$D149-1))-1)</f>
        <v>-5.3194507631458832E-3</v>
      </c>
      <c r="H165" s="1355"/>
      <c r="I165" s="1406">
        <f>IF(I156=0,"",(G155/I156)^(1/(TestYear-RebaseYear-1))-1)</f>
        <v>-2.5844279586677565E-3</v>
      </c>
      <c r="J165" s="1360"/>
      <c r="K165" s="1404" t="str">
        <f t="shared" si="84"/>
        <v>Geometric Mean</v>
      </c>
      <c r="L165" s="1358">
        <f>IF(L149=0,"",(L153/L149)^(1/($D153-$D149-1))-1)</f>
        <v>-1.0578258164438359E-2</v>
      </c>
      <c r="M165" s="1358">
        <f>IF(M149=0,"",(M155/M149)^(1/($D155-$D149-1))-1)</f>
        <v>-8.8233494156035874E-3</v>
      </c>
      <c r="N165" s="1355"/>
      <c r="O165" s="1371">
        <f>IF(O156=0,"",(M155/O156)^(1/(TestYear-RebaseYear-1))-1)</f>
        <v>-2.3004951276086594E-2</v>
      </c>
      <c r="P165" s="1271"/>
      <c r="Q165" s="1404" t="str">
        <f t="shared" si="86"/>
        <v>Geometric Mean</v>
      </c>
      <c r="R165" s="1376">
        <f>IF(R149="","",IF(R149=0,"",(R153/R149)^(1/($D153-$D149-1))-1))</f>
        <v>-1.7436680092990375E-3</v>
      </c>
      <c r="S165" s="1358">
        <f>IF(S149="","",IF(S149=0,"",(S155/S149)^(1/($D155-$D149-1))-1))</f>
        <v>-3.522637147319263E-3</v>
      </c>
      <c r="T165" s="1355"/>
      <c r="U165" s="1371">
        <f>IF(U156=0,"",(S155/U156)^(1/(TestYear-RebaseYear-1))-1)</f>
        <v>-2.047343543637048E-2</v>
      </c>
    </row>
    <row r="167" spans="3:21" ht="13.5" thickBot="1" x14ac:dyDescent="0.25">
      <c r="Q167" s="1355"/>
      <c r="R167" s="1355"/>
      <c r="S167" s="1355"/>
      <c r="T167" s="1355"/>
      <c r="U167" s="1355"/>
    </row>
    <row r="168" spans="3:21" ht="12.75" customHeight="1" x14ac:dyDescent="0.2">
      <c r="C168" s="1264"/>
      <c r="D168" s="1268" t="s">
        <v>1205</v>
      </c>
      <c r="E168" s="1268"/>
      <c r="F168" s="1876" t="s">
        <v>1198</v>
      </c>
      <c r="G168" s="1877"/>
      <c r="H168" s="1877"/>
      <c r="I168" s="1878"/>
      <c r="K168" s="1859" t="str">
        <f>IF(ISBLANK(N145),"",CONCATENATE("Demand (",N145,")"))</f>
        <v>Demand (kW)</v>
      </c>
      <c r="L168" s="1860"/>
      <c r="M168" s="1860"/>
      <c r="N168" s="1860"/>
      <c r="O168" s="1861"/>
      <c r="Q168" s="1869" t="str">
        <f>CONCATENATE("Demand (",N145,") per ",LEFT(F147,LEN(F147)-1))</f>
        <v>Demand (kW) per Customer</v>
      </c>
      <c r="R168" s="1879"/>
      <c r="S168" s="1879"/>
      <c r="T168" s="1879"/>
      <c r="U168" s="1870"/>
    </row>
    <row r="169" spans="3:21" ht="39" thickBot="1" x14ac:dyDescent="0.25">
      <c r="C169" s="1271"/>
      <c r="D169" s="1277" t="str">
        <f>CONCATENATE("(for ",TestYear," Cost of Service")</f>
        <v>(for 2017 Cost of Service</v>
      </c>
      <c r="E169" s="1266"/>
      <c r="F169" s="1872"/>
      <c r="G169" s="1873"/>
      <c r="H169" s="1873"/>
      <c r="I169" s="1296"/>
      <c r="K169" s="1284"/>
      <c r="L169" s="1433" t="s">
        <v>1226</v>
      </c>
      <c r="M169" s="1433" t="s">
        <v>1210</v>
      </c>
      <c r="N169" s="1305"/>
      <c r="O169" s="1306" t="str">
        <f>M169</f>
        <v>Weather-normalized</v>
      </c>
      <c r="Q169" s="1403"/>
      <c r="R169" s="1433" t="str">
        <f>L169</f>
        <v>Actual (Weather actual)</v>
      </c>
      <c r="S169" s="1433" t="str">
        <f>M169</f>
        <v>Weather-normalized</v>
      </c>
      <c r="T169" s="1433"/>
      <c r="U169" s="1434" t="str">
        <f>O169</f>
        <v>Weather-normalized</v>
      </c>
    </row>
    <row r="170" spans="3:21" x14ac:dyDescent="0.2">
      <c r="C170" s="1266" t="s">
        <v>890</v>
      </c>
      <c r="D170" s="1363">
        <f t="shared" ref="D170:D175" si="88">D171-1</f>
        <v>2011</v>
      </c>
      <c r="E170" s="1265"/>
      <c r="F170" s="1313" t="str">
        <f t="shared" ref="F170:F176" si="89">F149</f>
        <v>Actual</v>
      </c>
      <c r="G170" s="1311">
        <v>855946</v>
      </c>
      <c r="H170" s="2" t="str">
        <f t="shared" ref="H170:H176" si="90">IF(D170=RebaseYear,"Board-approved","")</f>
        <v/>
      </c>
      <c r="I170" s="1383"/>
      <c r="K170" s="1282" t="str">
        <f t="shared" ref="K170:K176" si="91">K149</f>
        <v>Actual</v>
      </c>
      <c r="L170" s="1500">
        <v>195460.9</v>
      </c>
      <c r="M170" s="1500">
        <v>192937.92172244444</v>
      </c>
      <c r="N170" s="1258" t="str">
        <f t="shared" ref="N170:N176" si="92">N149</f>
        <v/>
      </c>
      <c r="O170" s="1324"/>
      <c r="Q170" s="1507" t="str">
        <f>K170</f>
        <v>Actual</v>
      </c>
      <c r="R170" s="1508">
        <f>IF(G149=0,"",L170/G149)</f>
        <v>2057.4831578947369</v>
      </c>
      <c r="S170" s="1508">
        <f>IF(G149=0,"",M170/G149)</f>
        <v>2030.9254918152046</v>
      </c>
      <c r="T170" s="1503" t="str">
        <f>N170</f>
        <v/>
      </c>
      <c r="U170" s="1504" t="str">
        <f>IF(T170="","",IF(I170=0,"",O170/I170))</f>
        <v/>
      </c>
    </row>
    <row r="171" spans="3:21" x14ac:dyDescent="0.2">
      <c r="C171" s="1266" t="s">
        <v>890</v>
      </c>
      <c r="D171" s="1363">
        <f t="shared" si="88"/>
        <v>2012</v>
      </c>
      <c r="E171" s="1265"/>
      <c r="F171" s="1314" t="str">
        <f t="shared" si="89"/>
        <v>Actual</v>
      </c>
      <c r="G171" s="1311">
        <v>431398</v>
      </c>
      <c r="H171" s="2" t="str">
        <f t="shared" si="90"/>
        <v>Board-approved</v>
      </c>
      <c r="I171" s="1311">
        <v>397449.20428900077</v>
      </c>
      <c r="K171" s="1282" t="str">
        <f t="shared" si="91"/>
        <v>Actual</v>
      </c>
      <c r="L171" s="1500">
        <v>186873.8</v>
      </c>
      <c r="M171" s="1500">
        <v>186625.09158846966</v>
      </c>
      <c r="N171" s="1258" t="str">
        <f t="shared" si="92"/>
        <v>Board-approved</v>
      </c>
      <c r="O171" s="1494">
        <v>214066.91291445112</v>
      </c>
      <c r="Q171" s="1496" t="str">
        <f t="shared" ref="Q171:Q176" si="93">K171</f>
        <v>Actual</v>
      </c>
      <c r="R171" s="1504">
        <f t="shared" ref="R171:R176" si="94">IF(G150=0,"",L171/G150)</f>
        <v>2099.7056179775282</v>
      </c>
      <c r="S171" s="1504">
        <f t="shared" ref="S171:S176" si="95">IF(G150=0,"",M171/G150)</f>
        <v>2096.9111414434792</v>
      </c>
      <c r="T171" s="1503" t="str">
        <f t="shared" ref="T171:T176" si="96">N171</f>
        <v>Board-approved</v>
      </c>
      <c r="U171" s="1504">
        <f>IF(T150="","",IF(I171=0,"",O171/I150))</f>
        <v>2290.405566978518</v>
      </c>
    </row>
    <row r="172" spans="3:21" x14ac:dyDescent="0.2">
      <c r="C172" s="1266" t="s">
        <v>890</v>
      </c>
      <c r="D172" s="1363">
        <f t="shared" si="88"/>
        <v>2013</v>
      </c>
      <c r="E172" s="1265"/>
      <c r="F172" s="1314" t="str">
        <f t="shared" si="89"/>
        <v>Actual</v>
      </c>
      <c r="G172" s="1311">
        <v>477986.81727800431</v>
      </c>
      <c r="H172" s="2" t="str">
        <f t="shared" si="90"/>
        <v/>
      </c>
      <c r="I172" s="1328"/>
      <c r="K172" s="1282" t="str">
        <f t="shared" si="91"/>
        <v>Actual</v>
      </c>
      <c r="L172" s="1500">
        <v>181892.6</v>
      </c>
      <c r="M172" s="1500">
        <v>182501.8766476968</v>
      </c>
      <c r="N172" s="1258" t="str">
        <f t="shared" si="92"/>
        <v/>
      </c>
      <c r="O172" s="1325"/>
      <c r="Q172" s="1496" t="str">
        <f t="shared" si="93"/>
        <v>Actual</v>
      </c>
      <c r="R172" s="1504">
        <f t="shared" si="94"/>
        <v>2043.7370786516854</v>
      </c>
      <c r="S172" s="1504">
        <f t="shared" si="95"/>
        <v>2050.5828836819865</v>
      </c>
      <c r="T172" s="1503" t="str">
        <f t="shared" si="96"/>
        <v/>
      </c>
      <c r="U172" s="1504" t="str">
        <f t="shared" ref="U172:U176" si="97">IF(T172="","",IF(I172=0,"",O172/I172))</f>
        <v/>
      </c>
    </row>
    <row r="173" spans="3:21" x14ac:dyDescent="0.2">
      <c r="C173" s="1266" t="s">
        <v>890</v>
      </c>
      <c r="D173" s="1363">
        <f t="shared" si="88"/>
        <v>2014</v>
      </c>
      <c r="E173" s="1265"/>
      <c r="F173" s="1314" t="str">
        <f t="shared" si="89"/>
        <v>Actual</v>
      </c>
      <c r="G173" s="1311">
        <v>590077.4</v>
      </c>
      <c r="H173" s="2" t="str">
        <f t="shared" si="90"/>
        <v/>
      </c>
      <c r="I173" s="1324"/>
      <c r="K173" s="1282" t="str">
        <f t="shared" si="91"/>
        <v>Actual</v>
      </c>
      <c r="L173" s="1500">
        <v>186325.9</v>
      </c>
      <c r="M173" s="1500">
        <v>187006.45089040539</v>
      </c>
      <c r="N173" s="1258" t="str">
        <f t="shared" si="92"/>
        <v/>
      </c>
      <c r="O173" s="1324"/>
      <c r="Q173" s="1496" t="str">
        <f t="shared" si="93"/>
        <v>Actual</v>
      </c>
      <c r="R173" s="1504">
        <f t="shared" si="94"/>
        <v>2070.2877777777776</v>
      </c>
      <c r="S173" s="1504">
        <f t="shared" si="95"/>
        <v>2077.8494543378379</v>
      </c>
      <c r="T173" s="1503" t="str">
        <f t="shared" si="96"/>
        <v/>
      </c>
      <c r="U173" s="1504" t="str">
        <f t="shared" si="97"/>
        <v/>
      </c>
    </row>
    <row r="174" spans="3:21" x14ac:dyDescent="0.2">
      <c r="C174" s="1266" t="s">
        <v>890</v>
      </c>
      <c r="D174" s="1363">
        <f t="shared" si="88"/>
        <v>2015</v>
      </c>
      <c r="E174" s="1265"/>
      <c r="F174" s="1314" t="str">
        <f t="shared" si="89"/>
        <v>Actual</v>
      </c>
      <c r="G174" s="1311">
        <v>434811</v>
      </c>
      <c r="H174" s="2" t="str">
        <f t="shared" si="90"/>
        <v/>
      </c>
      <c r="I174" s="1324"/>
      <c r="K174" s="1282" t="str">
        <f t="shared" si="91"/>
        <v>Actual</v>
      </c>
      <c r="L174" s="1500">
        <v>195328</v>
      </c>
      <c r="M174" s="1500">
        <v>198046.32476048241</v>
      </c>
      <c r="N174" s="1258" t="str">
        <f t="shared" si="92"/>
        <v/>
      </c>
      <c r="O174" s="1324"/>
      <c r="Q174" s="1496" t="str">
        <f t="shared" si="93"/>
        <v>Actual</v>
      </c>
      <c r="R174" s="1504">
        <f t="shared" si="94"/>
        <v>2111.6540540540541</v>
      </c>
      <c r="S174" s="1504">
        <f t="shared" si="95"/>
        <v>2141.0413487619721</v>
      </c>
      <c r="T174" s="1503" t="str">
        <f t="shared" si="96"/>
        <v/>
      </c>
      <c r="U174" s="1504" t="str">
        <f t="shared" si="97"/>
        <v/>
      </c>
    </row>
    <row r="175" spans="3:21" x14ac:dyDescent="0.2">
      <c r="C175" s="1266" t="s">
        <v>1203</v>
      </c>
      <c r="D175" s="1363">
        <f t="shared" si="88"/>
        <v>2016</v>
      </c>
      <c r="E175" s="1265"/>
      <c r="F175" s="1314" t="str">
        <f t="shared" si="89"/>
        <v>Forecast</v>
      </c>
      <c r="G175" s="1311">
        <v>512805.45305821183</v>
      </c>
      <c r="H175" s="2" t="str">
        <f t="shared" si="90"/>
        <v/>
      </c>
      <c r="I175" s="1324"/>
      <c r="K175" s="1282" t="str">
        <f t="shared" si="91"/>
        <v>Forecast</v>
      </c>
      <c r="L175" s="1303"/>
      <c r="M175" s="1501">
        <v>192808.33579213492</v>
      </c>
      <c r="N175" s="1258" t="str">
        <f t="shared" si="92"/>
        <v/>
      </c>
      <c r="O175" s="1324"/>
      <c r="Q175" s="1496" t="str">
        <f t="shared" si="93"/>
        <v>Forecast</v>
      </c>
      <c r="R175" s="1504">
        <f t="shared" si="94"/>
        <v>0</v>
      </c>
      <c r="S175" s="1504">
        <f t="shared" si="95"/>
        <v>2084.4144409960531</v>
      </c>
      <c r="T175" s="1503" t="str">
        <f t="shared" si="96"/>
        <v/>
      </c>
      <c r="U175" s="1504" t="str">
        <f t="shared" si="97"/>
        <v/>
      </c>
    </row>
    <row r="176" spans="3:21" ht="13.5" thickBot="1" x14ac:dyDescent="0.25">
      <c r="C176" s="1267" t="s">
        <v>1204</v>
      </c>
      <c r="D176" s="1364">
        <f>TestYear</f>
        <v>2017</v>
      </c>
      <c r="E176" s="1271"/>
      <c r="F176" s="1315" t="str">
        <f t="shared" si="89"/>
        <v>Forecast</v>
      </c>
      <c r="G176" s="1312">
        <v>602776.52863058529</v>
      </c>
      <c r="H176" s="1307" t="str">
        <f t="shared" si="90"/>
        <v/>
      </c>
      <c r="I176" s="1326"/>
      <c r="K176" s="1283" t="str">
        <f t="shared" si="91"/>
        <v>Forecast</v>
      </c>
      <c r="L176" s="1304"/>
      <c r="M176" s="1502">
        <v>188540.28594360882</v>
      </c>
      <c r="N176" s="1262" t="str">
        <f t="shared" si="92"/>
        <v/>
      </c>
      <c r="O176" s="1326"/>
      <c r="Q176" s="1319" t="str">
        <f t="shared" si="93"/>
        <v>Forecast</v>
      </c>
      <c r="R176" s="1506">
        <f t="shared" si="94"/>
        <v>0</v>
      </c>
      <c r="S176" s="1506">
        <f t="shared" si="95"/>
        <v>2038.2733615525278</v>
      </c>
      <c r="T176" s="1505" t="str">
        <f t="shared" si="96"/>
        <v/>
      </c>
      <c r="U176" s="1506" t="str">
        <f t="shared" si="97"/>
        <v/>
      </c>
    </row>
    <row r="177" spans="2:22" ht="13.5" thickBot="1" x14ac:dyDescent="0.25">
      <c r="C177" s="1366"/>
      <c r="I177" s="1408">
        <f>SUM(I170:I175)</f>
        <v>397449.20428900077</v>
      </c>
      <c r="J177" s="1329"/>
      <c r="O177" s="1408">
        <f>SUM(O170:O175)</f>
        <v>214066.91291445112</v>
      </c>
      <c r="U177" s="1408">
        <f>SUM(U170:U175)</f>
        <v>2290.405566978518</v>
      </c>
    </row>
    <row r="178" spans="2:22" ht="39" thickBot="1" x14ac:dyDescent="0.25">
      <c r="C178" s="1400" t="s">
        <v>952</v>
      </c>
      <c r="D178" s="1399" t="s">
        <v>15</v>
      </c>
      <c r="E178" s="1435"/>
      <c r="F178" s="1435"/>
      <c r="G178" s="1435" t="s">
        <v>1222</v>
      </c>
      <c r="H178" s="1435"/>
      <c r="I178" s="1394" t="str">
        <f>I157</f>
        <v>Test Year Versus Board-approved</v>
      </c>
      <c r="J178" s="1407"/>
      <c r="K178" s="1395" t="s">
        <v>15</v>
      </c>
      <c r="L178" s="1874" t="s">
        <v>1222</v>
      </c>
      <c r="M178" s="1874"/>
      <c r="N178" s="1435"/>
      <c r="O178" s="1394" t="str">
        <f>I178</f>
        <v>Test Year Versus Board-approved</v>
      </c>
      <c r="P178" s="1380"/>
      <c r="Q178" s="1395" t="s">
        <v>15</v>
      </c>
      <c r="R178" s="1874" t="s">
        <v>1222</v>
      </c>
      <c r="S178" s="1874"/>
      <c r="T178" s="1435"/>
      <c r="U178" s="1394" t="str">
        <f>O178</f>
        <v>Test Year Versus Board-approved</v>
      </c>
    </row>
    <row r="179" spans="2:22" x14ac:dyDescent="0.2">
      <c r="C179" s="1265"/>
      <c r="D179" s="1402">
        <f t="shared" ref="D179:D185" si="98">D170</f>
        <v>2011</v>
      </c>
      <c r="E179" s="1345"/>
      <c r="F179" s="1329"/>
      <c r="G179" s="1372"/>
      <c r="H179" s="1329"/>
      <c r="I179" s="1378"/>
      <c r="J179" s="1265"/>
      <c r="K179" s="1363">
        <f>D179</f>
        <v>2011</v>
      </c>
      <c r="L179" s="1351"/>
      <c r="M179" s="1351"/>
      <c r="N179" s="1329"/>
      <c r="O179" s="1381"/>
      <c r="P179" s="1265"/>
      <c r="Q179" s="1363">
        <f>K179</f>
        <v>2011</v>
      </c>
      <c r="R179" s="1330"/>
      <c r="S179" s="1330"/>
      <c r="T179" s="1329"/>
      <c r="U179" s="1324"/>
    </row>
    <row r="180" spans="2:22" x14ac:dyDescent="0.2">
      <c r="C180" s="1265"/>
      <c r="D180" s="1365">
        <f t="shared" si="98"/>
        <v>2012</v>
      </c>
      <c r="E180" s="1329"/>
      <c r="F180" s="1329"/>
      <c r="G180" s="1373">
        <f t="shared" ref="G180:G185" si="99">IF(G170=0,"",G171/G170-1)</f>
        <v>-0.49599857934963187</v>
      </c>
      <c r="H180" s="1329"/>
      <c r="I180" s="1378"/>
      <c r="J180" s="1265"/>
      <c r="K180" s="1363">
        <f t="shared" ref="K180:K186" si="100">D180</f>
        <v>2012</v>
      </c>
      <c r="L180" s="1353">
        <f t="shared" ref="L180:M183" si="101">IF(L170=0,"",L171/L170-1)</f>
        <v>-4.3932571680576515E-2</v>
      </c>
      <c r="M180" s="1353">
        <f t="shared" si="101"/>
        <v>-3.271948861901941E-2</v>
      </c>
      <c r="N180" s="1329"/>
      <c r="O180" s="1381"/>
      <c r="P180" s="1265"/>
      <c r="Q180" s="1363">
        <f t="shared" ref="Q180:Q186" si="102">K180</f>
        <v>2012</v>
      </c>
      <c r="R180" s="1374">
        <f t="shared" ref="R180:S183" si="103">IF(R170="","",IF(R170=0,"",R171/R170-1))</f>
        <v>2.0521412251069959E-2</v>
      </c>
      <c r="S180" s="1374">
        <f t="shared" si="103"/>
        <v>3.249043349655234E-2</v>
      </c>
      <c r="T180" s="1329"/>
      <c r="U180" s="1324"/>
    </row>
    <row r="181" spans="2:22" x14ac:dyDescent="0.2">
      <c r="C181" s="1265"/>
      <c r="D181" s="1401">
        <f t="shared" si="98"/>
        <v>2013</v>
      </c>
      <c r="E181" s="1329"/>
      <c r="F181" s="1329"/>
      <c r="G181" s="1373">
        <f t="shared" si="99"/>
        <v>0.10799497744079556</v>
      </c>
      <c r="H181" s="1329"/>
      <c r="I181" s="1378"/>
      <c r="J181" s="1265"/>
      <c r="K181" s="1363">
        <f t="shared" si="100"/>
        <v>2013</v>
      </c>
      <c r="L181" s="1353">
        <f t="shared" si="101"/>
        <v>-2.6655422001371942E-2</v>
      </c>
      <c r="M181" s="1353">
        <f t="shared" si="101"/>
        <v>-2.2093572229103242E-2</v>
      </c>
      <c r="N181" s="1329"/>
      <c r="O181" s="1381"/>
      <c r="P181" s="1265"/>
      <c r="Q181" s="1363">
        <f t="shared" si="102"/>
        <v>2013</v>
      </c>
      <c r="R181" s="1374">
        <f t="shared" si="103"/>
        <v>-2.6655422001372053E-2</v>
      </c>
      <c r="S181" s="1374">
        <f t="shared" si="103"/>
        <v>-2.2093572229103242E-2</v>
      </c>
      <c r="T181" s="1329"/>
      <c r="U181" s="1324"/>
    </row>
    <row r="182" spans="2:22" x14ac:dyDescent="0.2">
      <c r="C182" s="1265"/>
      <c r="D182" s="1365">
        <f t="shared" si="98"/>
        <v>2014</v>
      </c>
      <c r="E182" s="1329"/>
      <c r="F182" s="1329"/>
      <c r="G182" s="1373">
        <f t="shared" si="99"/>
        <v>0.23450559444362695</v>
      </c>
      <c r="H182" s="1329"/>
      <c r="I182" s="1378"/>
      <c r="J182" s="1265"/>
      <c r="K182" s="1363">
        <f t="shared" si="100"/>
        <v>2014</v>
      </c>
      <c r="L182" s="1353">
        <f t="shared" si="101"/>
        <v>2.4373174059857172E-2</v>
      </c>
      <c r="M182" s="1353">
        <f t="shared" si="101"/>
        <v>2.4682344781606025E-2</v>
      </c>
      <c r="N182" s="1329"/>
      <c r="O182" s="1381"/>
      <c r="P182" s="1265"/>
      <c r="Q182" s="1363">
        <f t="shared" si="102"/>
        <v>2014</v>
      </c>
      <c r="R182" s="1374">
        <f t="shared" si="103"/>
        <v>1.2991249903636648E-2</v>
      </c>
      <c r="S182" s="1374">
        <f t="shared" si="103"/>
        <v>1.3296985395143901E-2</v>
      </c>
      <c r="T182" s="1329"/>
      <c r="U182" s="1324"/>
    </row>
    <row r="183" spans="2:22" x14ac:dyDescent="0.2">
      <c r="C183" s="1265"/>
      <c r="D183" s="1365">
        <f t="shared" si="98"/>
        <v>2015</v>
      </c>
      <c r="E183" s="1329"/>
      <c r="F183" s="1329"/>
      <c r="G183" s="1373">
        <f t="shared" si="99"/>
        <v>-0.26312887089049675</v>
      </c>
      <c r="H183" s="1329"/>
      <c r="I183" s="1378"/>
      <c r="J183" s="1265"/>
      <c r="K183" s="1363">
        <f t="shared" si="100"/>
        <v>2015</v>
      </c>
      <c r="L183" s="1353">
        <f t="shared" si="101"/>
        <v>4.8313734161488098E-2</v>
      </c>
      <c r="M183" s="1353">
        <f t="shared" si="101"/>
        <v>5.9034722158044284E-2</v>
      </c>
      <c r="N183" s="1329"/>
      <c r="O183" s="1381"/>
      <c r="P183" s="1265"/>
      <c r="Q183" s="1363">
        <f t="shared" si="102"/>
        <v>2015</v>
      </c>
      <c r="R183" s="1374">
        <f t="shared" si="103"/>
        <v>1.9980930535501873E-2</v>
      </c>
      <c r="S183" s="1374">
        <f t="shared" si="103"/>
        <v>3.0412162099718643E-2</v>
      </c>
      <c r="T183" s="1329"/>
      <c r="U183" s="1324"/>
    </row>
    <row r="184" spans="2:22" x14ac:dyDescent="0.2">
      <c r="C184" s="1265"/>
      <c r="D184" s="1365">
        <f t="shared" si="98"/>
        <v>2016</v>
      </c>
      <c r="E184" s="1329"/>
      <c r="F184" s="1329"/>
      <c r="G184" s="1373">
        <f t="shared" si="99"/>
        <v>0.1793755288118557</v>
      </c>
      <c r="H184" s="1329"/>
      <c r="I184" s="1378"/>
      <c r="J184" s="1265"/>
      <c r="K184" s="1363">
        <f t="shared" si="100"/>
        <v>2016</v>
      </c>
      <c r="L184" s="1353" t="str">
        <f>IF(K175="Forecast","",IF(L174=0,"",L175/L174-1))</f>
        <v/>
      </c>
      <c r="M184" s="1353">
        <f>IF(M174=0,"",M175/M174-1)</f>
        <v>-2.6448301803541741E-2</v>
      </c>
      <c r="N184" s="1329"/>
      <c r="O184" s="1381"/>
      <c r="P184" s="1265"/>
      <c r="Q184" s="1363">
        <f t="shared" si="102"/>
        <v>2016</v>
      </c>
      <c r="R184" s="1374" t="str">
        <f>IF(Q175="Forecast","",IF(R174=0,"",R175/R174-1))</f>
        <v/>
      </c>
      <c r="S184" s="1374">
        <f>IF(S174="","",IF(S174=0,"",S175/S174-1))</f>
        <v>-2.6448301803541852E-2</v>
      </c>
      <c r="T184" s="1329"/>
      <c r="U184" s="1324"/>
    </row>
    <row r="185" spans="2:22" x14ac:dyDescent="0.2">
      <c r="C185" s="1265"/>
      <c r="D185" s="1401">
        <f t="shared" si="98"/>
        <v>2017</v>
      </c>
      <c r="E185" s="1329"/>
      <c r="F185" s="1329"/>
      <c r="G185" s="1373">
        <f t="shared" si="99"/>
        <v>0.17544874968823754</v>
      </c>
      <c r="H185" s="1329"/>
      <c r="I185" s="1379">
        <f>IF(I177=0,"",G176/I177-1)</f>
        <v>0.51661274478809371</v>
      </c>
      <c r="J185" s="1265"/>
      <c r="K185" s="1363">
        <f t="shared" si="100"/>
        <v>2017</v>
      </c>
      <c r="L185" s="1353" t="str">
        <f>IF(K176="Forecast","",IF(L175=0,"",L176/L175-1))</f>
        <v/>
      </c>
      <c r="M185" s="1353">
        <f>IF(M175=0,"",M176/M175-1)</f>
        <v>-2.2136230941422808E-2</v>
      </c>
      <c r="N185" s="1329"/>
      <c r="O185" s="1382">
        <f>IF(O177=0,"",M176/O177-1)</f>
        <v>-0.11924601809455559</v>
      </c>
      <c r="P185" s="1265"/>
      <c r="Q185" s="1363">
        <f t="shared" si="102"/>
        <v>2017</v>
      </c>
      <c r="R185" s="1374" t="str">
        <f>IF(Q176="Forecast","",IF(R175=0,"",R176/R175-1))</f>
        <v/>
      </c>
      <c r="S185" s="1374">
        <f>IF(S175="","",IF(S175=0,"",S176/S175-1))</f>
        <v>-2.2136230941422808E-2</v>
      </c>
      <c r="T185" s="1329"/>
      <c r="U185" s="1354">
        <f>IF(U177=0,"",S176/U177-1)</f>
        <v>-0.11008190386063399</v>
      </c>
    </row>
    <row r="186" spans="2:22" ht="26.25" thickBot="1" x14ac:dyDescent="0.25">
      <c r="C186" s="1271"/>
      <c r="D186" s="1405" t="s">
        <v>1221</v>
      </c>
      <c r="E186" s="1355"/>
      <c r="F186" s="1355"/>
      <c r="G186" s="1375">
        <f>IF(G170=0,"",(G176/G170)^(1/($D176-$D170-1))-1)</f>
        <v>-6.7729389900794357E-2</v>
      </c>
      <c r="H186" s="1355"/>
      <c r="I186" s="1371">
        <f>IF(I177=0,"",(G176/I177)^(1/(TestYear-RebaseYear-1))-1)</f>
        <v>0.1097334459404733</v>
      </c>
      <c r="J186" s="1265"/>
      <c r="K186" s="1404" t="str">
        <f t="shared" si="100"/>
        <v>Geometric Mean</v>
      </c>
      <c r="L186" s="1358">
        <f>IF(L170=0,"",(L174/L170)^(1/($D174-$D170-1))-1)</f>
        <v>-2.2669518105378206E-4</v>
      </c>
      <c r="M186" s="1358">
        <f>IF(M170=0,"",(M176/M170)^(1/($D176-$D170-1))-1)</f>
        <v>-4.6007411113657692E-3</v>
      </c>
      <c r="N186" s="1355"/>
      <c r="O186" s="1371">
        <f>IF(O177=0,"",(M176/O177)^(1/(TestYear-RebaseYear-1))-1)</f>
        <v>-3.1245676331540517E-2</v>
      </c>
      <c r="P186" s="1271"/>
      <c r="Q186" s="1404" t="str">
        <f t="shared" si="102"/>
        <v>Geometric Mean</v>
      </c>
      <c r="R186" s="1376">
        <f>IF(R170="","",IF(R170=0,"",(R174/R170)^(1/($D174-$D170-1))-1))</f>
        <v>8.7003245342585078E-3</v>
      </c>
      <c r="S186" s="1358">
        <f>IF(S170="","",IF(S170=0,"",(S176/S170)^(1/($D176-$D170-1))-1))</f>
        <v>7.2255323815428874E-4</v>
      </c>
      <c r="T186" s="1355"/>
      <c r="U186" s="1371">
        <f>IF(U177=0,"",(S176/U177)^(1/(TestYear-RebaseYear-1))-1)</f>
        <v>-2.8735513236688326E-2</v>
      </c>
    </row>
    <row r="187" spans="2:22" ht="13.5" thickBot="1" x14ac:dyDescent="0.25"/>
    <row r="188" spans="2:22" ht="13.5" thickBot="1" x14ac:dyDescent="0.25">
      <c r="B188" s="1318">
        <v>4</v>
      </c>
      <c r="C188" s="3" t="s">
        <v>14</v>
      </c>
      <c r="D188" s="1880" t="s">
        <v>78</v>
      </c>
      <c r="E188" s="1881"/>
      <c r="F188" s="1882"/>
      <c r="G188" s="1291"/>
      <c r="H188" s="13" t="s">
        <v>1224</v>
      </c>
      <c r="N188" s="1317" t="s">
        <v>75</v>
      </c>
      <c r="O188" s="1316"/>
      <c r="P188" s="1316"/>
      <c r="Q188" s="1316"/>
      <c r="R188" s="1316"/>
      <c r="S188" s="1316"/>
      <c r="T188" s="1316"/>
      <c r="U188" s="1316"/>
    </row>
    <row r="189" spans="2:22" ht="13.5" thickBot="1" x14ac:dyDescent="0.25">
      <c r="Q189" s="1355"/>
      <c r="R189" s="1355"/>
      <c r="S189" s="1355"/>
      <c r="T189" s="1355"/>
      <c r="U189" s="1355"/>
    </row>
    <row r="190" spans="2:22" ht="12.75" customHeight="1" x14ac:dyDescent="0.2">
      <c r="C190" s="1264"/>
      <c r="D190" s="1268" t="s">
        <v>1205</v>
      </c>
      <c r="E190" s="1268"/>
      <c r="F190" s="1883" t="s">
        <v>1034</v>
      </c>
      <c r="G190" s="1884"/>
      <c r="H190" s="1884"/>
      <c r="I190" s="1885"/>
      <c r="J190" s="1268"/>
      <c r="K190" s="1859" t="s">
        <v>1213</v>
      </c>
      <c r="L190" s="1860"/>
      <c r="M190" s="1860"/>
      <c r="N190" s="1860"/>
      <c r="O190" s="1861"/>
      <c r="P190" s="1287"/>
      <c r="Q190" s="1869" t="str">
        <f>CONCATENATE("Consumption (kWh) per ",LEFT(F190,LEN(F190)-1))</f>
        <v>Consumption (kWh) per Customer</v>
      </c>
      <c r="R190" s="1879"/>
      <c r="S190" s="1879"/>
      <c r="T190" s="1879"/>
      <c r="U190" s="1870"/>
      <c r="V190" s="1308"/>
    </row>
    <row r="191" spans="2:22" ht="39" thickBot="1" x14ac:dyDescent="0.25">
      <c r="C191" s="1271"/>
      <c r="D191" s="1277" t="str">
        <f>CONCATENATE("(for ",TestYear," Cost of Service")</f>
        <v>(for 2017 Cost of Service</v>
      </c>
      <c r="E191" s="1266"/>
      <c r="F191" s="1872"/>
      <c r="G191" s="1873"/>
      <c r="H191" s="1875"/>
      <c r="I191" s="1296"/>
      <c r="J191" s="1266"/>
      <c r="K191" s="1284"/>
      <c r="L191" s="1433" t="s">
        <v>1226</v>
      </c>
      <c r="M191" s="1433" t="s">
        <v>1210</v>
      </c>
      <c r="N191" s="1305"/>
      <c r="O191" s="1306" t="s">
        <v>1210</v>
      </c>
      <c r="P191" s="1266"/>
      <c r="Q191" s="1389"/>
      <c r="R191" s="1390" t="str">
        <f>L191</f>
        <v>Actual (Weather actual)</v>
      </c>
      <c r="S191" s="1391" t="str">
        <f>M191</f>
        <v>Weather-normalized</v>
      </c>
      <c r="T191" s="1391"/>
      <c r="U191" s="1392" t="str">
        <f>O191</f>
        <v>Weather-normalized</v>
      </c>
      <c r="V191" s="1308"/>
    </row>
    <row r="192" spans="2:22" x14ac:dyDescent="0.2">
      <c r="C192" s="1266" t="s">
        <v>890</v>
      </c>
      <c r="D192" s="1363">
        <f t="shared" ref="D192:D197" si="104">D193-1</f>
        <v>2011</v>
      </c>
      <c r="E192" s="1265"/>
      <c r="F192" s="1313" t="str">
        <f>F149</f>
        <v>Actual</v>
      </c>
      <c r="G192" s="1301">
        <v>2789.5</v>
      </c>
      <c r="H192" s="1297" t="str">
        <f t="shared" ref="H192:H198" si="105">IF(D192=RebaseYear,"Board-approved","")</f>
        <v/>
      </c>
      <c r="I192" s="1324"/>
      <c r="J192" s="1265"/>
      <c r="K192" s="1282" t="str">
        <f>F192</f>
        <v>Actual</v>
      </c>
      <c r="L192" s="1301">
        <v>2245234</v>
      </c>
      <c r="M192" s="1301">
        <v>2216252.8758466314</v>
      </c>
      <c r="N192" s="1297" t="str">
        <f>H192</f>
        <v/>
      </c>
      <c r="O192" s="1492"/>
      <c r="P192" s="1265"/>
      <c r="Q192" s="1385" t="str">
        <f>K192</f>
        <v>Actual</v>
      </c>
      <c r="R192" s="1497">
        <f>IF(G192=0,"",L192/G192)</f>
        <v>804.8876142677899</v>
      </c>
      <c r="S192" s="1497">
        <f>IF(G192=0,"",M192/G192)</f>
        <v>794.49825267848405</v>
      </c>
      <c r="T192" s="1329" t="str">
        <f>N192</f>
        <v/>
      </c>
      <c r="U192" s="1329" t="str">
        <f>IF(T192="","",IF(I192=0,"",O192/I192))</f>
        <v/>
      </c>
      <c r="V192" s="1309"/>
    </row>
    <row r="193" spans="2:22" x14ac:dyDescent="0.2">
      <c r="C193" s="1266" t="s">
        <v>890</v>
      </c>
      <c r="D193" s="1363">
        <f t="shared" si="104"/>
        <v>2012</v>
      </c>
      <c r="E193" s="1265"/>
      <c r="F193" s="1314" t="str">
        <f t="shared" ref="F193:F198" si="106">F150</f>
        <v>Actual</v>
      </c>
      <c r="G193" s="1301">
        <v>2798.5</v>
      </c>
      <c r="H193" s="1297" t="str">
        <f t="shared" si="105"/>
        <v>Board-approved</v>
      </c>
      <c r="I193" s="1494">
        <v>2801.1936395745015</v>
      </c>
      <c r="J193" s="1265"/>
      <c r="K193" s="1282" t="str">
        <f t="shared" ref="K193:K198" si="107">F193</f>
        <v>Actual</v>
      </c>
      <c r="L193" s="1301">
        <v>2346377.4925071769</v>
      </c>
      <c r="M193" s="1301">
        <v>2343254.7229214353</v>
      </c>
      <c r="N193" s="1297" t="str">
        <f t="shared" ref="N193:N198" si="108">H193</f>
        <v>Board-approved</v>
      </c>
      <c r="O193" s="1493">
        <v>2225083.8466967554</v>
      </c>
      <c r="P193" s="1265"/>
      <c r="Q193" s="1385" t="str">
        <f t="shared" ref="Q193:Q198" si="109">K193</f>
        <v>Actual</v>
      </c>
      <c r="R193" s="1497">
        <f t="shared" ref="R193:R198" si="110">IF(G193=0,"",L193/G193)</f>
        <v>838.44112649890189</v>
      </c>
      <c r="S193" s="1497">
        <f t="shared" ref="S193:S198" si="111">IF(G193=0,"",M193/G193)</f>
        <v>837.32525385793645</v>
      </c>
      <c r="T193" s="1329" t="str">
        <f t="shared" ref="T193:T198" si="112">N193</f>
        <v>Board-approved</v>
      </c>
      <c r="U193" s="1497">
        <f t="shared" ref="U193:U198" si="113">IF(T193="","",IF(I193=0,"",O193/I193))</f>
        <v>794.33417785238987</v>
      </c>
      <c r="V193" s="1309"/>
    </row>
    <row r="194" spans="2:22" x14ac:dyDescent="0.2">
      <c r="C194" s="1266" t="s">
        <v>890</v>
      </c>
      <c r="D194" s="1363">
        <f t="shared" si="104"/>
        <v>2013</v>
      </c>
      <c r="E194" s="1265"/>
      <c r="F194" s="1314" t="str">
        <f t="shared" si="106"/>
        <v>Actual</v>
      </c>
      <c r="G194" s="1301">
        <v>2807.5</v>
      </c>
      <c r="H194" s="1297" t="str">
        <f t="shared" si="105"/>
        <v/>
      </c>
      <c r="I194" s="1325"/>
      <c r="J194" s="1265"/>
      <c r="K194" s="1282" t="str">
        <f t="shared" si="107"/>
        <v>Actual</v>
      </c>
      <c r="L194" s="1301">
        <v>2512897.9552900312</v>
      </c>
      <c r="M194" s="1301">
        <v>2521315.2853089725</v>
      </c>
      <c r="N194" s="1297" t="str">
        <f t="shared" si="108"/>
        <v/>
      </c>
      <c r="O194" s="1325"/>
      <c r="P194" s="1265"/>
      <c r="Q194" s="1385" t="str">
        <f t="shared" si="109"/>
        <v>Actual</v>
      </c>
      <c r="R194" s="1495">
        <f t="shared" si="110"/>
        <v>895.06605709351061</v>
      </c>
      <c r="S194" s="1497">
        <f t="shared" si="111"/>
        <v>898.0642156042644</v>
      </c>
      <c r="T194" s="1329" t="str">
        <f t="shared" si="112"/>
        <v/>
      </c>
      <c r="U194" s="1329" t="str">
        <f t="shared" si="113"/>
        <v/>
      </c>
      <c r="V194" s="1309"/>
    </row>
    <row r="195" spans="2:22" x14ac:dyDescent="0.2">
      <c r="C195" s="1266" t="s">
        <v>890</v>
      </c>
      <c r="D195" s="1363">
        <f t="shared" si="104"/>
        <v>2014</v>
      </c>
      <c r="E195" s="1265"/>
      <c r="F195" s="1314" t="str">
        <f t="shared" si="106"/>
        <v>Actual</v>
      </c>
      <c r="G195" s="1301">
        <v>2816.5</v>
      </c>
      <c r="H195" s="1297" t="str">
        <f t="shared" si="105"/>
        <v/>
      </c>
      <c r="I195" s="1324"/>
      <c r="J195" s="1265"/>
      <c r="K195" s="1282" t="str">
        <f t="shared" si="107"/>
        <v>Actual</v>
      </c>
      <c r="L195" s="1301">
        <v>2302093</v>
      </c>
      <c r="M195" s="1301">
        <v>2310501.3395864242</v>
      </c>
      <c r="N195" s="1297" t="str">
        <f t="shared" si="108"/>
        <v/>
      </c>
      <c r="O195" s="1324"/>
      <c r="P195" s="1265"/>
      <c r="Q195" s="1385" t="str">
        <f t="shared" si="109"/>
        <v>Actual</v>
      </c>
      <c r="R195" s="1495">
        <f t="shared" si="110"/>
        <v>817.35948872714357</v>
      </c>
      <c r="S195" s="1497">
        <f t="shared" si="111"/>
        <v>820.34487469782505</v>
      </c>
      <c r="T195" s="1329" t="str">
        <f t="shared" si="112"/>
        <v/>
      </c>
      <c r="U195" s="1329" t="str">
        <f t="shared" si="113"/>
        <v/>
      </c>
      <c r="V195" s="1309"/>
    </row>
    <row r="196" spans="2:22" x14ac:dyDescent="0.2">
      <c r="C196" s="1266" t="s">
        <v>890</v>
      </c>
      <c r="D196" s="1363">
        <f t="shared" si="104"/>
        <v>2015</v>
      </c>
      <c r="E196" s="1265"/>
      <c r="F196" s="1314" t="str">
        <f t="shared" si="106"/>
        <v>Actual</v>
      </c>
      <c r="G196" s="1301">
        <v>2825.5</v>
      </c>
      <c r="H196" s="1297" t="str">
        <f t="shared" si="105"/>
        <v/>
      </c>
      <c r="I196" s="1324"/>
      <c r="J196" s="1265"/>
      <c r="K196" s="1282" t="str">
        <f t="shared" si="107"/>
        <v>Actual</v>
      </c>
      <c r="L196" s="1301">
        <v>2368288.5914556528</v>
      </c>
      <c r="M196" s="1301">
        <v>2401247.39673765</v>
      </c>
      <c r="N196" s="1297" t="str">
        <f t="shared" si="108"/>
        <v/>
      </c>
      <c r="O196" s="1324"/>
      <c r="P196" s="1265"/>
      <c r="Q196" s="1385" t="str">
        <f t="shared" si="109"/>
        <v>Actual</v>
      </c>
      <c r="R196" s="1495">
        <f t="shared" si="110"/>
        <v>838.18389363144672</v>
      </c>
      <c r="S196" s="1497">
        <f t="shared" si="111"/>
        <v>849.84866279867276</v>
      </c>
      <c r="T196" s="1329" t="str">
        <f t="shared" si="112"/>
        <v/>
      </c>
      <c r="U196" s="1329" t="str">
        <f t="shared" si="113"/>
        <v/>
      </c>
      <c r="V196" s="1309"/>
    </row>
    <row r="197" spans="2:22" x14ac:dyDescent="0.2">
      <c r="C197" s="1266" t="s">
        <v>313</v>
      </c>
      <c r="D197" s="1363">
        <f t="shared" si="104"/>
        <v>2016</v>
      </c>
      <c r="E197" s="1265"/>
      <c r="F197" s="1314" t="str">
        <f t="shared" si="106"/>
        <v>Forecast</v>
      </c>
      <c r="G197" s="1301">
        <v>2825.5</v>
      </c>
      <c r="H197" s="1297" t="str">
        <f t="shared" si="105"/>
        <v/>
      </c>
      <c r="I197" s="1324"/>
      <c r="J197" s="1265"/>
      <c r="K197" s="1282" t="str">
        <f t="shared" si="107"/>
        <v>Forecast</v>
      </c>
      <c r="L197" s="1303"/>
      <c r="M197" s="1301">
        <v>2374163.9315875084</v>
      </c>
      <c r="N197" s="1297" t="str">
        <f t="shared" si="108"/>
        <v/>
      </c>
      <c r="O197" s="1324"/>
      <c r="P197" s="1265"/>
      <c r="Q197" s="1385" t="str">
        <f t="shared" si="109"/>
        <v>Forecast</v>
      </c>
      <c r="R197" s="1387">
        <f t="shared" si="110"/>
        <v>0</v>
      </c>
      <c r="S197" s="1497">
        <f t="shared" si="111"/>
        <v>840.26329201469059</v>
      </c>
      <c r="T197" s="1329" t="str">
        <f t="shared" si="112"/>
        <v/>
      </c>
      <c r="U197" s="1329" t="str">
        <f t="shared" si="113"/>
        <v/>
      </c>
      <c r="V197" s="1309"/>
    </row>
    <row r="198" spans="2:22" ht="13.5" thickBot="1" x14ac:dyDescent="0.25">
      <c r="C198" s="1267" t="s">
        <v>314</v>
      </c>
      <c r="D198" s="1364">
        <f>TestYear</f>
        <v>2017</v>
      </c>
      <c r="E198" s="1271"/>
      <c r="F198" s="1315" t="str">
        <f t="shared" si="106"/>
        <v>Forecast</v>
      </c>
      <c r="G198" s="1302">
        <v>2825.5</v>
      </c>
      <c r="H198" s="1298" t="str">
        <f t="shared" si="105"/>
        <v/>
      </c>
      <c r="I198" s="1326"/>
      <c r="J198" s="1271"/>
      <c r="K198" s="1283" t="str">
        <f t="shared" si="107"/>
        <v>Forecast</v>
      </c>
      <c r="L198" s="1304"/>
      <c r="M198" s="1302">
        <v>2380053.8474859283</v>
      </c>
      <c r="N198" s="1298" t="str">
        <f t="shared" si="108"/>
        <v/>
      </c>
      <c r="O198" s="1326"/>
      <c r="P198" s="1271"/>
      <c r="Q198" s="1386" t="str">
        <f t="shared" si="109"/>
        <v>Forecast</v>
      </c>
      <c r="R198" s="1388">
        <f t="shared" si="110"/>
        <v>0</v>
      </c>
      <c r="S198" s="1498">
        <f t="shared" si="111"/>
        <v>842.34784904828462</v>
      </c>
      <c r="T198" s="1355" t="str">
        <f t="shared" si="112"/>
        <v/>
      </c>
      <c r="U198" s="1355" t="str">
        <f t="shared" si="113"/>
        <v/>
      </c>
      <c r="V198" s="1309"/>
    </row>
    <row r="199" spans="2:22" ht="13.5" thickBot="1" x14ac:dyDescent="0.25">
      <c r="B199" s="1329"/>
      <c r="C199" s="1366"/>
      <c r="I199" s="1408">
        <f>SUM(I192:I197)</f>
        <v>2801.1936395745015</v>
      </c>
      <c r="O199" s="1408">
        <f>SUM(O192:O197)</f>
        <v>2225083.8466967554</v>
      </c>
      <c r="U199" s="1408">
        <f>SUM(U192:U197)</f>
        <v>794.33417785238987</v>
      </c>
    </row>
    <row r="200" spans="2:22" ht="39" thickBot="1" x14ac:dyDescent="0.25">
      <c r="C200" s="1400" t="s">
        <v>952</v>
      </c>
      <c r="D200" s="1399" t="s">
        <v>15</v>
      </c>
      <c r="E200" s="1361"/>
      <c r="F200" s="1361"/>
      <c r="G200" s="1435" t="s">
        <v>1222</v>
      </c>
      <c r="H200" s="1361"/>
      <c r="I200" s="1394" t="s">
        <v>1235</v>
      </c>
      <c r="J200" s="1396"/>
      <c r="K200" s="1395" t="s">
        <v>15</v>
      </c>
      <c r="L200" s="1874" t="s">
        <v>1222</v>
      </c>
      <c r="M200" s="1874"/>
      <c r="N200" s="1361"/>
      <c r="O200" s="1394" t="str">
        <f>I200</f>
        <v>Test Year Versus Board-approved</v>
      </c>
      <c r="P200" s="1397"/>
      <c r="Q200" s="1395" t="s">
        <v>15</v>
      </c>
      <c r="R200" s="1874" t="s">
        <v>1222</v>
      </c>
      <c r="S200" s="1874"/>
      <c r="T200" s="1361"/>
      <c r="U200" s="1394" t="str">
        <f>O200</f>
        <v>Test Year Versus Board-approved</v>
      </c>
    </row>
    <row r="201" spans="2:22" x14ac:dyDescent="0.2">
      <c r="C201" s="1265"/>
      <c r="D201" s="1377">
        <f t="shared" ref="D201:D207" si="114">D192</f>
        <v>2011</v>
      </c>
      <c r="E201" s="1329"/>
      <c r="F201" s="1329"/>
      <c r="G201" s="1372"/>
      <c r="H201" s="1329"/>
      <c r="I201" s="1378"/>
      <c r="J201" s="1384"/>
      <c r="K201" s="1363">
        <f>D201</f>
        <v>2011</v>
      </c>
      <c r="L201" s="1351"/>
      <c r="M201" s="1351"/>
      <c r="N201" s="1329"/>
      <c r="O201" s="1324"/>
      <c r="P201" s="1265"/>
      <c r="Q201" s="1363">
        <f>K201</f>
        <v>2011</v>
      </c>
      <c r="R201" s="1330"/>
      <c r="S201" s="1330"/>
      <c r="T201" s="1329"/>
      <c r="U201" s="1324"/>
    </row>
    <row r="202" spans="2:22" x14ac:dyDescent="0.2">
      <c r="C202" s="1265"/>
      <c r="D202" s="1365">
        <f t="shared" si="114"/>
        <v>2012</v>
      </c>
      <c r="E202" s="1329"/>
      <c r="F202" s="1329"/>
      <c r="G202" s="1373">
        <f t="shared" ref="G202:G207" si="115">IF(G192=0,"",G193/G192-1)</f>
        <v>3.2263846567486265E-3</v>
      </c>
      <c r="H202" s="1329"/>
      <c r="I202" s="1378"/>
      <c r="J202" s="1384"/>
      <c r="K202" s="1363">
        <f t="shared" ref="K202:K208" si="116">D202</f>
        <v>2012</v>
      </c>
      <c r="L202" s="1353">
        <f t="shared" ref="L202:M205" si="117">IF(L192=0,"",L193/L192-1)</f>
        <v>4.5048085191644605E-2</v>
      </c>
      <c r="M202" s="1353">
        <f t="shared" si="117"/>
        <v>5.7304763575901863E-2</v>
      </c>
      <c r="N202" s="1329"/>
      <c r="O202" s="1324"/>
      <c r="P202" s="1265"/>
      <c r="Q202" s="1363">
        <f t="shared" ref="Q202:Q208" si="118">K202</f>
        <v>2012</v>
      </c>
      <c r="R202" s="1374">
        <f t="shared" ref="R202:S205" si="119">IF(R192="","",IF(R192=0,"",R193/R192-1))</f>
        <v>4.1687201587311984E-2</v>
      </c>
      <c r="S202" s="1374">
        <f t="shared" si="119"/>
        <v>5.390446238877189E-2</v>
      </c>
      <c r="T202" s="1329"/>
      <c r="U202" s="1324"/>
    </row>
    <row r="203" spans="2:22" x14ac:dyDescent="0.2">
      <c r="C203" s="1265"/>
      <c r="D203" s="1365">
        <f t="shared" si="114"/>
        <v>2013</v>
      </c>
      <c r="E203" s="1329"/>
      <c r="F203" s="1329"/>
      <c r="G203" s="1373">
        <f t="shared" si="115"/>
        <v>3.2160085760228885E-3</v>
      </c>
      <c r="H203" s="1329"/>
      <c r="I203" s="1378"/>
      <c r="J203" s="1384"/>
      <c r="K203" s="1363">
        <f t="shared" si="116"/>
        <v>2013</v>
      </c>
      <c r="L203" s="1353">
        <f t="shared" si="117"/>
        <v>7.0969169843562607E-2</v>
      </c>
      <c r="M203" s="1353">
        <f t="shared" si="117"/>
        <v>7.5988564386863411E-2</v>
      </c>
      <c r="N203" s="1329"/>
      <c r="O203" s="1324"/>
      <c r="P203" s="1265"/>
      <c r="Q203" s="1363">
        <f t="shared" si="118"/>
        <v>2013</v>
      </c>
      <c r="R203" s="1374">
        <f t="shared" si="119"/>
        <v>6.7535965024829725E-2</v>
      </c>
      <c r="S203" s="1374">
        <f t="shared" si="119"/>
        <v>7.2539268899959763E-2</v>
      </c>
      <c r="T203" s="1329"/>
      <c r="U203" s="1324"/>
    </row>
    <row r="204" spans="2:22" x14ac:dyDescent="0.2">
      <c r="C204" s="1265"/>
      <c r="D204" s="1365">
        <f t="shared" si="114"/>
        <v>2014</v>
      </c>
      <c r="E204" s="1329"/>
      <c r="F204" s="1329"/>
      <c r="G204" s="1373">
        <f t="shared" si="115"/>
        <v>3.2056990204809566E-3</v>
      </c>
      <c r="H204" s="1329"/>
      <c r="I204" s="1378"/>
      <c r="J204" s="1384"/>
      <c r="K204" s="1363">
        <f t="shared" si="116"/>
        <v>2014</v>
      </c>
      <c r="L204" s="1353">
        <f t="shared" si="117"/>
        <v>-8.3889182545695773E-2</v>
      </c>
      <c r="M204" s="1353">
        <f t="shared" si="117"/>
        <v>-8.3612686977667772E-2</v>
      </c>
      <c r="N204" s="1329"/>
      <c r="O204" s="1324"/>
      <c r="P204" s="1265"/>
      <c r="Q204" s="1363">
        <f t="shared" si="118"/>
        <v>2014</v>
      </c>
      <c r="R204" s="1374">
        <f t="shared" si="119"/>
        <v>-8.6816573760710503E-2</v>
      </c>
      <c r="S204" s="1374">
        <f t="shared" si="119"/>
        <v>-8.6540961721925158E-2</v>
      </c>
      <c r="T204" s="1329"/>
      <c r="U204" s="1324"/>
    </row>
    <row r="205" spans="2:22" x14ac:dyDescent="0.2">
      <c r="C205" s="1265"/>
      <c r="D205" s="1365">
        <f t="shared" si="114"/>
        <v>2015</v>
      </c>
      <c r="E205" s="1329"/>
      <c r="F205" s="1329"/>
      <c r="G205" s="1373">
        <f t="shared" si="115"/>
        <v>3.1954553523876328E-3</v>
      </c>
      <c r="H205" s="1329"/>
      <c r="I205" s="1378"/>
      <c r="J205" s="1384"/>
      <c r="K205" s="1363">
        <f t="shared" si="116"/>
        <v>2015</v>
      </c>
      <c r="L205" s="1353">
        <f t="shared" si="117"/>
        <v>2.8754525319199864E-2</v>
      </c>
      <c r="M205" s="1353">
        <f t="shared" si="117"/>
        <v>3.9275483461727489E-2</v>
      </c>
      <c r="N205" s="1329"/>
      <c r="O205" s="1324"/>
      <c r="P205" s="1265"/>
      <c r="Q205" s="1363">
        <f t="shared" si="118"/>
        <v>2015</v>
      </c>
      <c r="R205" s="1374">
        <f t="shared" si="119"/>
        <v>2.5477657250584596E-2</v>
      </c>
      <c r="S205" s="1374">
        <f t="shared" si="119"/>
        <v>3.5965103227731499E-2</v>
      </c>
      <c r="T205" s="1329"/>
      <c r="U205" s="1324"/>
    </row>
    <row r="206" spans="2:22" x14ac:dyDescent="0.2">
      <c r="C206" s="1265"/>
      <c r="D206" s="1365">
        <f t="shared" si="114"/>
        <v>2016</v>
      </c>
      <c r="E206" s="1329"/>
      <c r="F206" s="1329"/>
      <c r="G206" s="1373">
        <f t="shared" si="115"/>
        <v>0</v>
      </c>
      <c r="H206" s="1329"/>
      <c r="I206" s="1378"/>
      <c r="J206" s="1384"/>
      <c r="K206" s="1363">
        <f t="shared" si="116"/>
        <v>2016</v>
      </c>
      <c r="L206" s="1353" t="str">
        <f>IF(K197="Forecast","",IF(L196=0,"",L197/L196-1))</f>
        <v/>
      </c>
      <c r="M206" s="1353">
        <f>IF(M196=0,"",M197/M196-1)</f>
        <v>-1.1278914945181184E-2</v>
      </c>
      <c r="N206" s="1329"/>
      <c r="O206" s="1324"/>
      <c r="P206" s="1265"/>
      <c r="Q206" s="1363">
        <f t="shared" si="118"/>
        <v>2016</v>
      </c>
      <c r="R206" s="1374" t="str">
        <f>IF(Q197="Forecast","",IF(R196=0,"",R197/R196-1))</f>
        <v/>
      </c>
      <c r="S206" s="1374">
        <f>IF(S196="","",IF(S196=0,"",S197/S196-1))</f>
        <v>-1.1278914945181184E-2</v>
      </c>
      <c r="T206" s="1329"/>
      <c r="U206" s="1324"/>
    </row>
    <row r="207" spans="2:22" x14ac:dyDescent="0.2">
      <c r="C207" s="1265"/>
      <c r="D207" s="1365">
        <f t="shared" si="114"/>
        <v>2017</v>
      </c>
      <c r="E207" s="1329"/>
      <c r="F207" s="1329"/>
      <c r="G207" s="1373">
        <f t="shared" si="115"/>
        <v>0</v>
      </c>
      <c r="H207" s="1329"/>
      <c r="I207" s="1379">
        <f>IF(I199=0,"",G198/I199-1)</f>
        <v>8.6771439439619069E-3</v>
      </c>
      <c r="J207" s="1384"/>
      <c r="K207" s="1363">
        <f t="shared" si="116"/>
        <v>2017</v>
      </c>
      <c r="L207" s="1353" t="str">
        <f>IF(K198="Forecast","",IF(L197=0,"",L198/L197-1))</f>
        <v/>
      </c>
      <c r="M207" s="1353">
        <f>IF(M197=0,"",M198/M197-1)</f>
        <v>2.4808379152156945E-3</v>
      </c>
      <c r="N207" s="1329"/>
      <c r="O207" s="1354">
        <f>IF(O199=0,"",M198/O199-1)</f>
        <v>6.9646813992755074E-2</v>
      </c>
      <c r="P207" s="1265"/>
      <c r="Q207" s="1363">
        <f t="shared" si="118"/>
        <v>2017</v>
      </c>
      <c r="R207" s="1374" t="str">
        <f>IF(Q198="Forecast","",IF(R197=0,"",R198/R197-1))</f>
        <v/>
      </c>
      <c r="S207" s="1374">
        <f>IF(S197="","",IF(S197=0,"",S198/S197-1))</f>
        <v>2.4808379152156945E-3</v>
      </c>
      <c r="T207" s="1329"/>
      <c r="U207" s="1354">
        <f>IF(U199=0,"",S198/U199-1)</f>
        <v>6.0445178533935717E-2</v>
      </c>
    </row>
    <row r="208" spans="2:22" ht="26.25" thickBot="1" x14ac:dyDescent="0.25">
      <c r="C208" s="1271"/>
      <c r="D208" s="1405" t="s">
        <v>1221</v>
      </c>
      <c r="E208" s="1355"/>
      <c r="F208" s="1355"/>
      <c r="G208" s="1375">
        <f>IF(G192=0,"",(G198/G192)^(1/($D198-$D192-1))-1)</f>
        <v>2.5678857420585732E-3</v>
      </c>
      <c r="H208" s="1355"/>
      <c r="I208" s="1406">
        <f>IF(I199=0,"",(G198/I199)^(1/(TestYear-RebaseYear-1))-1)</f>
        <v>2.1622628004969169E-3</v>
      </c>
      <c r="J208" s="1360"/>
      <c r="K208" s="1404" t="str">
        <f t="shared" si="116"/>
        <v>Geometric Mean</v>
      </c>
      <c r="L208" s="1358">
        <f>IF(L192=0,"",(L196/L192)^(1/($D196-$D192-1))-1)</f>
        <v>1.7945056362880463E-2</v>
      </c>
      <c r="M208" s="1358">
        <f>IF(M192=0,"",(M198/M192)^(1/($D198-$D192-1))-1)</f>
        <v>1.4363221138617988E-2</v>
      </c>
      <c r="N208" s="1355"/>
      <c r="O208" s="1371">
        <f>IF(O199=0,"",(M198/O199)^(1/(TestYear-RebaseYear-1))-1)</f>
        <v>1.6974586844962669E-2</v>
      </c>
      <c r="P208" s="1271"/>
      <c r="Q208" s="1404" t="str">
        <f t="shared" si="118"/>
        <v>Geometric Mean</v>
      </c>
      <c r="R208" s="1376">
        <f>IF(R192="","",IF(R192=0,"",(R196/R192)^(1/($D196-$D192-1))-1))</f>
        <v>1.3603315065573884E-2</v>
      </c>
      <c r="S208" s="1358">
        <f>IF(S192="","",IF(S192=0,"",(S198/S192)^(1/($D198-$D192-1))-1))</f>
        <v>1.1765123902636399E-2</v>
      </c>
      <c r="T208" s="1355"/>
      <c r="U208" s="1371">
        <f>IF(U199=0,"",(S198/U199)^(1/(TestYear-RebaseYear-1))-1)</f>
        <v>1.4780365011024754E-2</v>
      </c>
    </row>
    <row r="210" spans="3:21" ht="13.5" thickBot="1" x14ac:dyDescent="0.25">
      <c r="Q210" s="1355"/>
      <c r="R210" s="1355"/>
      <c r="S210" s="1355"/>
      <c r="T210" s="1355"/>
      <c r="U210" s="1355"/>
    </row>
    <row r="211" spans="3:21" ht="12.75" customHeight="1" x14ac:dyDescent="0.2">
      <c r="C211" s="1264"/>
      <c r="D211" s="1268" t="s">
        <v>1205</v>
      </c>
      <c r="E211" s="1268"/>
      <c r="F211" s="1876" t="s">
        <v>1198</v>
      </c>
      <c r="G211" s="1877"/>
      <c r="H211" s="1877"/>
      <c r="I211" s="1878"/>
      <c r="K211" s="1859" t="str">
        <f>IF(ISBLANK(N188),"",CONCATENATE("Demand (",N188,")"))</f>
        <v>Demand (kW)</v>
      </c>
      <c r="L211" s="1860"/>
      <c r="M211" s="1860"/>
      <c r="N211" s="1860"/>
      <c r="O211" s="1861"/>
      <c r="Q211" s="1869" t="str">
        <f>CONCATENATE("Demand (",N188,") per ",LEFT(F190,LEN(F190)-1))</f>
        <v>Demand (kW) per Customer</v>
      </c>
      <c r="R211" s="1879"/>
      <c r="S211" s="1879"/>
      <c r="T211" s="1879"/>
      <c r="U211" s="1870"/>
    </row>
    <row r="212" spans="3:21" ht="39" thickBot="1" x14ac:dyDescent="0.25">
      <c r="C212" s="1271"/>
      <c r="D212" s="1277" t="str">
        <f>CONCATENATE("(for ",TestYear," Cost of Service")</f>
        <v>(for 2017 Cost of Service</v>
      </c>
      <c r="E212" s="1266"/>
      <c r="F212" s="1872"/>
      <c r="G212" s="1873"/>
      <c r="H212" s="1873"/>
      <c r="I212" s="1296"/>
      <c r="K212" s="1284"/>
      <c r="L212" s="1433" t="s">
        <v>1226</v>
      </c>
      <c r="M212" s="1433" t="s">
        <v>1210</v>
      </c>
      <c r="N212" s="1305"/>
      <c r="O212" s="1306" t="str">
        <f>M212</f>
        <v>Weather-normalized</v>
      </c>
      <c r="Q212" s="1403"/>
      <c r="R212" s="1490" t="str">
        <f>L212</f>
        <v>Actual (Weather actual)</v>
      </c>
      <c r="S212" s="1490" t="str">
        <f>M212</f>
        <v>Weather-normalized</v>
      </c>
      <c r="T212" s="1490"/>
      <c r="U212" s="1491" t="str">
        <f>O212</f>
        <v>Weather-normalized</v>
      </c>
    </row>
    <row r="213" spans="3:21" x14ac:dyDescent="0.2">
      <c r="C213" s="1266" t="s">
        <v>890</v>
      </c>
      <c r="D213" s="1363">
        <f t="shared" ref="D213:D218" si="120">D214-1</f>
        <v>2011</v>
      </c>
      <c r="E213" s="1265"/>
      <c r="F213" s="1313" t="str">
        <f t="shared" ref="F213:F219" si="121">F192</f>
        <v>Actual</v>
      </c>
      <c r="G213" s="1311">
        <v>563</v>
      </c>
      <c r="H213" s="2" t="str">
        <f t="shared" ref="H213:H219" si="122">IF(D213=RebaseYear,"Board-approved","")</f>
        <v/>
      </c>
      <c r="I213" s="1383"/>
      <c r="K213" s="1282" t="str">
        <f t="shared" ref="K213:K219" si="123">K192</f>
        <v>Actual</v>
      </c>
      <c r="L213" s="1500">
        <v>5760</v>
      </c>
      <c r="M213" s="1500">
        <v>5685.6508341119888</v>
      </c>
      <c r="N213" s="1258" t="str">
        <f t="shared" ref="N213:N219" si="124">N192</f>
        <v/>
      </c>
      <c r="O213" s="1324"/>
      <c r="Q213" s="1507" t="str">
        <f>K213</f>
        <v>Actual</v>
      </c>
      <c r="R213" s="1508">
        <f>IF(G192=0,"",L213/G192)</f>
        <v>2.0648861803190535</v>
      </c>
      <c r="S213" s="1508">
        <f>IF(G192=0,"",M213/G192)</f>
        <v>2.0382329572009281</v>
      </c>
      <c r="T213" s="1503" t="str">
        <f>N213</f>
        <v/>
      </c>
      <c r="U213" s="1504" t="str">
        <f>IF(T213="","",IF(I213=0,"",O213/I213))</f>
        <v/>
      </c>
    </row>
    <row r="214" spans="3:21" x14ac:dyDescent="0.2">
      <c r="C214" s="1266" t="s">
        <v>890</v>
      </c>
      <c r="D214" s="1363">
        <f t="shared" si="120"/>
        <v>2012</v>
      </c>
      <c r="E214" s="1265"/>
      <c r="F214" s="1314" t="str">
        <f t="shared" si="121"/>
        <v>Actual</v>
      </c>
      <c r="G214" s="1311">
        <v>117759</v>
      </c>
      <c r="H214" s="2" t="str">
        <f t="shared" si="122"/>
        <v>Board-approved</v>
      </c>
      <c r="I214" s="1311">
        <v>83560.941326882938</v>
      </c>
      <c r="K214" s="1282" t="str">
        <f t="shared" si="123"/>
        <v>Actual</v>
      </c>
      <c r="L214" s="1500">
        <v>6353.7</v>
      </c>
      <c r="M214" s="1500">
        <v>6345.2439262521539</v>
      </c>
      <c r="N214" s="1258" t="str">
        <f t="shared" si="124"/>
        <v>Board-approved</v>
      </c>
      <c r="O214" s="1494">
        <v>6082.8591488972397</v>
      </c>
      <c r="Q214" s="1496" t="str">
        <f t="shared" ref="Q214:Q219" si="125">K214</f>
        <v>Actual</v>
      </c>
      <c r="R214" s="1504">
        <f t="shared" ref="R214:R219" si="126">IF(G193=0,"",L214/G193)</f>
        <v>2.2703948543862782</v>
      </c>
      <c r="S214" s="1504">
        <f t="shared" ref="S214:S219" si="127">IF(G193=0,"",M214/G193)</f>
        <v>2.2673732093093277</v>
      </c>
      <c r="T214" s="1503" t="str">
        <f t="shared" ref="T214:T219" si="128">N214</f>
        <v>Board-approved</v>
      </c>
      <c r="U214" s="1504">
        <f>IF(T193="","",IF(I214=0,"",O214/I193))</f>
        <v>2.1715239756938831</v>
      </c>
    </row>
    <row r="215" spans="3:21" x14ac:dyDescent="0.2">
      <c r="C215" s="1266" t="s">
        <v>890</v>
      </c>
      <c r="D215" s="1363">
        <f t="shared" si="120"/>
        <v>2013</v>
      </c>
      <c r="E215" s="1265"/>
      <c r="F215" s="1314" t="str">
        <f t="shared" si="121"/>
        <v>Actual</v>
      </c>
      <c r="G215" s="1311">
        <v>100493.41642296549</v>
      </c>
      <c r="H215" s="2" t="str">
        <f t="shared" si="122"/>
        <v/>
      </c>
      <c r="I215" s="1328"/>
      <c r="K215" s="1282" t="str">
        <f t="shared" si="123"/>
        <v>Actual</v>
      </c>
      <c r="L215" s="1500">
        <v>6799.3</v>
      </c>
      <c r="M215" s="1500">
        <v>6822.0752789870767</v>
      </c>
      <c r="N215" s="1258" t="str">
        <f t="shared" si="124"/>
        <v/>
      </c>
      <c r="O215" s="1325"/>
      <c r="Q215" s="1496" t="str">
        <f t="shared" si="125"/>
        <v>Actual</v>
      </c>
      <c r="R215" s="1504">
        <f t="shared" si="126"/>
        <v>2.4218343722172753</v>
      </c>
      <c r="S215" s="1504">
        <f t="shared" si="127"/>
        <v>2.4299466710550583</v>
      </c>
      <c r="T215" s="1503" t="str">
        <f t="shared" si="128"/>
        <v/>
      </c>
      <c r="U215" s="1504" t="str">
        <f t="shared" ref="U215:U219" si="129">IF(T215="","",IF(I215=0,"",O215/I215))</f>
        <v/>
      </c>
    </row>
    <row r="216" spans="3:21" x14ac:dyDescent="0.2">
      <c r="C216" s="1266" t="s">
        <v>890</v>
      </c>
      <c r="D216" s="1363">
        <f t="shared" si="120"/>
        <v>2014</v>
      </c>
      <c r="E216" s="1265"/>
      <c r="F216" s="1314" t="str">
        <f t="shared" si="121"/>
        <v>Actual</v>
      </c>
      <c r="G216" s="1311">
        <v>82503.199999999997</v>
      </c>
      <c r="H216" s="2" t="str">
        <f t="shared" si="122"/>
        <v/>
      </c>
      <c r="I216" s="1324"/>
      <c r="K216" s="1282" t="str">
        <f t="shared" si="123"/>
        <v>Actual</v>
      </c>
      <c r="L216" s="1500">
        <v>6450</v>
      </c>
      <c r="M216" s="1500">
        <v>6473.5584706319141</v>
      </c>
      <c r="N216" s="1258" t="str">
        <f t="shared" si="124"/>
        <v/>
      </c>
      <c r="O216" s="1324"/>
      <c r="Q216" s="1496" t="str">
        <f t="shared" si="125"/>
        <v>Actual</v>
      </c>
      <c r="R216" s="1504">
        <f t="shared" si="126"/>
        <v>2.2900763358778624</v>
      </c>
      <c r="S216" s="1504">
        <f t="shared" si="127"/>
        <v>2.2984407848861759</v>
      </c>
      <c r="T216" s="1503" t="str">
        <f t="shared" si="128"/>
        <v/>
      </c>
      <c r="U216" s="1504" t="str">
        <f t="shared" si="129"/>
        <v/>
      </c>
    </row>
    <row r="217" spans="3:21" x14ac:dyDescent="0.2">
      <c r="C217" s="1266" t="s">
        <v>890</v>
      </c>
      <c r="D217" s="1363">
        <f t="shared" si="120"/>
        <v>2015</v>
      </c>
      <c r="E217" s="1265"/>
      <c r="F217" s="1314" t="str">
        <f t="shared" si="121"/>
        <v>Actual</v>
      </c>
      <c r="G217" s="1311">
        <v>91416</v>
      </c>
      <c r="H217" s="2" t="str">
        <f t="shared" si="122"/>
        <v/>
      </c>
      <c r="I217" s="1324"/>
      <c r="K217" s="1282" t="str">
        <f t="shared" si="123"/>
        <v>Actual</v>
      </c>
      <c r="L217" s="1500">
        <v>6398</v>
      </c>
      <c r="M217" s="1500">
        <v>6487.0391639578893</v>
      </c>
      <c r="N217" s="1258" t="str">
        <f t="shared" si="124"/>
        <v/>
      </c>
      <c r="O217" s="1324"/>
      <c r="Q217" s="1496" t="str">
        <f t="shared" si="125"/>
        <v>Actual</v>
      </c>
      <c r="R217" s="1504">
        <f t="shared" si="126"/>
        <v>2.2643779861971334</v>
      </c>
      <c r="S217" s="1504">
        <f t="shared" si="127"/>
        <v>2.2958906968529074</v>
      </c>
      <c r="T217" s="1503" t="str">
        <f t="shared" si="128"/>
        <v/>
      </c>
      <c r="U217" s="1504" t="str">
        <f t="shared" si="129"/>
        <v/>
      </c>
    </row>
    <row r="218" spans="3:21" x14ac:dyDescent="0.2">
      <c r="C218" s="1266" t="s">
        <v>1203</v>
      </c>
      <c r="D218" s="1363">
        <f t="shared" si="120"/>
        <v>2016</v>
      </c>
      <c r="E218" s="1265"/>
      <c r="F218" s="1314" t="str">
        <f t="shared" si="121"/>
        <v>Forecast</v>
      </c>
      <c r="G218" s="1311">
        <v>113557.63432747728</v>
      </c>
      <c r="H218" s="2" t="str">
        <f t="shared" si="122"/>
        <v/>
      </c>
      <c r="I218" s="1324"/>
      <c r="K218" s="1282" t="str">
        <f t="shared" si="123"/>
        <v>Forecast</v>
      </c>
      <c r="L218" s="1303"/>
      <c r="M218" s="1501">
        <v>6459.7804117359774</v>
      </c>
      <c r="N218" s="1258" t="str">
        <f t="shared" si="124"/>
        <v/>
      </c>
      <c r="O218" s="1324"/>
      <c r="Q218" s="1496" t="str">
        <f t="shared" si="125"/>
        <v>Forecast</v>
      </c>
      <c r="R218" s="1504">
        <f t="shared" si="126"/>
        <v>0</v>
      </c>
      <c r="S218" s="1504">
        <f t="shared" si="127"/>
        <v>2.2862432885280399</v>
      </c>
      <c r="T218" s="1503" t="str">
        <f t="shared" si="128"/>
        <v/>
      </c>
      <c r="U218" s="1504" t="str">
        <f t="shared" si="129"/>
        <v/>
      </c>
    </row>
    <row r="219" spans="3:21" ht="13.5" thickBot="1" x14ac:dyDescent="0.25">
      <c r="C219" s="1267" t="s">
        <v>1204</v>
      </c>
      <c r="D219" s="1364">
        <f>TestYear</f>
        <v>2017</v>
      </c>
      <c r="E219" s="1271"/>
      <c r="F219" s="1315" t="str">
        <f t="shared" si="121"/>
        <v>Forecast</v>
      </c>
      <c r="G219" s="1312">
        <v>98326.42658503697</v>
      </c>
      <c r="H219" s="1307" t="str">
        <f t="shared" si="122"/>
        <v/>
      </c>
      <c r="I219" s="1326"/>
      <c r="K219" s="1283" t="str">
        <f t="shared" si="123"/>
        <v>Forecast</v>
      </c>
      <c r="L219" s="1304"/>
      <c r="M219" s="1502">
        <v>6475.806079905381</v>
      </c>
      <c r="N219" s="1262" t="str">
        <f t="shared" si="124"/>
        <v/>
      </c>
      <c r="O219" s="1326"/>
      <c r="Q219" s="1319" t="str">
        <f t="shared" si="125"/>
        <v>Forecast</v>
      </c>
      <c r="R219" s="1506">
        <f t="shared" si="126"/>
        <v>0</v>
      </c>
      <c r="S219" s="1506">
        <f t="shared" si="127"/>
        <v>2.2919150875616285</v>
      </c>
      <c r="T219" s="1505" t="str">
        <f t="shared" si="128"/>
        <v/>
      </c>
      <c r="U219" s="1506" t="str">
        <f t="shared" si="129"/>
        <v/>
      </c>
    </row>
    <row r="220" spans="3:21" ht="13.5" thickBot="1" x14ac:dyDescent="0.25">
      <c r="C220" s="1366"/>
      <c r="I220" s="1408">
        <f>SUM(I213:I218)</f>
        <v>83560.941326882938</v>
      </c>
      <c r="J220" s="1329"/>
      <c r="O220" s="1408">
        <f>SUM(O213:O218)</f>
        <v>6082.8591488972397</v>
      </c>
      <c r="U220" s="1408">
        <f>SUM(U213:U218)</f>
        <v>2.1715239756938831</v>
      </c>
    </row>
    <row r="221" spans="3:21" ht="39" thickBot="1" x14ac:dyDescent="0.25">
      <c r="C221" s="1400" t="s">
        <v>952</v>
      </c>
      <c r="D221" s="1399" t="s">
        <v>15</v>
      </c>
      <c r="E221" s="1435"/>
      <c r="F221" s="1435"/>
      <c r="G221" s="1435" t="s">
        <v>1222</v>
      </c>
      <c r="H221" s="1435"/>
      <c r="I221" s="1394" t="str">
        <f>I200</f>
        <v>Test Year Versus Board-approved</v>
      </c>
      <c r="J221" s="1407"/>
      <c r="K221" s="1395" t="s">
        <v>15</v>
      </c>
      <c r="L221" s="1874" t="s">
        <v>1222</v>
      </c>
      <c r="M221" s="1874"/>
      <c r="N221" s="1435"/>
      <c r="O221" s="1394" t="str">
        <f>I221</f>
        <v>Test Year Versus Board-approved</v>
      </c>
      <c r="P221" s="1380"/>
      <c r="Q221" s="1395" t="s">
        <v>15</v>
      </c>
      <c r="R221" s="1874" t="s">
        <v>1222</v>
      </c>
      <c r="S221" s="1874"/>
      <c r="T221" s="1435"/>
      <c r="U221" s="1394" t="str">
        <f>O221</f>
        <v>Test Year Versus Board-approved</v>
      </c>
    </row>
    <row r="222" spans="3:21" x14ac:dyDescent="0.2">
      <c r="C222" s="1265"/>
      <c r="D222" s="1402">
        <f t="shared" ref="D222:D228" si="130">D213</f>
        <v>2011</v>
      </c>
      <c r="E222" s="1345"/>
      <c r="F222" s="1329"/>
      <c r="G222" s="1372"/>
      <c r="H222" s="1329"/>
      <c r="I222" s="1378"/>
      <c r="J222" s="1265"/>
      <c r="K222" s="1363">
        <f>D222</f>
        <v>2011</v>
      </c>
      <c r="L222" s="1351"/>
      <c r="M222" s="1351"/>
      <c r="N222" s="1329"/>
      <c r="O222" s="1381"/>
      <c r="P222" s="1265"/>
      <c r="Q222" s="1363">
        <f>K222</f>
        <v>2011</v>
      </c>
      <c r="R222" s="1330"/>
      <c r="S222" s="1330"/>
      <c r="T222" s="1329"/>
      <c r="U222" s="1324"/>
    </row>
    <row r="223" spans="3:21" x14ac:dyDescent="0.2">
      <c r="C223" s="1265"/>
      <c r="D223" s="1365">
        <f t="shared" si="130"/>
        <v>2012</v>
      </c>
      <c r="E223" s="1329"/>
      <c r="F223" s="1329"/>
      <c r="G223" s="1373">
        <f t="shared" ref="G223:G228" si="131">IF(G213=0,"",G214/G213-1)</f>
        <v>208.16341030195383</v>
      </c>
      <c r="H223" s="1329"/>
      <c r="I223" s="1378"/>
      <c r="J223" s="1265"/>
      <c r="K223" s="1363">
        <f t="shared" ref="K223:K229" si="132">D223</f>
        <v>2012</v>
      </c>
      <c r="L223" s="1353">
        <f t="shared" ref="L223:M226" si="133">IF(L213=0,"",L214/L213-1)</f>
        <v>0.10307291666666663</v>
      </c>
      <c r="M223" s="1353">
        <f t="shared" si="133"/>
        <v>0.11601012995431037</v>
      </c>
      <c r="N223" s="1329"/>
      <c r="O223" s="1381"/>
      <c r="P223" s="1265"/>
      <c r="Q223" s="1363">
        <f t="shared" ref="Q223:Q229" si="134">K223</f>
        <v>2012</v>
      </c>
      <c r="R223" s="1374">
        <f t="shared" ref="R223:S226" si="135">IF(R213="","",IF(R213=0,"",R214/R213-1))</f>
        <v>9.9525424706688126E-2</v>
      </c>
      <c r="S223" s="1374">
        <f t="shared" si="135"/>
        <v>0.11242103180544882</v>
      </c>
      <c r="T223" s="1329"/>
      <c r="U223" s="1324"/>
    </row>
    <row r="224" spans="3:21" x14ac:dyDescent="0.2">
      <c r="C224" s="1265"/>
      <c r="D224" s="1401">
        <f t="shared" si="130"/>
        <v>2013</v>
      </c>
      <c r="E224" s="1329"/>
      <c r="F224" s="1329"/>
      <c r="G224" s="1373">
        <f t="shared" si="131"/>
        <v>-0.14661795342211226</v>
      </c>
      <c r="H224" s="1329"/>
      <c r="I224" s="1378"/>
      <c r="J224" s="1265"/>
      <c r="K224" s="1363">
        <f t="shared" si="132"/>
        <v>2013</v>
      </c>
      <c r="L224" s="1353">
        <f t="shared" si="133"/>
        <v>7.0132363819506827E-2</v>
      </c>
      <c r="M224" s="1353">
        <f t="shared" si="133"/>
        <v>7.5147836438900439E-2</v>
      </c>
      <c r="N224" s="1329"/>
      <c r="O224" s="1381"/>
      <c r="P224" s="1265"/>
      <c r="Q224" s="1363">
        <f t="shared" si="134"/>
        <v>2013</v>
      </c>
      <c r="R224" s="1374">
        <f t="shared" si="135"/>
        <v>6.670184154902592E-2</v>
      </c>
      <c r="S224" s="1374">
        <f t="shared" si="135"/>
        <v>7.1701236072756025E-2</v>
      </c>
      <c r="T224" s="1329"/>
      <c r="U224" s="1324"/>
    </row>
    <row r="225" spans="2:22" x14ac:dyDescent="0.2">
      <c r="C225" s="1265"/>
      <c r="D225" s="1365">
        <f t="shared" si="130"/>
        <v>2014</v>
      </c>
      <c r="E225" s="1329"/>
      <c r="F225" s="1329"/>
      <c r="G225" s="1373">
        <f t="shared" si="131"/>
        <v>-0.17901885579495769</v>
      </c>
      <c r="H225" s="1329"/>
      <c r="I225" s="1378"/>
      <c r="J225" s="1265"/>
      <c r="K225" s="1363">
        <f t="shared" si="132"/>
        <v>2014</v>
      </c>
      <c r="L225" s="1353">
        <f t="shared" si="133"/>
        <v>-5.1372935449237489E-2</v>
      </c>
      <c r="M225" s="1353">
        <f t="shared" si="133"/>
        <v>-5.1086626004940405E-2</v>
      </c>
      <c r="N225" s="1329"/>
      <c r="O225" s="1381"/>
      <c r="P225" s="1265"/>
      <c r="Q225" s="1363">
        <f t="shared" si="134"/>
        <v>2014</v>
      </c>
      <c r="R225" s="1374">
        <f t="shared" si="135"/>
        <v>-5.4404230880076176E-2</v>
      </c>
      <c r="S225" s="1374">
        <f t="shared" si="135"/>
        <v>-5.411883632482517E-2</v>
      </c>
      <c r="T225" s="1329"/>
      <c r="U225" s="1324"/>
    </row>
    <row r="226" spans="2:22" x14ac:dyDescent="0.2">
      <c r="C226" s="1265"/>
      <c r="D226" s="1365">
        <f t="shared" si="130"/>
        <v>2015</v>
      </c>
      <c r="E226" s="1329"/>
      <c r="F226" s="1329"/>
      <c r="G226" s="1373">
        <f t="shared" si="131"/>
        <v>0.108029749149124</v>
      </c>
      <c r="H226" s="1329"/>
      <c r="I226" s="1378"/>
      <c r="J226" s="1265"/>
      <c r="K226" s="1363">
        <f t="shared" si="132"/>
        <v>2015</v>
      </c>
      <c r="L226" s="1353">
        <f t="shared" si="133"/>
        <v>-8.0620155038759744E-3</v>
      </c>
      <c r="M226" s="1353">
        <f t="shared" si="133"/>
        <v>2.0824239693102431E-3</v>
      </c>
      <c r="N226" s="1329"/>
      <c r="O226" s="1381"/>
      <c r="P226" s="1265"/>
      <c r="Q226" s="1363">
        <f t="shared" si="134"/>
        <v>2015</v>
      </c>
      <c r="R226" s="1374">
        <f t="shared" si="135"/>
        <v>-1.1221612693918304E-2</v>
      </c>
      <c r="S226" s="1374">
        <f t="shared" si="135"/>
        <v>-1.1094860698770415E-3</v>
      </c>
      <c r="T226" s="1329"/>
      <c r="U226" s="1324"/>
    </row>
    <row r="227" spans="2:22" x14ac:dyDescent="0.2">
      <c r="C227" s="1265"/>
      <c r="D227" s="1365">
        <f t="shared" si="130"/>
        <v>2016</v>
      </c>
      <c r="E227" s="1329"/>
      <c r="F227" s="1329"/>
      <c r="G227" s="1373">
        <f t="shared" si="131"/>
        <v>0.24220742897826719</v>
      </c>
      <c r="H227" s="1329"/>
      <c r="I227" s="1378"/>
      <c r="J227" s="1265"/>
      <c r="K227" s="1363">
        <f t="shared" si="132"/>
        <v>2016</v>
      </c>
      <c r="L227" s="1353" t="str">
        <f>IF(K218="Forecast","",IF(L217=0,"",L218/L217-1))</f>
        <v/>
      </c>
      <c r="M227" s="1353">
        <f>IF(M217=0,"",M218/M217-1)</f>
        <v>-4.2020329356668995E-3</v>
      </c>
      <c r="N227" s="1329"/>
      <c r="O227" s="1381"/>
      <c r="P227" s="1265"/>
      <c r="Q227" s="1363">
        <f t="shared" si="134"/>
        <v>2016</v>
      </c>
      <c r="R227" s="1374" t="str">
        <f>IF(Q218="Forecast","",IF(R217=0,"",R218/R217-1))</f>
        <v/>
      </c>
      <c r="S227" s="1374">
        <f>IF(S217="","",IF(S217=0,"",S218/S217-1))</f>
        <v>-4.2020329356670105E-3</v>
      </c>
      <c r="T227" s="1329"/>
      <c r="U227" s="1324"/>
    </row>
    <row r="228" spans="2:22" x14ac:dyDescent="0.2">
      <c r="C228" s="1265"/>
      <c r="D228" s="1401">
        <f t="shared" si="130"/>
        <v>2017</v>
      </c>
      <c r="E228" s="1329"/>
      <c r="F228" s="1329"/>
      <c r="G228" s="1373">
        <f t="shared" si="131"/>
        <v>-0.13412755410628385</v>
      </c>
      <c r="H228" s="1329"/>
      <c r="I228" s="1379">
        <f>IF(I220=0,"",G219/I220-1)</f>
        <v>0.17670319438351911</v>
      </c>
      <c r="J228" s="1265"/>
      <c r="K228" s="1363">
        <f t="shared" si="132"/>
        <v>2017</v>
      </c>
      <c r="L228" s="1353" t="str">
        <f>IF(K219="Forecast","",IF(L218=0,"",L219/L218-1))</f>
        <v/>
      </c>
      <c r="M228" s="1353">
        <f>IF(M218=0,"",M219/M218-1)</f>
        <v>2.4808379152159166E-3</v>
      </c>
      <c r="N228" s="1329"/>
      <c r="O228" s="1382">
        <f>IF(O220=0,"",M219/O220-1)</f>
        <v>6.4599051431164289E-2</v>
      </c>
      <c r="P228" s="1265"/>
      <c r="Q228" s="1363">
        <f t="shared" si="134"/>
        <v>2017</v>
      </c>
      <c r="R228" s="1374" t="str">
        <f>IF(Q219="Forecast","",IF(R218=0,"",R219/R218-1))</f>
        <v/>
      </c>
      <c r="S228" s="1374">
        <f>IF(S218="","",IF(S218=0,"",S219/S218-1))</f>
        <v>2.4808379152161386E-3</v>
      </c>
      <c r="T228" s="1329"/>
      <c r="U228" s="1354">
        <f>IF(U220=0,"",S219/U220-1)</f>
        <v>5.5440839343841919E-2</v>
      </c>
    </row>
    <row r="229" spans="2:22" ht="26.25" thickBot="1" x14ac:dyDescent="0.25">
      <c r="C229" s="1271"/>
      <c r="D229" s="1405" t="s">
        <v>1221</v>
      </c>
      <c r="E229" s="1355"/>
      <c r="F229" s="1355"/>
      <c r="G229" s="1375">
        <f>IF(G213=0,"",(G219/G213)^(1/($D219-$D213-1))-1)</f>
        <v>1.8082280453172692</v>
      </c>
      <c r="H229" s="1355"/>
      <c r="I229" s="1371">
        <f>IF(I220=0,"",(G219/I220)^(1/(TestYear-RebaseYear-1))-1)</f>
        <v>4.151788747480234E-2</v>
      </c>
      <c r="J229" s="1265"/>
      <c r="K229" s="1404" t="str">
        <f t="shared" si="132"/>
        <v>Geometric Mean</v>
      </c>
      <c r="L229" s="1358">
        <f>IF(L213=0,"",(L217/L213)^(1/($D217-$D213-1))-1)</f>
        <v>3.5636267393223342E-2</v>
      </c>
      <c r="M229" s="1358">
        <f>IF(M213=0,"",(M219/M213)^(1/($D219-$D213-1))-1)</f>
        <v>2.6367117955734098E-2</v>
      </c>
      <c r="N229" s="1355"/>
      <c r="O229" s="1371">
        <f>IF(O220=0,"",(M219/O220)^(1/(TestYear-RebaseYear-1))-1)</f>
        <v>1.5772658385759808E-2</v>
      </c>
      <c r="P229" s="1271"/>
      <c r="Q229" s="1404" t="str">
        <f t="shared" si="134"/>
        <v>Geometric Mean</v>
      </c>
      <c r="R229" s="1376">
        <f>IF(R213="","",IF(R213=0,"",(R217/R213)^(1/($D217-$D213-1))-1))</f>
        <v>3.1219069507125941E-2</v>
      </c>
      <c r="S229" s="1358">
        <f>IF(S213="","",IF(S213=0,"",(S219/S213)^(1/($D219-$D213-1))-1))</f>
        <v>2.3738275035670497E-2</v>
      </c>
      <c r="T229" s="1355"/>
      <c r="U229" s="1371">
        <f>IF(U220=0,"",(S219/U220)^(1/(TestYear-RebaseYear-1))-1)</f>
        <v>1.3581029829669689E-2</v>
      </c>
    </row>
    <row r="230" spans="2:22" ht="13.5" thickBot="1" x14ac:dyDescent="0.25"/>
    <row r="231" spans="2:22" ht="13.5" thickBot="1" x14ac:dyDescent="0.25">
      <c r="B231" s="1318">
        <v>5</v>
      </c>
      <c r="C231" s="3" t="s">
        <v>14</v>
      </c>
      <c r="D231" s="1880" t="s">
        <v>1292</v>
      </c>
      <c r="E231" s="1881"/>
      <c r="F231" s="1882"/>
      <c r="G231" s="1291"/>
      <c r="H231" s="13" t="s">
        <v>1224</v>
      </c>
      <c r="N231" s="1317" t="s">
        <v>74</v>
      </c>
      <c r="O231" s="1316"/>
      <c r="P231" s="1316"/>
      <c r="Q231" s="1316"/>
      <c r="R231" s="1316"/>
      <c r="S231" s="1316"/>
      <c r="T231" s="1316"/>
      <c r="U231" s="1316"/>
    </row>
    <row r="232" spans="2:22" ht="13.5" thickBot="1" x14ac:dyDescent="0.25">
      <c r="Q232" s="1355"/>
      <c r="R232" s="1355"/>
      <c r="S232" s="1355"/>
      <c r="T232" s="1355"/>
      <c r="U232" s="1355"/>
    </row>
    <row r="233" spans="2:22" x14ac:dyDescent="0.2">
      <c r="C233" s="1264"/>
      <c r="D233" s="1268" t="s">
        <v>1205</v>
      </c>
      <c r="E233" s="1268"/>
      <c r="F233" s="1883" t="s">
        <v>1034</v>
      </c>
      <c r="G233" s="1884"/>
      <c r="H233" s="1884"/>
      <c r="I233" s="1885"/>
      <c r="J233" s="1268"/>
      <c r="K233" s="1859" t="s">
        <v>1213</v>
      </c>
      <c r="L233" s="1860"/>
      <c r="M233" s="1860"/>
      <c r="N233" s="1860"/>
      <c r="O233" s="1861"/>
      <c r="P233" s="1287"/>
      <c r="Q233" s="1869" t="str">
        <f>CONCATENATE("Consumption (kWh) per ",LEFT(F233,LEN(F233)-1))</f>
        <v>Consumption (kWh) per Customer</v>
      </c>
      <c r="R233" s="1879"/>
      <c r="S233" s="1879"/>
      <c r="T233" s="1879"/>
      <c r="U233" s="1870"/>
      <c r="V233" s="1308"/>
    </row>
    <row r="234" spans="2:22" ht="39" thickBot="1" x14ac:dyDescent="0.25">
      <c r="C234" s="1271"/>
      <c r="D234" s="1277" t="str">
        <f>CONCATENATE("(for ",TestYear," Cost of Service")</f>
        <v>(for 2017 Cost of Service</v>
      </c>
      <c r="E234" s="1266"/>
      <c r="F234" s="1872"/>
      <c r="G234" s="1873"/>
      <c r="H234" s="1875"/>
      <c r="I234" s="1296"/>
      <c r="J234" s="1266"/>
      <c r="K234" s="1284"/>
      <c r="L234" s="1433" t="s">
        <v>1226</v>
      </c>
      <c r="M234" s="1433" t="s">
        <v>1210</v>
      </c>
      <c r="N234" s="1305"/>
      <c r="O234" s="1306" t="s">
        <v>1210</v>
      </c>
      <c r="P234" s="1266"/>
      <c r="Q234" s="1389"/>
      <c r="R234" s="1390" t="str">
        <f>L234</f>
        <v>Actual (Weather actual)</v>
      </c>
      <c r="S234" s="1391" t="str">
        <f>M234</f>
        <v>Weather-normalized</v>
      </c>
      <c r="T234" s="1391"/>
      <c r="U234" s="1392" t="str">
        <f>O234</f>
        <v>Weather-normalized</v>
      </c>
      <c r="V234" s="1308"/>
    </row>
    <row r="235" spans="2:22" x14ac:dyDescent="0.2">
      <c r="C235" s="1266" t="s">
        <v>890</v>
      </c>
      <c r="D235" s="1363">
        <f t="shared" ref="D235:D240" si="136">D236-1</f>
        <v>2011</v>
      </c>
      <c r="E235" s="1265"/>
      <c r="F235" s="1313" t="str">
        <f>F192</f>
        <v>Actual</v>
      </c>
      <c r="G235" s="1301">
        <v>32.5</v>
      </c>
      <c r="H235" s="1297" t="str">
        <f t="shared" ref="H235:H241" si="137">IF(D235=RebaseYear,"Board-approved","")</f>
        <v/>
      </c>
      <c r="I235" s="1324"/>
      <c r="J235" s="1265"/>
      <c r="K235" s="1282" t="str">
        <f>F235</f>
        <v>Actual</v>
      </c>
      <c r="L235" s="1301">
        <v>201696</v>
      </c>
      <c r="M235" s="1301">
        <v>199092.5400411548</v>
      </c>
      <c r="N235" s="1297" t="str">
        <f>H235</f>
        <v/>
      </c>
      <c r="O235" s="1492"/>
      <c r="P235" s="1265"/>
      <c r="Q235" s="1385" t="str">
        <f>K235</f>
        <v>Actual</v>
      </c>
      <c r="R235" s="1497">
        <f>IF(G235=0,"",L235/G235)</f>
        <v>6206.0307692307688</v>
      </c>
      <c r="S235" s="1497">
        <f>IF(G235=0,"",M235/G235)</f>
        <v>6125.9243089586089</v>
      </c>
      <c r="T235" s="1329" t="str">
        <f>N235</f>
        <v/>
      </c>
      <c r="U235" s="1329" t="str">
        <f>IF(T235="","",IF(I235=0,"",O235/I235))</f>
        <v/>
      </c>
      <c r="V235" s="1309"/>
    </row>
    <row r="236" spans="2:22" x14ac:dyDescent="0.2">
      <c r="C236" s="1266" t="s">
        <v>890</v>
      </c>
      <c r="D236" s="1363">
        <f t="shared" si="136"/>
        <v>2012</v>
      </c>
      <c r="E236" s="1265"/>
      <c r="F236" s="1314" t="str">
        <f t="shared" ref="F236:F241" si="138">F193</f>
        <v>Actual</v>
      </c>
      <c r="G236" s="1301">
        <v>31.5</v>
      </c>
      <c r="H236" s="1297" t="str">
        <f t="shared" si="137"/>
        <v>Board-approved</v>
      </c>
      <c r="I236" s="1494">
        <v>32.02858627679273</v>
      </c>
      <c r="J236" s="1265"/>
      <c r="K236" s="1282" t="str">
        <f t="shared" ref="K236:K241" si="139">F236</f>
        <v>Actual</v>
      </c>
      <c r="L236" s="1301">
        <v>262229</v>
      </c>
      <c r="M236" s="1301">
        <v>261880.00213059725</v>
      </c>
      <c r="N236" s="1297" t="str">
        <f t="shared" ref="N236:N241" si="140">H236</f>
        <v>Board-approved</v>
      </c>
      <c r="O236" s="1493">
        <v>188991.4155690055</v>
      </c>
      <c r="P236" s="1265"/>
      <c r="Q236" s="1385" t="str">
        <f t="shared" ref="Q236:Q241" si="141">K236</f>
        <v>Actual</v>
      </c>
      <c r="R236" s="1497">
        <f t="shared" ref="R236:R241" si="142">IF(G236=0,"",L236/G236)</f>
        <v>8324.730158730159</v>
      </c>
      <c r="S236" s="1497">
        <f t="shared" ref="S236:S241" si="143">IF(G236=0,"",M236/G236)</f>
        <v>8313.650861288801</v>
      </c>
      <c r="T236" s="1329" t="str">
        <f t="shared" ref="T236:T241" si="144">N236</f>
        <v>Board-approved</v>
      </c>
      <c r="U236" s="1497">
        <f t="shared" ref="U236:U241" si="145">IF(T236="","",IF(I236=0,"",O236/I236))</f>
        <v>5900.7105070367998</v>
      </c>
      <c r="V236" s="1309"/>
    </row>
    <row r="237" spans="2:22" x14ac:dyDescent="0.2">
      <c r="C237" s="1266" t="s">
        <v>890</v>
      </c>
      <c r="D237" s="1363">
        <f t="shared" si="136"/>
        <v>2013</v>
      </c>
      <c r="E237" s="1265"/>
      <c r="F237" s="1314" t="str">
        <f t="shared" si="138"/>
        <v>Actual</v>
      </c>
      <c r="G237" s="1301">
        <v>31.5</v>
      </c>
      <c r="H237" s="1297" t="str">
        <f t="shared" si="137"/>
        <v/>
      </c>
      <c r="I237" s="1325"/>
      <c r="J237" s="1265"/>
      <c r="K237" s="1282" t="str">
        <f t="shared" si="139"/>
        <v>Actual</v>
      </c>
      <c r="L237" s="1301">
        <v>260597.00000000003</v>
      </c>
      <c r="M237" s="1301">
        <v>261469.90888447274</v>
      </c>
      <c r="N237" s="1297" t="str">
        <f t="shared" si="140"/>
        <v/>
      </c>
      <c r="O237" s="1325"/>
      <c r="P237" s="1265"/>
      <c r="Q237" s="1385" t="str">
        <f t="shared" si="141"/>
        <v>Actual</v>
      </c>
      <c r="R237" s="1495">
        <f t="shared" si="142"/>
        <v>8272.9206349206361</v>
      </c>
      <c r="S237" s="1497">
        <f t="shared" si="143"/>
        <v>8300.6320280785003</v>
      </c>
      <c r="T237" s="1329" t="str">
        <f t="shared" si="144"/>
        <v/>
      </c>
      <c r="U237" s="1329" t="str">
        <f t="shared" si="145"/>
        <v/>
      </c>
      <c r="V237" s="1309"/>
    </row>
    <row r="238" spans="2:22" x14ac:dyDescent="0.2">
      <c r="C238" s="1266" t="s">
        <v>890</v>
      </c>
      <c r="D238" s="1363">
        <f t="shared" si="136"/>
        <v>2014</v>
      </c>
      <c r="E238" s="1265"/>
      <c r="F238" s="1314" t="str">
        <f t="shared" si="138"/>
        <v>Actual</v>
      </c>
      <c r="G238" s="1301">
        <v>31</v>
      </c>
      <c r="H238" s="1297" t="str">
        <f t="shared" si="137"/>
        <v/>
      </c>
      <c r="I238" s="1324"/>
      <c r="J238" s="1265"/>
      <c r="K238" s="1282" t="str">
        <f t="shared" si="139"/>
        <v>Actual</v>
      </c>
      <c r="L238" s="1301">
        <v>259677</v>
      </c>
      <c r="M238" s="1301">
        <v>260625.46402764088</v>
      </c>
      <c r="N238" s="1297" t="str">
        <f t="shared" si="140"/>
        <v/>
      </c>
      <c r="O238" s="1324"/>
      <c r="P238" s="1265"/>
      <c r="Q238" s="1385" t="str">
        <f t="shared" si="141"/>
        <v>Actual</v>
      </c>
      <c r="R238" s="1495">
        <f t="shared" si="142"/>
        <v>8376.677419354839</v>
      </c>
      <c r="S238" s="1497">
        <f t="shared" si="143"/>
        <v>8407.273033149706</v>
      </c>
      <c r="T238" s="1329" t="str">
        <f t="shared" si="144"/>
        <v/>
      </c>
      <c r="U238" s="1329" t="str">
        <f t="shared" si="145"/>
        <v/>
      </c>
      <c r="V238" s="1309"/>
    </row>
    <row r="239" spans="2:22" x14ac:dyDescent="0.2">
      <c r="C239" s="1266" t="s">
        <v>890</v>
      </c>
      <c r="D239" s="1363">
        <f t="shared" si="136"/>
        <v>2015</v>
      </c>
      <c r="E239" s="1265"/>
      <c r="F239" s="1314" t="str">
        <f t="shared" si="138"/>
        <v>Actual</v>
      </c>
      <c r="G239" s="1301">
        <v>31</v>
      </c>
      <c r="H239" s="1297" t="str">
        <f t="shared" si="137"/>
        <v/>
      </c>
      <c r="I239" s="1324"/>
      <c r="J239" s="1265"/>
      <c r="K239" s="1282" t="str">
        <f t="shared" si="139"/>
        <v>Actual</v>
      </c>
      <c r="L239" s="1301">
        <v>259606.99999999997</v>
      </c>
      <c r="M239" s="1301">
        <v>263219.87749884586</v>
      </c>
      <c r="N239" s="1297" t="str">
        <f t="shared" si="140"/>
        <v/>
      </c>
      <c r="O239" s="1324"/>
      <c r="P239" s="1265"/>
      <c r="Q239" s="1385" t="str">
        <f t="shared" si="141"/>
        <v>Actual</v>
      </c>
      <c r="R239" s="1495">
        <f t="shared" si="142"/>
        <v>8374.4193548387084</v>
      </c>
      <c r="S239" s="1497">
        <f t="shared" si="143"/>
        <v>8490.9637902853501</v>
      </c>
      <c r="T239" s="1329" t="str">
        <f t="shared" si="144"/>
        <v/>
      </c>
      <c r="U239" s="1329" t="str">
        <f t="shared" si="145"/>
        <v/>
      </c>
      <c r="V239" s="1309"/>
    </row>
    <row r="240" spans="2:22" x14ac:dyDescent="0.2">
      <c r="C240" s="1266" t="s">
        <v>313</v>
      </c>
      <c r="D240" s="1363">
        <f t="shared" si="136"/>
        <v>2016</v>
      </c>
      <c r="E240" s="1265"/>
      <c r="F240" s="1314" t="str">
        <f t="shared" si="138"/>
        <v>Forecast</v>
      </c>
      <c r="G240" s="1301">
        <v>31</v>
      </c>
      <c r="H240" s="1297" t="str">
        <f t="shared" si="137"/>
        <v/>
      </c>
      <c r="I240" s="1324"/>
      <c r="J240" s="1265"/>
      <c r="K240" s="1282" t="str">
        <f t="shared" si="139"/>
        <v>Forecast</v>
      </c>
      <c r="L240" s="1303"/>
      <c r="M240" s="1301">
        <v>262206.68799682555</v>
      </c>
      <c r="N240" s="1297" t="str">
        <f t="shared" si="140"/>
        <v/>
      </c>
      <c r="O240" s="1324"/>
      <c r="P240" s="1265"/>
      <c r="Q240" s="1385" t="str">
        <f t="shared" si="141"/>
        <v>Forecast</v>
      </c>
      <c r="R240" s="1387">
        <f t="shared" si="142"/>
        <v>0</v>
      </c>
      <c r="S240" s="1497">
        <f t="shared" si="143"/>
        <v>8458.2802579621148</v>
      </c>
      <c r="T240" s="1329" t="str">
        <f t="shared" si="144"/>
        <v/>
      </c>
      <c r="U240" s="1329" t="str">
        <f t="shared" si="145"/>
        <v/>
      </c>
      <c r="V240" s="1309"/>
    </row>
    <row r="241" spans="2:22" ht="13.5" thickBot="1" x14ac:dyDescent="0.25">
      <c r="C241" s="1267" t="s">
        <v>314</v>
      </c>
      <c r="D241" s="1364">
        <f>TestYear</f>
        <v>2017</v>
      </c>
      <c r="E241" s="1271"/>
      <c r="F241" s="1315" t="str">
        <f t="shared" si="138"/>
        <v>Forecast</v>
      </c>
      <c r="G241" s="1302">
        <v>31</v>
      </c>
      <c r="H241" s="1298" t="str">
        <f t="shared" si="137"/>
        <v/>
      </c>
      <c r="I241" s="1326"/>
      <c r="J241" s="1271"/>
      <c r="K241" s="1283" t="str">
        <f t="shared" si="139"/>
        <v>Forecast</v>
      </c>
      <c r="L241" s="1304"/>
      <c r="M241" s="1302">
        <v>264832.40910400957</v>
      </c>
      <c r="N241" s="1298" t="str">
        <f t="shared" si="140"/>
        <v/>
      </c>
      <c r="O241" s="1326"/>
      <c r="P241" s="1271"/>
      <c r="Q241" s="1386" t="str">
        <f t="shared" si="141"/>
        <v>Forecast</v>
      </c>
      <c r="R241" s="1388">
        <f t="shared" si="142"/>
        <v>0</v>
      </c>
      <c r="S241" s="1498">
        <f t="shared" si="143"/>
        <v>8542.9809388390186</v>
      </c>
      <c r="T241" s="1355" t="str">
        <f t="shared" si="144"/>
        <v/>
      </c>
      <c r="U241" s="1355" t="str">
        <f t="shared" si="145"/>
        <v/>
      </c>
      <c r="V241" s="1309"/>
    </row>
    <row r="242" spans="2:22" ht="13.5" thickBot="1" x14ac:dyDescent="0.25">
      <c r="B242" s="1329"/>
      <c r="C242" s="1366"/>
      <c r="I242" s="1408">
        <f>SUM(I235:I240)</f>
        <v>32.02858627679273</v>
      </c>
      <c r="O242" s="1408">
        <f>SUM(O235:O240)</f>
        <v>188991.4155690055</v>
      </c>
      <c r="U242" s="1408">
        <f>SUM(U235:U240)</f>
        <v>5900.7105070367998</v>
      </c>
    </row>
    <row r="243" spans="2:22" ht="39" thickBot="1" x14ac:dyDescent="0.25">
      <c r="C243" s="1400" t="s">
        <v>952</v>
      </c>
      <c r="D243" s="1399" t="s">
        <v>15</v>
      </c>
      <c r="E243" s="1361"/>
      <c r="F243" s="1361"/>
      <c r="G243" s="1435" t="s">
        <v>1222</v>
      </c>
      <c r="H243" s="1361"/>
      <c r="I243" s="1394" t="s">
        <v>1235</v>
      </c>
      <c r="J243" s="1396"/>
      <c r="K243" s="1395" t="s">
        <v>15</v>
      </c>
      <c r="L243" s="1874" t="s">
        <v>1222</v>
      </c>
      <c r="M243" s="1874"/>
      <c r="N243" s="1361"/>
      <c r="O243" s="1394" t="str">
        <f>I243</f>
        <v>Test Year Versus Board-approved</v>
      </c>
      <c r="P243" s="1397"/>
      <c r="Q243" s="1395" t="s">
        <v>15</v>
      </c>
      <c r="R243" s="1874" t="s">
        <v>1222</v>
      </c>
      <c r="S243" s="1874"/>
      <c r="T243" s="1361"/>
      <c r="U243" s="1394" t="str">
        <f>O243</f>
        <v>Test Year Versus Board-approved</v>
      </c>
    </row>
    <row r="244" spans="2:22" x14ac:dyDescent="0.2">
      <c r="C244" s="1265"/>
      <c r="D244" s="1377">
        <f t="shared" ref="D244:D250" si="146">D235</f>
        <v>2011</v>
      </c>
      <c r="E244" s="1329"/>
      <c r="F244" s="1329"/>
      <c r="G244" s="1372"/>
      <c r="H244" s="1329"/>
      <c r="I244" s="1378"/>
      <c r="J244" s="1384"/>
      <c r="K244" s="1363">
        <f>D244</f>
        <v>2011</v>
      </c>
      <c r="L244" s="1351"/>
      <c r="M244" s="1351"/>
      <c r="N244" s="1329"/>
      <c r="O244" s="1324"/>
      <c r="P244" s="1265"/>
      <c r="Q244" s="1363">
        <f>K244</f>
        <v>2011</v>
      </c>
      <c r="R244" s="1330"/>
      <c r="S244" s="1330"/>
      <c r="T244" s="1329"/>
      <c r="U244" s="1324"/>
    </row>
    <row r="245" spans="2:22" x14ac:dyDescent="0.2">
      <c r="C245" s="1265"/>
      <c r="D245" s="1365">
        <f t="shared" si="146"/>
        <v>2012</v>
      </c>
      <c r="E245" s="1329"/>
      <c r="F245" s="1329"/>
      <c r="G245" s="1373">
        <f t="shared" ref="G245:G250" si="147">IF(G235=0,"",G236/G235-1)</f>
        <v>-3.0769230769230771E-2</v>
      </c>
      <c r="H245" s="1329"/>
      <c r="I245" s="1378"/>
      <c r="J245" s="1384"/>
      <c r="K245" s="1363">
        <f t="shared" ref="K245:K251" si="148">D245</f>
        <v>2012</v>
      </c>
      <c r="L245" s="1353">
        <f t="shared" ref="L245:M248" si="149">IF(L235=0,"",L236/L235-1)</f>
        <v>0.30011998254799299</v>
      </c>
      <c r="M245" s="1353">
        <f t="shared" si="149"/>
        <v>0.31536823065526987</v>
      </c>
      <c r="N245" s="1329"/>
      <c r="O245" s="1324"/>
      <c r="P245" s="1265"/>
      <c r="Q245" s="1363">
        <f t="shared" ref="Q245:Q251" si="150">K245</f>
        <v>2012</v>
      </c>
      <c r="R245" s="1374">
        <f t="shared" ref="R245:S248" si="151">IF(R235="","",IF(R235=0,"",R236/R235-1))</f>
        <v>0.34139363278761192</v>
      </c>
      <c r="S245" s="1374">
        <f t="shared" si="151"/>
        <v>0.35712595226337362</v>
      </c>
      <c r="T245" s="1329"/>
      <c r="U245" s="1324"/>
    </row>
    <row r="246" spans="2:22" x14ac:dyDescent="0.2">
      <c r="C246" s="1265"/>
      <c r="D246" s="1365">
        <f t="shared" si="146"/>
        <v>2013</v>
      </c>
      <c r="E246" s="1329"/>
      <c r="F246" s="1329"/>
      <c r="G246" s="1373">
        <f t="shared" si="147"/>
        <v>0</v>
      </c>
      <c r="H246" s="1329"/>
      <c r="I246" s="1378"/>
      <c r="J246" s="1384"/>
      <c r="K246" s="1363">
        <f t="shared" si="148"/>
        <v>2013</v>
      </c>
      <c r="L246" s="1353">
        <f t="shared" si="149"/>
        <v>-6.2235679501503327E-3</v>
      </c>
      <c r="M246" s="1353">
        <f t="shared" si="149"/>
        <v>-1.5659586176419715E-3</v>
      </c>
      <c r="N246" s="1329"/>
      <c r="O246" s="1324"/>
      <c r="P246" s="1265"/>
      <c r="Q246" s="1363">
        <f t="shared" si="150"/>
        <v>2013</v>
      </c>
      <c r="R246" s="1374">
        <f t="shared" si="151"/>
        <v>-6.2235679501503327E-3</v>
      </c>
      <c r="S246" s="1374">
        <f t="shared" si="151"/>
        <v>-1.5659586176418605E-3</v>
      </c>
      <c r="T246" s="1329"/>
      <c r="U246" s="1324"/>
    </row>
    <row r="247" spans="2:22" x14ac:dyDescent="0.2">
      <c r="C247" s="1265"/>
      <c r="D247" s="1365">
        <f t="shared" si="146"/>
        <v>2014</v>
      </c>
      <c r="E247" s="1329"/>
      <c r="F247" s="1329"/>
      <c r="G247" s="1373">
        <f t="shared" si="147"/>
        <v>-1.5873015873015928E-2</v>
      </c>
      <c r="H247" s="1329"/>
      <c r="I247" s="1378"/>
      <c r="J247" s="1384"/>
      <c r="K247" s="1363">
        <f t="shared" si="148"/>
        <v>2014</v>
      </c>
      <c r="L247" s="1353">
        <f t="shared" si="149"/>
        <v>-3.5303552995622489E-3</v>
      </c>
      <c r="M247" s="1353">
        <f t="shared" si="149"/>
        <v>-3.2296062687847682E-3</v>
      </c>
      <c r="N247" s="1329"/>
      <c r="O247" s="1324"/>
      <c r="P247" s="1265"/>
      <c r="Q247" s="1363">
        <f t="shared" si="150"/>
        <v>2014</v>
      </c>
      <c r="R247" s="1374">
        <f t="shared" si="151"/>
        <v>1.2541735743993199E-2</v>
      </c>
      <c r="S247" s="1374">
        <f t="shared" si="151"/>
        <v>1.284733556558959E-2</v>
      </c>
      <c r="T247" s="1329"/>
      <c r="U247" s="1324"/>
    </row>
    <row r="248" spans="2:22" x14ac:dyDescent="0.2">
      <c r="C248" s="1265"/>
      <c r="D248" s="1365">
        <f t="shared" si="146"/>
        <v>2015</v>
      </c>
      <c r="E248" s="1329"/>
      <c r="F248" s="1329"/>
      <c r="G248" s="1373">
        <f t="shared" si="147"/>
        <v>0</v>
      </c>
      <c r="H248" s="1329"/>
      <c r="I248" s="1378"/>
      <c r="J248" s="1384"/>
      <c r="K248" s="1363">
        <f t="shared" si="148"/>
        <v>2015</v>
      </c>
      <c r="L248" s="1353">
        <f t="shared" si="149"/>
        <v>-2.6956565271485378E-4</v>
      </c>
      <c r="M248" s="1353">
        <f t="shared" si="149"/>
        <v>9.9545663386515493E-3</v>
      </c>
      <c r="N248" s="1329"/>
      <c r="O248" s="1324"/>
      <c r="P248" s="1265"/>
      <c r="Q248" s="1363">
        <f t="shared" si="150"/>
        <v>2015</v>
      </c>
      <c r="R248" s="1374">
        <f t="shared" si="151"/>
        <v>-2.6956565271485378E-4</v>
      </c>
      <c r="S248" s="1374">
        <f t="shared" si="151"/>
        <v>9.9545663386515493E-3</v>
      </c>
      <c r="T248" s="1329"/>
      <c r="U248" s="1324"/>
    </row>
    <row r="249" spans="2:22" x14ac:dyDescent="0.2">
      <c r="C249" s="1265"/>
      <c r="D249" s="1365">
        <f t="shared" si="146"/>
        <v>2016</v>
      </c>
      <c r="E249" s="1329"/>
      <c r="F249" s="1329"/>
      <c r="G249" s="1373">
        <f t="shared" si="147"/>
        <v>0</v>
      </c>
      <c r="H249" s="1329"/>
      <c r="I249" s="1378"/>
      <c r="J249" s="1384"/>
      <c r="K249" s="1363">
        <f t="shared" si="148"/>
        <v>2016</v>
      </c>
      <c r="L249" s="1353" t="str">
        <f>IF(K240="Forecast","",IF(L239=0,"",L240/L239-1))</f>
        <v/>
      </c>
      <c r="M249" s="1353">
        <f>IF(M239=0,"",M240/M239-1)</f>
        <v>-3.8492134851204618E-3</v>
      </c>
      <c r="N249" s="1329"/>
      <c r="O249" s="1324"/>
      <c r="P249" s="1265"/>
      <c r="Q249" s="1363">
        <f t="shared" si="150"/>
        <v>2016</v>
      </c>
      <c r="R249" s="1374" t="str">
        <f>IF(Q240="Forecast","",IF(R239=0,"",R240/R239-1))</f>
        <v/>
      </c>
      <c r="S249" s="1374">
        <f>IF(S239="","",IF(S239=0,"",S240/S239-1))</f>
        <v>-3.8492134851203508E-3</v>
      </c>
      <c r="T249" s="1329"/>
      <c r="U249" s="1324"/>
    </row>
    <row r="250" spans="2:22" x14ac:dyDescent="0.2">
      <c r="C250" s="1265"/>
      <c r="D250" s="1365">
        <f t="shared" si="146"/>
        <v>2017</v>
      </c>
      <c r="E250" s="1329"/>
      <c r="F250" s="1329"/>
      <c r="G250" s="1373">
        <f t="shared" si="147"/>
        <v>0</v>
      </c>
      <c r="H250" s="1329"/>
      <c r="I250" s="1379">
        <f>IF(I242=0,"",G241/I242-1)</f>
        <v>-3.2114632469370741E-2</v>
      </c>
      <c r="J250" s="1384"/>
      <c r="K250" s="1363">
        <f t="shared" si="148"/>
        <v>2017</v>
      </c>
      <c r="L250" s="1353" t="str">
        <f>IF(K241="Forecast","",IF(L240=0,"",L241/L240-1))</f>
        <v/>
      </c>
      <c r="M250" s="1353">
        <f>IF(M240=0,"",M241/M240-1)</f>
        <v>1.0013936437867743E-2</v>
      </c>
      <c r="N250" s="1329"/>
      <c r="O250" s="1354">
        <f>IF(O242=0,"",M241/O242-1)</f>
        <v>0.40129332491989622</v>
      </c>
      <c r="P250" s="1265"/>
      <c r="Q250" s="1363">
        <f t="shared" si="150"/>
        <v>2017</v>
      </c>
      <c r="R250" s="1374" t="str">
        <f>IF(Q241="Forecast","",IF(R240=0,"",R241/R240-1))</f>
        <v/>
      </c>
      <c r="S250" s="1374">
        <f>IF(S240="","",IF(S240=0,"",S241/S240-1))</f>
        <v>1.0013936437867743E-2</v>
      </c>
      <c r="T250" s="1329"/>
      <c r="U250" s="1354">
        <f>IF(U242=0,"",S241/U242-1)</f>
        <v>0.44778852117066581</v>
      </c>
    </row>
    <row r="251" spans="2:22" ht="26.25" thickBot="1" x14ac:dyDescent="0.25">
      <c r="C251" s="1271"/>
      <c r="D251" s="1405" t="s">
        <v>1221</v>
      </c>
      <c r="E251" s="1355"/>
      <c r="F251" s="1355"/>
      <c r="G251" s="1375">
        <f>IF(G235=0,"",(G241/G235)^(1/($D241-$D235-1))-1)</f>
        <v>-9.4060606130337288E-3</v>
      </c>
      <c r="H251" s="1355"/>
      <c r="I251" s="1406">
        <f>IF(I242=0,"",(G241/I242)^(1/(TestYear-RebaseYear-1))-1)</f>
        <v>-8.1271994517662094E-3</v>
      </c>
      <c r="J251" s="1360"/>
      <c r="K251" s="1404" t="str">
        <f t="shared" si="148"/>
        <v>Geometric Mean</v>
      </c>
      <c r="L251" s="1358">
        <f>IF(L235=0,"",(L239/L235)^(1/($D239-$D235-1))-1)</f>
        <v>8.7776580525964265E-2</v>
      </c>
      <c r="M251" s="1358">
        <f>IF(M235=0,"",(M241/M235)^(1/($D241-$D235-1))-1)</f>
        <v>5.8725147313427373E-2</v>
      </c>
      <c r="N251" s="1355"/>
      <c r="O251" s="1371">
        <f>IF(O242=0,"",(M241/O242)^(1/(TestYear-RebaseYear-1))-1)</f>
        <v>8.80084374609027E-2</v>
      </c>
      <c r="P251" s="1271"/>
      <c r="Q251" s="1404" t="str">
        <f t="shared" si="150"/>
        <v>Geometric Mean</v>
      </c>
      <c r="R251" s="1376">
        <f>IF(R235="","",IF(R235=0,"",(R239/R235)^(1/($D239-$D235-1))-1))</f>
        <v>0.1050457537071956</v>
      </c>
      <c r="S251" s="1358">
        <f>IF(S235="","",IF(S235=0,"",(S241/S235)^(1/($D241-$D235-1))-1))</f>
        <v>6.8778139273317551E-2</v>
      </c>
      <c r="T251" s="1355"/>
      <c r="U251" s="1371">
        <f>IF(U242=0,"",(S241/U242)^(1/(TestYear-RebaseYear-1))-1)</f>
        <v>9.6923352328576851E-2</v>
      </c>
    </row>
    <row r="253" spans="2:22" ht="13.5" thickBot="1" x14ac:dyDescent="0.25">
      <c r="Q253" s="1355"/>
      <c r="R253" s="1355"/>
      <c r="S253" s="1355"/>
      <c r="T253" s="1355"/>
      <c r="U253" s="1355"/>
    </row>
    <row r="254" spans="2:22" x14ac:dyDescent="0.2">
      <c r="C254" s="1264"/>
      <c r="D254" s="1268" t="s">
        <v>1205</v>
      </c>
      <c r="E254" s="1268"/>
      <c r="F254" s="1876" t="s">
        <v>1198</v>
      </c>
      <c r="G254" s="1877"/>
      <c r="H254" s="1877"/>
      <c r="I254" s="1878"/>
      <c r="K254" s="1859" t="str">
        <f>IF(ISBLANK(N231),"",CONCATENATE("Demand (",N231,")"))</f>
        <v>Demand (kWh)</v>
      </c>
      <c r="L254" s="1860"/>
      <c r="M254" s="1860"/>
      <c r="N254" s="1860"/>
      <c r="O254" s="1861"/>
      <c r="Q254" s="1869" t="str">
        <f>CONCATENATE("Demand (",N231,") per ",LEFT(F233,LEN(F233)-1))</f>
        <v>Demand (kWh) per Customer</v>
      </c>
      <c r="R254" s="1879"/>
      <c r="S254" s="1879"/>
      <c r="T254" s="1879"/>
      <c r="U254" s="1870"/>
    </row>
    <row r="255" spans="2:22" ht="39" thickBot="1" x14ac:dyDescent="0.25">
      <c r="C255" s="1271"/>
      <c r="D255" s="1277" t="str">
        <f>CONCATENATE("(for ",TestYear," Cost of Service")</f>
        <v>(for 2017 Cost of Service</v>
      </c>
      <c r="E255" s="1266"/>
      <c r="F255" s="1872"/>
      <c r="G255" s="1873"/>
      <c r="H255" s="1873"/>
      <c r="I255" s="1296"/>
      <c r="K255" s="1284"/>
      <c r="L255" s="1433" t="s">
        <v>1226</v>
      </c>
      <c r="M255" s="1433" t="s">
        <v>1210</v>
      </c>
      <c r="N255" s="1305"/>
      <c r="O255" s="1306" t="str">
        <f>M255</f>
        <v>Weather-normalized</v>
      </c>
      <c r="Q255" s="1403"/>
      <c r="R255" s="1433" t="str">
        <f>L255</f>
        <v>Actual (Weather actual)</v>
      </c>
      <c r="S255" s="1433" t="str">
        <f>M255</f>
        <v>Weather-normalized</v>
      </c>
      <c r="T255" s="1433"/>
      <c r="U255" s="1434" t="str">
        <f>O255</f>
        <v>Weather-normalized</v>
      </c>
    </row>
    <row r="256" spans="2:22" x14ac:dyDescent="0.2">
      <c r="C256" s="1266" t="s">
        <v>890</v>
      </c>
      <c r="D256" s="1363">
        <f t="shared" ref="D256:D261" si="152">D257-1</f>
        <v>2011</v>
      </c>
      <c r="E256" s="1265"/>
      <c r="F256" s="1313" t="str">
        <f t="shared" ref="F256:F262" si="153">F235</f>
        <v>Actual</v>
      </c>
      <c r="G256" s="1311">
        <v>2054</v>
      </c>
      <c r="H256" s="2" t="str">
        <f t="shared" ref="H256:H262" si="154">IF(D256=RebaseYear,"Board-approved","")</f>
        <v/>
      </c>
      <c r="I256" s="1383"/>
      <c r="K256" s="1282" t="str">
        <f t="shared" ref="K256:K262" si="155">K235</f>
        <v>Actual</v>
      </c>
      <c r="L256" s="1294"/>
      <c r="M256" s="1294"/>
      <c r="N256" s="1258" t="str">
        <f t="shared" ref="N256:N262" si="156">N235</f>
        <v/>
      </c>
      <c r="O256" s="1324"/>
      <c r="Q256" s="1385" t="str">
        <f>K256</f>
        <v>Actual</v>
      </c>
      <c r="R256" s="1329">
        <f>IF(G256=0,"",L256/G256)</f>
        <v>0</v>
      </c>
      <c r="S256" s="1309">
        <f>IF(G256=0,"",M256/G256)</f>
        <v>0</v>
      </c>
      <c r="T256" s="1309" t="str">
        <f>N256</f>
        <v/>
      </c>
      <c r="U256" s="1265" t="str">
        <f>IF(T256="","",IF(I256=0,"",O256/I256))</f>
        <v/>
      </c>
    </row>
    <row r="257" spans="3:21" x14ac:dyDescent="0.2">
      <c r="C257" s="1266" t="s">
        <v>890</v>
      </c>
      <c r="D257" s="1363">
        <f t="shared" si="152"/>
        <v>2012</v>
      </c>
      <c r="E257" s="1265"/>
      <c r="F257" s="1314" t="str">
        <f t="shared" si="153"/>
        <v>Actual</v>
      </c>
      <c r="G257" s="1311">
        <v>3074</v>
      </c>
      <c r="H257" s="2" t="str">
        <f t="shared" si="154"/>
        <v>Board-approved</v>
      </c>
      <c r="I257" s="1311">
        <v>2570.1552505609129</v>
      </c>
      <c r="K257" s="1282" t="str">
        <f t="shared" si="155"/>
        <v>Actual</v>
      </c>
      <c r="L257" s="1294"/>
      <c r="M257" s="1294"/>
      <c r="N257" s="1258" t="str">
        <f t="shared" si="156"/>
        <v>Board-approved</v>
      </c>
      <c r="O257" s="1324"/>
      <c r="Q257" s="1385" t="str">
        <f t="shared" ref="Q257:Q262" si="157">K257</f>
        <v>Actual</v>
      </c>
      <c r="R257" s="1329">
        <f t="shared" ref="R257:R262" si="158">IF(G257=0,"",L257/G257)</f>
        <v>0</v>
      </c>
      <c r="S257" s="1309">
        <f t="shared" ref="S257:S262" si="159">IF(G257=0,"",M257/G257)</f>
        <v>0</v>
      </c>
      <c r="T257" s="1309" t="str">
        <f t="shared" ref="T257:T262" si="160">N257</f>
        <v>Board-approved</v>
      </c>
      <c r="U257" s="1265">
        <f t="shared" ref="U257:U262" si="161">IF(T257="","",IF(I257=0,"",O257/I257))</f>
        <v>0</v>
      </c>
    </row>
    <row r="258" spans="3:21" x14ac:dyDescent="0.2">
      <c r="C258" s="1266" t="s">
        <v>890</v>
      </c>
      <c r="D258" s="1363">
        <f t="shared" si="152"/>
        <v>2013</v>
      </c>
      <c r="E258" s="1265"/>
      <c r="F258" s="1314" t="str">
        <f t="shared" si="153"/>
        <v>Actual</v>
      </c>
      <c r="G258" s="1311">
        <v>3090.9618508952203</v>
      </c>
      <c r="H258" s="2" t="str">
        <f t="shared" si="154"/>
        <v/>
      </c>
      <c r="I258" s="1328"/>
      <c r="K258" s="1282" t="str">
        <f t="shared" si="155"/>
        <v>Actual</v>
      </c>
      <c r="L258" s="1294"/>
      <c r="M258" s="1294"/>
      <c r="N258" s="1258" t="str">
        <f t="shared" si="156"/>
        <v/>
      </c>
      <c r="O258" s="1325"/>
      <c r="Q258" s="1385" t="str">
        <f t="shared" si="157"/>
        <v>Actual</v>
      </c>
      <c r="R258" s="1329">
        <f t="shared" si="158"/>
        <v>0</v>
      </c>
      <c r="S258" s="1309">
        <f t="shared" si="159"/>
        <v>0</v>
      </c>
      <c r="T258" s="1309" t="str">
        <f t="shared" si="160"/>
        <v/>
      </c>
      <c r="U258" s="1265" t="str">
        <f t="shared" si="161"/>
        <v/>
      </c>
    </row>
    <row r="259" spans="3:21" x14ac:dyDescent="0.2">
      <c r="C259" s="1266" t="s">
        <v>890</v>
      </c>
      <c r="D259" s="1363">
        <f t="shared" si="152"/>
        <v>2014</v>
      </c>
      <c r="E259" s="1265"/>
      <c r="F259" s="1314" t="str">
        <f t="shared" si="153"/>
        <v>Actual</v>
      </c>
      <c r="G259" s="1311">
        <v>1</v>
      </c>
      <c r="H259" s="2" t="str">
        <f t="shared" si="154"/>
        <v/>
      </c>
      <c r="I259" s="1324"/>
      <c r="K259" s="1282" t="str">
        <f t="shared" si="155"/>
        <v>Actual</v>
      </c>
      <c r="L259" s="1294"/>
      <c r="M259" s="1294"/>
      <c r="N259" s="1258" t="str">
        <f t="shared" si="156"/>
        <v/>
      </c>
      <c r="O259" s="1324"/>
      <c r="Q259" s="1385" t="str">
        <f t="shared" si="157"/>
        <v>Actual</v>
      </c>
      <c r="R259" s="1329">
        <f t="shared" si="158"/>
        <v>0</v>
      </c>
      <c r="S259" s="1309">
        <f t="shared" si="159"/>
        <v>0</v>
      </c>
      <c r="T259" s="1309" t="str">
        <f t="shared" si="160"/>
        <v/>
      </c>
      <c r="U259" s="1265" t="str">
        <f t="shared" si="161"/>
        <v/>
      </c>
    </row>
    <row r="260" spans="3:21" x14ac:dyDescent="0.2">
      <c r="C260" s="1266" t="s">
        <v>890</v>
      </c>
      <c r="D260" s="1363">
        <f t="shared" si="152"/>
        <v>2015</v>
      </c>
      <c r="E260" s="1265"/>
      <c r="F260" s="1314" t="str">
        <f t="shared" si="153"/>
        <v>Actual</v>
      </c>
      <c r="G260" s="1311">
        <v>2811.76</v>
      </c>
      <c r="H260" s="2" t="str">
        <f t="shared" si="154"/>
        <v/>
      </c>
      <c r="I260" s="1324"/>
      <c r="K260" s="1282" t="str">
        <f t="shared" si="155"/>
        <v>Actual</v>
      </c>
      <c r="L260" s="1294"/>
      <c r="M260" s="1294"/>
      <c r="N260" s="1258" t="str">
        <f t="shared" si="156"/>
        <v/>
      </c>
      <c r="O260" s="1324"/>
      <c r="Q260" s="1385" t="str">
        <f t="shared" si="157"/>
        <v>Actual</v>
      </c>
      <c r="R260" s="1329">
        <f t="shared" si="158"/>
        <v>0</v>
      </c>
      <c r="S260" s="1309">
        <f t="shared" si="159"/>
        <v>0</v>
      </c>
      <c r="T260" s="1309" t="str">
        <f t="shared" si="160"/>
        <v/>
      </c>
      <c r="U260" s="1265" t="str">
        <f t="shared" si="161"/>
        <v/>
      </c>
    </row>
    <row r="261" spans="3:21" x14ac:dyDescent="0.2">
      <c r="C261" s="1266" t="s">
        <v>1203</v>
      </c>
      <c r="D261" s="1363">
        <f t="shared" si="152"/>
        <v>2016</v>
      </c>
      <c r="E261" s="1265"/>
      <c r="F261" s="1314" t="str">
        <f t="shared" si="153"/>
        <v>Forecast</v>
      </c>
      <c r="G261" s="1311">
        <v>2882.7127071939685</v>
      </c>
      <c r="H261" s="2" t="str">
        <f t="shared" si="154"/>
        <v/>
      </c>
      <c r="I261" s="1324"/>
      <c r="K261" s="1282" t="str">
        <f t="shared" si="155"/>
        <v>Forecast</v>
      </c>
      <c r="L261" s="1303"/>
      <c r="M261" s="1334"/>
      <c r="N261" s="1258" t="str">
        <f t="shared" si="156"/>
        <v/>
      </c>
      <c r="O261" s="1324"/>
      <c r="Q261" s="1385" t="str">
        <f t="shared" si="157"/>
        <v>Forecast</v>
      </c>
      <c r="R261" s="1329">
        <f t="shared" si="158"/>
        <v>0</v>
      </c>
      <c r="S261" s="1309">
        <f t="shared" si="159"/>
        <v>0</v>
      </c>
      <c r="T261" s="1309" t="str">
        <f t="shared" si="160"/>
        <v/>
      </c>
      <c r="U261" s="1265" t="str">
        <f t="shared" si="161"/>
        <v/>
      </c>
    </row>
    <row r="262" spans="3:21" ht="13.5" thickBot="1" x14ac:dyDescent="0.25">
      <c r="C262" s="1267" t="s">
        <v>1204</v>
      </c>
      <c r="D262" s="1364">
        <f>TestYear</f>
        <v>2017</v>
      </c>
      <c r="E262" s="1271"/>
      <c r="F262" s="1315" t="str">
        <f t="shared" si="153"/>
        <v>Forecast</v>
      </c>
      <c r="G262" s="1312">
        <v>4435.0145771481475</v>
      </c>
      <c r="H262" s="1307" t="str">
        <f t="shared" si="154"/>
        <v/>
      </c>
      <c r="I262" s="1326"/>
      <c r="K262" s="1283" t="str">
        <f t="shared" si="155"/>
        <v>Forecast</v>
      </c>
      <c r="L262" s="1304"/>
      <c r="M262" s="1335"/>
      <c r="N262" s="1262" t="str">
        <f t="shared" si="156"/>
        <v/>
      </c>
      <c r="O262" s="1326"/>
      <c r="Q262" s="1319" t="str">
        <f t="shared" si="157"/>
        <v>Forecast</v>
      </c>
      <c r="R262" s="1310">
        <f t="shared" si="158"/>
        <v>0</v>
      </c>
      <c r="S262" s="1310">
        <f t="shared" si="159"/>
        <v>0</v>
      </c>
      <c r="T262" s="1310" t="str">
        <f t="shared" si="160"/>
        <v/>
      </c>
      <c r="U262" s="1271" t="str">
        <f t="shared" si="161"/>
        <v/>
      </c>
    </row>
    <row r="263" spans="3:21" ht="13.5" thickBot="1" x14ac:dyDescent="0.25">
      <c r="C263" s="1366"/>
      <c r="I263" s="1408">
        <f>SUM(I256:I261)</f>
        <v>2570.1552505609129</v>
      </c>
      <c r="J263" s="1329"/>
      <c r="O263" s="1408">
        <f>SUM(O256:O261)</f>
        <v>0</v>
      </c>
      <c r="U263" s="1408">
        <f>SUM(U256:U261)</f>
        <v>0</v>
      </c>
    </row>
    <row r="264" spans="3:21" ht="39" thickBot="1" x14ac:dyDescent="0.25">
      <c r="C264" s="1400" t="s">
        <v>952</v>
      </c>
      <c r="D264" s="1399" t="s">
        <v>15</v>
      </c>
      <c r="E264" s="1435"/>
      <c r="F264" s="1435"/>
      <c r="G264" s="1435" t="s">
        <v>1222</v>
      </c>
      <c r="H264" s="1435"/>
      <c r="I264" s="1394" t="str">
        <f>I243</f>
        <v>Test Year Versus Board-approved</v>
      </c>
      <c r="J264" s="1407"/>
      <c r="K264" s="1395" t="s">
        <v>15</v>
      </c>
      <c r="L264" s="1874" t="s">
        <v>1222</v>
      </c>
      <c r="M264" s="1874"/>
      <c r="N264" s="1435"/>
      <c r="O264" s="1394" t="str">
        <f>I264</f>
        <v>Test Year Versus Board-approved</v>
      </c>
      <c r="P264" s="1380"/>
      <c r="Q264" s="1395" t="s">
        <v>15</v>
      </c>
      <c r="R264" s="1874" t="s">
        <v>1222</v>
      </c>
      <c r="S264" s="1874"/>
      <c r="T264" s="1435"/>
      <c r="U264" s="1394" t="str">
        <f>O264</f>
        <v>Test Year Versus Board-approved</v>
      </c>
    </row>
    <row r="265" spans="3:21" x14ac:dyDescent="0.2">
      <c r="C265" s="1265"/>
      <c r="D265" s="1402">
        <f t="shared" ref="D265:D271" si="162">D256</f>
        <v>2011</v>
      </c>
      <c r="E265" s="1345"/>
      <c r="F265" s="1329"/>
      <c r="G265" s="1372"/>
      <c r="H265" s="1329"/>
      <c r="I265" s="1378"/>
      <c r="J265" s="1265"/>
      <c r="K265" s="1363">
        <f>D265</f>
        <v>2011</v>
      </c>
      <c r="L265" s="1351"/>
      <c r="M265" s="1351"/>
      <c r="N265" s="1329"/>
      <c r="O265" s="1381"/>
      <c r="P265" s="1265"/>
      <c r="Q265" s="1363">
        <f>K265</f>
        <v>2011</v>
      </c>
      <c r="R265" s="1330"/>
      <c r="S265" s="1330"/>
      <c r="T265" s="1329"/>
      <c r="U265" s="1324"/>
    </row>
    <row r="266" spans="3:21" x14ac:dyDescent="0.2">
      <c r="C266" s="1265"/>
      <c r="D266" s="1365">
        <f t="shared" si="162"/>
        <v>2012</v>
      </c>
      <c r="E266" s="1329"/>
      <c r="F266" s="1329"/>
      <c r="G266" s="1373">
        <f t="shared" ref="G266:G271" si="163">IF(G256=0,"",G257/G256-1)</f>
        <v>0.49659201557935728</v>
      </c>
      <c r="H266" s="1329"/>
      <c r="I266" s="1378"/>
      <c r="J266" s="1265"/>
      <c r="K266" s="1363">
        <f t="shared" ref="K266:K272" si="164">D266</f>
        <v>2012</v>
      </c>
      <c r="L266" s="1353" t="str">
        <f t="shared" ref="L266:M269" si="165">IF(L256=0,"",L257/L256-1)</f>
        <v/>
      </c>
      <c r="M266" s="1353" t="str">
        <f t="shared" si="165"/>
        <v/>
      </c>
      <c r="N266" s="1329"/>
      <c r="O266" s="1381"/>
      <c r="P266" s="1265"/>
      <c r="Q266" s="1363">
        <f t="shared" ref="Q266:Q272" si="166">K266</f>
        <v>2012</v>
      </c>
      <c r="R266" s="1374" t="str">
        <f t="shared" ref="R266:S269" si="167">IF(R256="","",IF(R256=0,"",R257/R256-1))</f>
        <v/>
      </c>
      <c r="S266" s="1374" t="str">
        <f t="shared" si="167"/>
        <v/>
      </c>
      <c r="T266" s="1329"/>
      <c r="U266" s="1324"/>
    </row>
    <row r="267" spans="3:21" x14ac:dyDescent="0.2">
      <c r="C267" s="1265"/>
      <c r="D267" s="1401">
        <f t="shared" si="162"/>
        <v>2013</v>
      </c>
      <c r="E267" s="1329"/>
      <c r="F267" s="1329"/>
      <c r="G267" s="1373">
        <f t="shared" si="163"/>
        <v>5.5178434922642516E-3</v>
      </c>
      <c r="H267" s="1329"/>
      <c r="I267" s="1378"/>
      <c r="J267" s="1265"/>
      <c r="K267" s="1363">
        <f t="shared" si="164"/>
        <v>2013</v>
      </c>
      <c r="L267" s="1353" t="str">
        <f t="shared" si="165"/>
        <v/>
      </c>
      <c r="M267" s="1353" t="str">
        <f t="shared" si="165"/>
        <v/>
      </c>
      <c r="N267" s="1329"/>
      <c r="O267" s="1381"/>
      <c r="P267" s="1265"/>
      <c r="Q267" s="1363">
        <f t="shared" si="166"/>
        <v>2013</v>
      </c>
      <c r="R267" s="1374" t="str">
        <f t="shared" si="167"/>
        <v/>
      </c>
      <c r="S267" s="1374" t="str">
        <f t="shared" si="167"/>
        <v/>
      </c>
      <c r="T267" s="1329"/>
      <c r="U267" s="1324"/>
    </row>
    <row r="268" spans="3:21" x14ac:dyDescent="0.2">
      <c r="C268" s="1265"/>
      <c r="D268" s="1365">
        <f t="shared" si="162"/>
        <v>2014</v>
      </c>
      <c r="E268" s="1329"/>
      <c r="F268" s="1329"/>
      <c r="G268" s="1373">
        <f t="shared" si="163"/>
        <v>-0.99967647611059629</v>
      </c>
      <c r="H268" s="1329"/>
      <c r="I268" s="1378"/>
      <c r="J268" s="1265"/>
      <c r="K268" s="1363">
        <f t="shared" si="164"/>
        <v>2014</v>
      </c>
      <c r="L268" s="1353" t="str">
        <f t="shared" si="165"/>
        <v/>
      </c>
      <c r="M268" s="1353" t="str">
        <f t="shared" si="165"/>
        <v/>
      </c>
      <c r="N268" s="1329"/>
      <c r="O268" s="1381"/>
      <c r="P268" s="1265"/>
      <c r="Q268" s="1363">
        <f t="shared" si="166"/>
        <v>2014</v>
      </c>
      <c r="R268" s="1374" t="str">
        <f t="shared" si="167"/>
        <v/>
      </c>
      <c r="S268" s="1374" t="str">
        <f t="shared" si="167"/>
        <v/>
      </c>
      <c r="T268" s="1329"/>
      <c r="U268" s="1324"/>
    </row>
    <row r="269" spans="3:21" x14ac:dyDescent="0.2">
      <c r="C269" s="1265"/>
      <c r="D269" s="1365">
        <f t="shared" si="162"/>
        <v>2015</v>
      </c>
      <c r="E269" s="1329"/>
      <c r="F269" s="1329"/>
      <c r="G269" s="1373">
        <f t="shared" si="163"/>
        <v>2810.76</v>
      </c>
      <c r="H269" s="1329"/>
      <c r="I269" s="1378"/>
      <c r="J269" s="1265"/>
      <c r="K269" s="1363">
        <f t="shared" si="164"/>
        <v>2015</v>
      </c>
      <c r="L269" s="1353" t="str">
        <f t="shared" si="165"/>
        <v/>
      </c>
      <c r="M269" s="1353" t="str">
        <f t="shared" si="165"/>
        <v/>
      </c>
      <c r="N269" s="1329"/>
      <c r="O269" s="1381"/>
      <c r="P269" s="1265"/>
      <c r="Q269" s="1363">
        <f t="shared" si="166"/>
        <v>2015</v>
      </c>
      <c r="R269" s="1374" t="str">
        <f t="shared" si="167"/>
        <v/>
      </c>
      <c r="S269" s="1374" t="str">
        <f t="shared" si="167"/>
        <v/>
      </c>
      <c r="T269" s="1329"/>
      <c r="U269" s="1324"/>
    </row>
    <row r="270" spans="3:21" x14ac:dyDescent="0.2">
      <c r="C270" s="1265"/>
      <c r="D270" s="1365">
        <f t="shared" si="162"/>
        <v>2016</v>
      </c>
      <c r="E270" s="1329"/>
      <c r="F270" s="1329"/>
      <c r="G270" s="1373">
        <f t="shared" si="163"/>
        <v>2.5234268640982327E-2</v>
      </c>
      <c r="H270" s="1329"/>
      <c r="I270" s="1378"/>
      <c r="J270" s="1265"/>
      <c r="K270" s="1363">
        <f t="shared" si="164"/>
        <v>2016</v>
      </c>
      <c r="L270" s="1353" t="str">
        <f>IF(K261="Forecast","",IF(L260=0,"",L261/L260-1))</f>
        <v/>
      </c>
      <c r="M270" s="1353" t="str">
        <f>IF(M260=0,"",M261/M260-1)</f>
        <v/>
      </c>
      <c r="N270" s="1329"/>
      <c r="O270" s="1381"/>
      <c r="P270" s="1265"/>
      <c r="Q270" s="1363">
        <f t="shared" si="166"/>
        <v>2016</v>
      </c>
      <c r="R270" s="1374" t="str">
        <f>IF(Q261="Forecast","",IF(R260=0,"",R261/R260-1))</f>
        <v/>
      </c>
      <c r="S270" s="1374" t="str">
        <f>IF(S260="","",IF(S260=0,"",S261/S260-1))</f>
        <v/>
      </c>
      <c r="T270" s="1329"/>
      <c r="U270" s="1324"/>
    </row>
    <row r="271" spans="3:21" x14ac:dyDescent="0.2">
      <c r="C271" s="1265"/>
      <c r="D271" s="1401">
        <f t="shared" si="162"/>
        <v>2017</v>
      </c>
      <c r="E271" s="1329"/>
      <c r="F271" s="1329"/>
      <c r="G271" s="1373">
        <f t="shared" si="163"/>
        <v>0.53848649783251878</v>
      </c>
      <c r="H271" s="1329"/>
      <c r="I271" s="1379">
        <f>IF(I263=0,"",G262/I263-1)</f>
        <v>0.72558236557120281</v>
      </c>
      <c r="J271" s="1265"/>
      <c r="K271" s="1363">
        <f t="shared" si="164"/>
        <v>2017</v>
      </c>
      <c r="L271" s="1353" t="str">
        <f>IF(K262="Forecast","",IF(L261=0,"",L262/L261-1))</f>
        <v/>
      </c>
      <c r="M271" s="1353" t="str">
        <f>IF(M261=0,"",M262/M261-1)</f>
        <v/>
      </c>
      <c r="N271" s="1329"/>
      <c r="O271" s="1382" t="str">
        <f>IF(O263=0,"",M262/O263-1)</f>
        <v/>
      </c>
      <c r="P271" s="1265"/>
      <c r="Q271" s="1363">
        <f t="shared" si="166"/>
        <v>2017</v>
      </c>
      <c r="R271" s="1374" t="str">
        <f>IF(Q262="Forecast","",IF(R261=0,"",R262/R261-1))</f>
        <v/>
      </c>
      <c r="S271" s="1374" t="str">
        <f>IF(S261="","",IF(S261=0,"",S262/S261-1))</f>
        <v/>
      </c>
      <c r="T271" s="1329"/>
      <c r="U271" s="1354" t="str">
        <f>IF(U263=0,"",S262/U263-1)</f>
        <v/>
      </c>
    </row>
    <row r="272" spans="3:21" ht="26.25" thickBot="1" x14ac:dyDescent="0.25">
      <c r="C272" s="1271"/>
      <c r="D272" s="1405" t="s">
        <v>1221</v>
      </c>
      <c r="E272" s="1355"/>
      <c r="F272" s="1355"/>
      <c r="G272" s="1375">
        <f>IF(G256=0,"",(G262/G256)^(1/($D262-$D256-1))-1)</f>
        <v>0.16643064866639268</v>
      </c>
      <c r="H272" s="1355"/>
      <c r="I272" s="1371">
        <f>IF(I263=0,"",(G262/I263)^(1/(TestYear-RebaseYear-1))-1)</f>
        <v>0.14613011378796403</v>
      </c>
      <c r="J272" s="1265"/>
      <c r="K272" s="1404" t="str">
        <f t="shared" si="164"/>
        <v>Geometric Mean</v>
      </c>
      <c r="L272" s="1358" t="str">
        <f>IF(L256=0,"",(L260/L256)^(1/($D260-$D256-1))-1)</f>
        <v/>
      </c>
      <c r="M272" s="1358" t="str">
        <f>IF(M256=0,"",(M262/M256)^(1/($D262-$D256-1))-1)</f>
        <v/>
      </c>
      <c r="N272" s="1355"/>
      <c r="O272" s="1371" t="str">
        <f>IF(O263=0,"",(M262/O263)^(1/(TestYear-RebaseYear-1))-1)</f>
        <v/>
      </c>
      <c r="P272" s="1271"/>
      <c r="Q272" s="1404" t="str">
        <f t="shared" si="166"/>
        <v>Geometric Mean</v>
      </c>
      <c r="R272" s="1376" t="str">
        <f>IF(R256="","",IF(R256=0,"",(R260/R256)^(1/($D260-$D256-1))-1))</f>
        <v/>
      </c>
      <c r="S272" s="1358" t="str">
        <f>IF(S256="","",IF(S256=0,"",(S262/S256)^(1/($D262-$D256-1))-1))</f>
        <v/>
      </c>
      <c r="T272" s="1355"/>
      <c r="U272" s="1371" t="str">
        <f>IF(U263=0,"",(S262/U263)^(1/(TestYear-RebaseYear-1))-1)</f>
        <v/>
      </c>
    </row>
    <row r="273" spans="2:22" ht="13.5" thickBot="1" x14ac:dyDescent="0.25"/>
    <row r="274" spans="2:22" ht="13.5" thickBot="1" x14ac:dyDescent="0.25">
      <c r="B274" s="1318">
        <f>B231+1</f>
        <v>6</v>
      </c>
      <c r="C274" s="3" t="s">
        <v>14</v>
      </c>
      <c r="D274" s="1880" t="s">
        <v>1451</v>
      </c>
      <c r="E274" s="1881"/>
      <c r="F274" s="1882"/>
      <c r="G274" s="1291"/>
      <c r="H274" s="13" t="s">
        <v>1224</v>
      </c>
      <c r="N274" s="1317" t="s">
        <v>75</v>
      </c>
      <c r="O274" s="1316"/>
      <c r="P274" s="1316"/>
      <c r="Q274" s="1316"/>
      <c r="R274" s="1316"/>
      <c r="S274" s="1316"/>
      <c r="T274" s="1316"/>
      <c r="U274" s="1316"/>
    </row>
    <row r="275" spans="2:22" ht="13.5" thickBot="1" x14ac:dyDescent="0.25">
      <c r="Q275" s="1355"/>
      <c r="R275" s="1355"/>
      <c r="S275" s="1355"/>
      <c r="T275" s="1355"/>
      <c r="U275" s="1355"/>
    </row>
    <row r="276" spans="2:22" x14ac:dyDescent="0.2">
      <c r="C276" s="1264"/>
      <c r="D276" s="1268" t="s">
        <v>1205</v>
      </c>
      <c r="E276" s="1268"/>
      <c r="F276" s="1883" t="s">
        <v>1034</v>
      </c>
      <c r="G276" s="1884"/>
      <c r="H276" s="1884"/>
      <c r="I276" s="1885"/>
      <c r="J276" s="1268"/>
      <c r="K276" s="1859" t="s">
        <v>1213</v>
      </c>
      <c r="L276" s="1860"/>
      <c r="M276" s="1860"/>
      <c r="N276" s="1860"/>
      <c r="O276" s="1861"/>
      <c r="P276" s="1287"/>
      <c r="Q276" s="1869" t="str">
        <f>CONCATENATE("Consumption (kWh) per ",LEFT(F276,LEN(F276)-1))</f>
        <v>Consumption (kWh) per Customer</v>
      </c>
      <c r="R276" s="1879"/>
      <c r="S276" s="1879"/>
      <c r="T276" s="1879"/>
      <c r="U276" s="1870"/>
      <c r="V276" s="1308"/>
    </row>
    <row r="277" spans="2:22" ht="39" thickBot="1" x14ac:dyDescent="0.25">
      <c r="C277" s="1271"/>
      <c r="D277" s="1277" t="str">
        <f>CONCATENATE("(for ",TestYear," Cost of Service")</f>
        <v>(for 2017 Cost of Service</v>
      </c>
      <c r="E277" s="1266"/>
      <c r="F277" s="1872"/>
      <c r="G277" s="1873"/>
      <c r="H277" s="1875"/>
      <c r="I277" s="1296"/>
      <c r="J277" s="1266"/>
      <c r="K277" s="1284"/>
      <c r="L277" s="1433" t="s">
        <v>1226</v>
      </c>
      <c r="M277" s="1433" t="s">
        <v>1210</v>
      </c>
      <c r="N277" s="1305"/>
      <c r="O277" s="1306" t="s">
        <v>1210</v>
      </c>
      <c r="P277" s="1266"/>
      <c r="Q277" s="1389"/>
      <c r="R277" s="1390" t="str">
        <f>L277</f>
        <v>Actual (Weather actual)</v>
      </c>
      <c r="S277" s="1391" t="str">
        <f>M277</f>
        <v>Weather-normalized</v>
      </c>
      <c r="T277" s="1391"/>
      <c r="U277" s="1392" t="str">
        <f>O277</f>
        <v>Weather-normalized</v>
      </c>
      <c r="V277" s="1308"/>
    </row>
    <row r="278" spans="2:22" x14ac:dyDescent="0.2">
      <c r="C278" s="1266" t="s">
        <v>890</v>
      </c>
      <c r="D278" s="1363">
        <f t="shared" ref="D278:D283" si="168">D279-1</f>
        <v>2011</v>
      </c>
      <c r="E278" s="1265"/>
      <c r="F278" s="1313" t="str">
        <f>F235</f>
        <v>Actual</v>
      </c>
      <c r="G278" s="1301">
        <v>7</v>
      </c>
      <c r="H278" s="1297" t="str">
        <f t="shared" ref="H278:H284" si="169">IF(D278=RebaseYear,"Board-approved","")</f>
        <v/>
      </c>
      <c r="I278" s="1324"/>
      <c r="J278" s="1265"/>
      <c r="K278" s="1282" t="str">
        <f>F278</f>
        <v>Actual</v>
      </c>
      <c r="L278" s="1301">
        <v>5962</v>
      </c>
      <c r="M278" s="1301">
        <v>5885.043450169389</v>
      </c>
      <c r="N278" s="1297" t="str">
        <f>H278</f>
        <v/>
      </c>
      <c r="O278" s="1492"/>
      <c r="P278" s="1265"/>
      <c r="Q278" s="1385" t="str">
        <f>K278</f>
        <v>Actual</v>
      </c>
      <c r="R278" s="1497">
        <f>IF(G278=0,"",L278/G278)</f>
        <v>851.71428571428567</v>
      </c>
      <c r="S278" s="1497">
        <f>IF(G278=0,"",M278/G278)</f>
        <v>840.72049288134133</v>
      </c>
      <c r="T278" s="1329" t="str">
        <f>N278</f>
        <v/>
      </c>
      <c r="U278" s="1329" t="str">
        <f>IF(T278="","",IF(I278=0,"",O278/I278))</f>
        <v/>
      </c>
      <c r="V278" s="1309"/>
    </row>
    <row r="279" spans="2:22" x14ac:dyDescent="0.2">
      <c r="C279" s="1266" t="s">
        <v>890</v>
      </c>
      <c r="D279" s="1363">
        <f t="shared" si="168"/>
        <v>2012</v>
      </c>
      <c r="E279" s="1265"/>
      <c r="F279" s="1314" t="str">
        <f t="shared" ref="F279:F284" si="170">F236</f>
        <v>Actual</v>
      </c>
      <c r="G279" s="1301">
        <v>7</v>
      </c>
      <c r="H279" s="1297" t="str">
        <f t="shared" si="169"/>
        <v>Board-approved</v>
      </c>
      <c r="I279" s="1494">
        <v>7</v>
      </c>
      <c r="J279" s="1265"/>
      <c r="K279" s="1282" t="str">
        <f t="shared" ref="K279:K284" si="171">F279</f>
        <v>Actual</v>
      </c>
      <c r="L279" s="1301">
        <v>5962</v>
      </c>
      <c r="M279" s="1301">
        <v>5954.0652357390718</v>
      </c>
      <c r="N279" s="1297" t="str">
        <f t="shared" ref="N279:N284" si="172">H279</f>
        <v>Board-approved</v>
      </c>
      <c r="O279" s="1493">
        <v>5564.2966477781893</v>
      </c>
      <c r="P279" s="1265"/>
      <c r="Q279" s="1385" t="str">
        <f t="shared" ref="Q279:Q284" si="173">K279</f>
        <v>Actual</v>
      </c>
      <c r="R279" s="1497">
        <f t="shared" ref="R279:R284" si="174">IF(G279=0,"",L279/G279)</f>
        <v>851.71428571428567</v>
      </c>
      <c r="S279" s="1497">
        <f t="shared" ref="S279:S284" si="175">IF(G279=0,"",M279/G279)</f>
        <v>850.58074796272456</v>
      </c>
      <c r="T279" s="1329" t="str">
        <f t="shared" ref="T279:T284" si="176">N279</f>
        <v>Board-approved</v>
      </c>
      <c r="U279" s="1497">
        <f t="shared" ref="U279:U284" si="177">IF(T279="","",IF(I279=0,"",O279/I279))</f>
        <v>794.89952111116986</v>
      </c>
      <c r="V279" s="1309"/>
    </row>
    <row r="280" spans="2:22" x14ac:dyDescent="0.2">
      <c r="C280" s="1266" t="s">
        <v>890</v>
      </c>
      <c r="D280" s="1363">
        <f t="shared" si="168"/>
        <v>2013</v>
      </c>
      <c r="E280" s="1265"/>
      <c r="F280" s="1314" t="str">
        <f t="shared" si="170"/>
        <v>Actual</v>
      </c>
      <c r="G280" s="1301">
        <v>7</v>
      </c>
      <c r="H280" s="1297" t="str">
        <f t="shared" si="169"/>
        <v/>
      </c>
      <c r="I280" s="1325"/>
      <c r="J280" s="1265"/>
      <c r="K280" s="1282" t="str">
        <f t="shared" si="171"/>
        <v>Actual</v>
      </c>
      <c r="L280" s="1301">
        <v>5962</v>
      </c>
      <c r="M280" s="1301">
        <v>5981.9706165812586</v>
      </c>
      <c r="N280" s="1297" t="str">
        <f t="shared" si="172"/>
        <v/>
      </c>
      <c r="O280" s="1325"/>
      <c r="P280" s="1265"/>
      <c r="Q280" s="1385" t="str">
        <f t="shared" si="173"/>
        <v>Actual</v>
      </c>
      <c r="R280" s="1495">
        <f t="shared" si="174"/>
        <v>851.71428571428567</v>
      </c>
      <c r="S280" s="1497">
        <f t="shared" si="175"/>
        <v>854.5672309401798</v>
      </c>
      <c r="T280" s="1329" t="str">
        <f t="shared" si="176"/>
        <v/>
      </c>
      <c r="U280" s="1329" t="str">
        <f t="shared" si="177"/>
        <v/>
      </c>
      <c r="V280" s="1309"/>
    </row>
    <row r="281" spans="2:22" x14ac:dyDescent="0.2">
      <c r="C281" s="1266" t="s">
        <v>890</v>
      </c>
      <c r="D281" s="1363">
        <f t="shared" si="168"/>
        <v>2014</v>
      </c>
      <c r="E281" s="1265"/>
      <c r="F281" s="1314" t="str">
        <f t="shared" si="170"/>
        <v>Actual</v>
      </c>
      <c r="G281" s="1301">
        <v>7</v>
      </c>
      <c r="H281" s="1297" t="str">
        <f t="shared" si="169"/>
        <v/>
      </c>
      <c r="I281" s="1324"/>
      <c r="J281" s="1265"/>
      <c r="K281" s="1282" t="str">
        <f t="shared" si="171"/>
        <v>Actual</v>
      </c>
      <c r="L281" s="1301">
        <v>5962</v>
      </c>
      <c r="M281" s="1301">
        <v>5983.7760623112354</v>
      </c>
      <c r="N281" s="1297" t="str">
        <f t="shared" si="172"/>
        <v/>
      </c>
      <c r="O281" s="1324"/>
      <c r="P281" s="1265"/>
      <c r="Q281" s="1385" t="str">
        <f t="shared" si="173"/>
        <v>Actual</v>
      </c>
      <c r="R281" s="1495">
        <f t="shared" si="174"/>
        <v>851.71428571428567</v>
      </c>
      <c r="S281" s="1497">
        <f t="shared" si="175"/>
        <v>854.82515175874789</v>
      </c>
      <c r="T281" s="1329" t="str">
        <f t="shared" si="176"/>
        <v/>
      </c>
      <c r="U281" s="1329" t="str">
        <f t="shared" si="177"/>
        <v/>
      </c>
      <c r="V281" s="1309"/>
    </row>
    <row r="282" spans="2:22" x14ac:dyDescent="0.2">
      <c r="C282" s="1266" t="s">
        <v>890</v>
      </c>
      <c r="D282" s="1363">
        <f t="shared" si="168"/>
        <v>2015</v>
      </c>
      <c r="E282" s="1265"/>
      <c r="F282" s="1314" t="str">
        <f t="shared" si="170"/>
        <v>Actual</v>
      </c>
      <c r="G282" s="1301">
        <v>7</v>
      </c>
      <c r="H282" s="1297" t="str">
        <f t="shared" si="169"/>
        <v/>
      </c>
      <c r="I282" s="1324"/>
      <c r="J282" s="1265"/>
      <c r="K282" s="1282" t="str">
        <f t="shared" si="171"/>
        <v>Actual</v>
      </c>
      <c r="L282" s="1301">
        <v>5962</v>
      </c>
      <c r="M282" s="1301">
        <v>6044.9714747603839</v>
      </c>
      <c r="N282" s="1297" t="str">
        <f t="shared" si="172"/>
        <v/>
      </c>
      <c r="O282" s="1324"/>
      <c r="P282" s="1265"/>
      <c r="Q282" s="1385" t="str">
        <f t="shared" si="173"/>
        <v>Actual</v>
      </c>
      <c r="R282" s="1495">
        <f t="shared" si="174"/>
        <v>851.71428571428567</v>
      </c>
      <c r="S282" s="1497">
        <f t="shared" si="175"/>
        <v>863.56735353719773</v>
      </c>
      <c r="T282" s="1329" t="str">
        <f t="shared" si="176"/>
        <v/>
      </c>
      <c r="U282" s="1329" t="str">
        <f t="shared" si="177"/>
        <v/>
      </c>
      <c r="V282" s="1309"/>
    </row>
    <row r="283" spans="2:22" x14ac:dyDescent="0.2">
      <c r="C283" s="1266" t="s">
        <v>313</v>
      </c>
      <c r="D283" s="1363">
        <f t="shared" si="168"/>
        <v>2016</v>
      </c>
      <c r="E283" s="1265"/>
      <c r="F283" s="1314" t="str">
        <f t="shared" si="170"/>
        <v>Forecast</v>
      </c>
      <c r="G283" s="1301">
        <v>7</v>
      </c>
      <c r="H283" s="1297" t="str">
        <f t="shared" si="169"/>
        <v/>
      </c>
      <c r="I283" s="1324"/>
      <c r="J283" s="1265"/>
      <c r="K283" s="1282" t="str">
        <f t="shared" si="171"/>
        <v>Forecast</v>
      </c>
      <c r="L283" s="1303"/>
      <c r="M283" s="1301">
        <v>5962</v>
      </c>
      <c r="N283" s="1297" t="str">
        <f t="shared" si="172"/>
        <v/>
      </c>
      <c r="O283" s="1324"/>
      <c r="P283" s="1265"/>
      <c r="Q283" s="1385" t="str">
        <f t="shared" si="173"/>
        <v>Forecast</v>
      </c>
      <c r="R283" s="1387">
        <f t="shared" si="174"/>
        <v>0</v>
      </c>
      <c r="S283" s="1497">
        <f t="shared" si="175"/>
        <v>851.71428571428567</v>
      </c>
      <c r="T283" s="1329" t="str">
        <f t="shared" si="176"/>
        <v/>
      </c>
      <c r="U283" s="1329" t="str">
        <f t="shared" si="177"/>
        <v/>
      </c>
      <c r="V283" s="1309"/>
    </row>
    <row r="284" spans="2:22" ht="13.5" thickBot="1" x14ac:dyDescent="0.25">
      <c r="C284" s="1267" t="s">
        <v>314</v>
      </c>
      <c r="D284" s="1364">
        <f>TestYear</f>
        <v>2017</v>
      </c>
      <c r="E284" s="1271"/>
      <c r="F284" s="1315" t="str">
        <f t="shared" si="170"/>
        <v>Forecast</v>
      </c>
      <c r="G284" s="1302">
        <v>7</v>
      </c>
      <c r="H284" s="1298" t="str">
        <f t="shared" si="169"/>
        <v/>
      </c>
      <c r="I284" s="1326"/>
      <c r="J284" s="1271"/>
      <c r="K284" s="1283" t="str">
        <f t="shared" si="171"/>
        <v>Forecast</v>
      </c>
      <c r="L284" s="1304"/>
      <c r="M284" s="1302">
        <v>5962</v>
      </c>
      <c r="N284" s="1298" t="str">
        <f t="shared" si="172"/>
        <v/>
      </c>
      <c r="O284" s="1326"/>
      <c r="P284" s="1271"/>
      <c r="Q284" s="1386" t="str">
        <f t="shared" si="173"/>
        <v>Forecast</v>
      </c>
      <c r="R284" s="1388">
        <f t="shared" si="174"/>
        <v>0</v>
      </c>
      <c r="S284" s="1498">
        <f t="shared" si="175"/>
        <v>851.71428571428567</v>
      </c>
      <c r="T284" s="1355" t="str">
        <f t="shared" si="176"/>
        <v/>
      </c>
      <c r="U284" s="1355" t="str">
        <f t="shared" si="177"/>
        <v/>
      </c>
      <c r="V284" s="1309"/>
    </row>
    <row r="285" spans="2:22" ht="13.5" thickBot="1" x14ac:dyDescent="0.25">
      <c r="B285" s="1329"/>
      <c r="C285" s="1366"/>
      <c r="I285" s="1408">
        <f>SUM(I278:I283)</f>
        <v>7</v>
      </c>
      <c r="O285" s="1408">
        <f>SUM(O278:O283)</f>
        <v>5564.2966477781893</v>
      </c>
      <c r="U285" s="1408">
        <f>SUM(U278:U283)</f>
        <v>794.89952111116986</v>
      </c>
    </row>
    <row r="286" spans="2:22" ht="39" thickBot="1" x14ac:dyDescent="0.25">
      <c r="C286" s="1400" t="s">
        <v>952</v>
      </c>
      <c r="D286" s="1399" t="s">
        <v>15</v>
      </c>
      <c r="E286" s="1361"/>
      <c r="F286" s="1361"/>
      <c r="G286" s="1435" t="s">
        <v>1222</v>
      </c>
      <c r="H286" s="1361"/>
      <c r="I286" s="1394" t="s">
        <v>1235</v>
      </c>
      <c r="J286" s="1396"/>
      <c r="K286" s="1395" t="s">
        <v>15</v>
      </c>
      <c r="L286" s="1874" t="s">
        <v>1222</v>
      </c>
      <c r="M286" s="1874"/>
      <c r="N286" s="1361"/>
      <c r="O286" s="1394" t="str">
        <f>I286</f>
        <v>Test Year Versus Board-approved</v>
      </c>
      <c r="P286" s="1397"/>
      <c r="Q286" s="1395" t="s">
        <v>15</v>
      </c>
      <c r="R286" s="1874" t="s">
        <v>1222</v>
      </c>
      <c r="S286" s="1874"/>
      <c r="T286" s="1361"/>
      <c r="U286" s="1394" t="str">
        <f>O286</f>
        <v>Test Year Versus Board-approved</v>
      </c>
    </row>
    <row r="287" spans="2:22" x14ac:dyDescent="0.2">
      <c r="C287" s="1265"/>
      <c r="D287" s="1377">
        <f t="shared" ref="D287:D293" si="178">D278</f>
        <v>2011</v>
      </c>
      <c r="E287" s="1329"/>
      <c r="F287" s="1329"/>
      <c r="G287" s="1372"/>
      <c r="H287" s="1329"/>
      <c r="I287" s="1378"/>
      <c r="J287" s="1384"/>
      <c r="K287" s="1363">
        <f>D287</f>
        <v>2011</v>
      </c>
      <c r="L287" s="1351"/>
      <c r="M287" s="1351"/>
      <c r="N287" s="1329"/>
      <c r="O287" s="1324"/>
      <c r="P287" s="1265"/>
      <c r="Q287" s="1363">
        <f>K287</f>
        <v>2011</v>
      </c>
      <c r="R287" s="1330"/>
      <c r="S287" s="1330"/>
      <c r="T287" s="1329"/>
      <c r="U287" s="1324"/>
    </row>
    <row r="288" spans="2:22" x14ac:dyDescent="0.2">
      <c r="C288" s="1265"/>
      <c r="D288" s="1365">
        <f t="shared" si="178"/>
        <v>2012</v>
      </c>
      <c r="E288" s="1329"/>
      <c r="F288" s="1329"/>
      <c r="G288" s="1373">
        <f t="shared" ref="G288:G293" si="179">IF(G278=0,"",G279/G278-1)</f>
        <v>0</v>
      </c>
      <c r="H288" s="1329"/>
      <c r="I288" s="1378"/>
      <c r="J288" s="1384"/>
      <c r="K288" s="1363">
        <f t="shared" ref="K288:K294" si="180">D288</f>
        <v>2012</v>
      </c>
      <c r="L288" s="1353">
        <f t="shared" ref="L288:M291" si="181">IF(L278=0,"",L279/L278-1)</f>
        <v>0</v>
      </c>
      <c r="M288" s="1353">
        <f t="shared" si="181"/>
        <v>1.1728339162508039E-2</v>
      </c>
      <c r="N288" s="1329"/>
      <c r="O288" s="1324"/>
      <c r="P288" s="1265"/>
      <c r="Q288" s="1363">
        <f t="shared" ref="Q288:Q294" si="182">K288</f>
        <v>2012</v>
      </c>
      <c r="R288" s="1374">
        <f t="shared" ref="R288:S291" si="183">IF(R278="","",IF(R278=0,"",R279/R278-1))</f>
        <v>0</v>
      </c>
      <c r="S288" s="1374">
        <f t="shared" si="183"/>
        <v>1.1728339162508039E-2</v>
      </c>
      <c r="T288" s="1329"/>
      <c r="U288" s="1324"/>
    </row>
    <row r="289" spans="3:21" x14ac:dyDescent="0.2">
      <c r="C289" s="1265"/>
      <c r="D289" s="1365">
        <f t="shared" si="178"/>
        <v>2013</v>
      </c>
      <c r="E289" s="1329"/>
      <c r="F289" s="1329"/>
      <c r="G289" s="1373">
        <f t="shared" si="179"/>
        <v>0</v>
      </c>
      <c r="H289" s="1329"/>
      <c r="I289" s="1378"/>
      <c r="J289" s="1384"/>
      <c r="K289" s="1363">
        <f t="shared" si="180"/>
        <v>2013</v>
      </c>
      <c r="L289" s="1353">
        <f t="shared" si="181"/>
        <v>0</v>
      </c>
      <c r="M289" s="1353">
        <f t="shared" si="181"/>
        <v>4.6867778126926662E-3</v>
      </c>
      <c r="N289" s="1329"/>
      <c r="O289" s="1324"/>
      <c r="P289" s="1265"/>
      <c r="Q289" s="1363">
        <f t="shared" si="182"/>
        <v>2013</v>
      </c>
      <c r="R289" s="1374">
        <f t="shared" si="183"/>
        <v>0</v>
      </c>
      <c r="S289" s="1374">
        <f t="shared" si="183"/>
        <v>4.6867778126926662E-3</v>
      </c>
      <c r="T289" s="1329"/>
      <c r="U289" s="1324"/>
    </row>
    <row r="290" spans="3:21" x14ac:dyDescent="0.2">
      <c r="C290" s="1265"/>
      <c r="D290" s="1365">
        <f t="shared" si="178"/>
        <v>2014</v>
      </c>
      <c r="E290" s="1329"/>
      <c r="F290" s="1329"/>
      <c r="G290" s="1373">
        <f t="shared" si="179"/>
        <v>0</v>
      </c>
      <c r="H290" s="1329"/>
      <c r="I290" s="1378"/>
      <c r="J290" s="1384"/>
      <c r="K290" s="1363">
        <f t="shared" si="180"/>
        <v>2014</v>
      </c>
      <c r="L290" s="1353">
        <f t="shared" si="181"/>
        <v>0</v>
      </c>
      <c r="M290" s="1353">
        <f t="shared" si="181"/>
        <v>3.0181454334998747E-4</v>
      </c>
      <c r="N290" s="1329"/>
      <c r="O290" s="1324"/>
      <c r="P290" s="1265"/>
      <c r="Q290" s="1363">
        <f t="shared" si="182"/>
        <v>2014</v>
      </c>
      <c r="R290" s="1374">
        <f t="shared" si="183"/>
        <v>0</v>
      </c>
      <c r="S290" s="1374">
        <f t="shared" si="183"/>
        <v>3.0181454334998747E-4</v>
      </c>
      <c r="T290" s="1329"/>
      <c r="U290" s="1324"/>
    </row>
    <row r="291" spans="3:21" x14ac:dyDescent="0.2">
      <c r="C291" s="1265"/>
      <c r="D291" s="1365">
        <f t="shared" si="178"/>
        <v>2015</v>
      </c>
      <c r="E291" s="1329"/>
      <c r="F291" s="1329"/>
      <c r="G291" s="1373">
        <f t="shared" si="179"/>
        <v>0</v>
      </c>
      <c r="H291" s="1329"/>
      <c r="I291" s="1378"/>
      <c r="J291" s="1384"/>
      <c r="K291" s="1363">
        <f t="shared" si="180"/>
        <v>2015</v>
      </c>
      <c r="L291" s="1353">
        <f t="shared" si="181"/>
        <v>0</v>
      </c>
      <c r="M291" s="1353">
        <f t="shared" si="181"/>
        <v>1.0226888809323542E-2</v>
      </c>
      <c r="N291" s="1329"/>
      <c r="O291" s="1324"/>
      <c r="P291" s="1265"/>
      <c r="Q291" s="1363">
        <f t="shared" si="182"/>
        <v>2015</v>
      </c>
      <c r="R291" s="1374">
        <f t="shared" si="183"/>
        <v>0</v>
      </c>
      <c r="S291" s="1374">
        <f t="shared" si="183"/>
        <v>1.0226888809323542E-2</v>
      </c>
      <c r="T291" s="1329"/>
      <c r="U291" s="1324"/>
    </row>
    <row r="292" spans="3:21" x14ac:dyDescent="0.2">
      <c r="C292" s="1265"/>
      <c r="D292" s="1365">
        <f t="shared" si="178"/>
        <v>2016</v>
      </c>
      <c r="E292" s="1329"/>
      <c r="F292" s="1329"/>
      <c r="G292" s="1373">
        <f t="shared" si="179"/>
        <v>0</v>
      </c>
      <c r="H292" s="1329"/>
      <c r="I292" s="1378"/>
      <c r="J292" s="1384"/>
      <c r="K292" s="1363">
        <f t="shared" si="180"/>
        <v>2016</v>
      </c>
      <c r="L292" s="1353" t="str">
        <f>IF(K283="Forecast","",IF(L282=0,"",L283/L282-1))</f>
        <v/>
      </c>
      <c r="M292" s="1353">
        <f>IF(M282=0,"",M283/M282-1)</f>
        <v>-1.3725701619406339E-2</v>
      </c>
      <c r="N292" s="1329"/>
      <c r="O292" s="1324"/>
      <c r="P292" s="1265"/>
      <c r="Q292" s="1363">
        <f t="shared" si="182"/>
        <v>2016</v>
      </c>
      <c r="R292" s="1374" t="str">
        <f>IF(Q283="Forecast","",IF(R282=0,"",R283/R282-1))</f>
        <v/>
      </c>
      <c r="S292" s="1374">
        <f>IF(S282="","",IF(S282=0,"",S283/S282-1))</f>
        <v>-1.372570161940645E-2</v>
      </c>
      <c r="T292" s="1329"/>
      <c r="U292" s="1324"/>
    </row>
    <row r="293" spans="3:21" x14ac:dyDescent="0.2">
      <c r="C293" s="1265"/>
      <c r="D293" s="1365">
        <f t="shared" si="178"/>
        <v>2017</v>
      </c>
      <c r="E293" s="1329"/>
      <c r="F293" s="1329"/>
      <c r="G293" s="1373">
        <f t="shared" si="179"/>
        <v>0</v>
      </c>
      <c r="H293" s="1329"/>
      <c r="I293" s="1379">
        <f>IF(I285=0,"",G284/I285-1)</f>
        <v>0</v>
      </c>
      <c r="J293" s="1384"/>
      <c r="K293" s="1363">
        <f t="shared" si="180"/>
        <v>2017</v>
      </c>
      <c r="L293" s="1353" t="str">
        <f>IF(K284="Forecast","",IF(L283=0,"",L284/L283-1))</f>
        <v/>
      </c>
      <c r="M293" s="1353">
        <f>IF(M283=0,"",M284/M283-1)</f>
        <v>0</v>
      </c>
      <c r="N293" s="1329"/>
      <c r="O293" s="1354">
        <f>IF(O285=0,"",M284/O285-1)</f>
        <v>7.1474146221268242E-2</v>
      </c>
      <c r="P293" s="1265"/>
      <c r="Q293" s="1363">
        <f t="shared" si="182"/>
        <v>2017</v>
      </c>
      <c r="R293" s="1374" t="str">
        <f>IF(Q284="Forecast","",IF(R283=0,"",R284/R283-1))</f>
        <v/>
      </c>
      <c r="S293" s="1374">
        <f>IF(S283="","",IF(S283=0,"",S284/S283-1))</f>
        <v>0</v>
      </c>
      <c r="T293" s="1329"/>
      <c r="U293" s="1354">
        <f>IF(U285=0,"",S284/U285-1)</f>
        <v>7.1474146221268242E-2</v>
      </c>
    </row>
    <row r="294" spans="3:21" ht="26.25" thickBot="1" x14ac:dyDescent="0.25">
      <c r="C294" s="1271"/>
      <c r="D294" s="1405" t="s">
        <v>1221</v>
      </c>
      <c r="E294" s="1355"/>
      <c r="F294" s="1355"/>
      <c r="G294" s="1375">
        <f>IF(G278=0,"",(G284/G278)^(1/($D284-$D278-1))-1)</f>
        <v>0</v>
      </c>
      <c r="H294" s="1355"/>
      <c r="I294" s="1406">
        <f>IF(I285=0,"",(G284/I285)^(1/(TestYear-RebaseYear-1))-1)</f>
        <v>0</v>
      </c>
      <c r="J294" s="1360"/>
      <c r="K294" s="1404" t="str">
        <f t="shared" si="180"/>
        <v>Geometric Mean</v>
      </c>
      <c r="L294" s="1358">
        <f>IF(L278=0,"",(L282/L278)^(1/($D282-$D278-1))-1)</f>
        <v>0</v>
      </c>
      <c r="M294" s="1358">
        <f>IF(M278=0,"",(M284/M278)^(1/($D284-$D278-1))-1)</f>
        <v>2.601752973081517E-3</v>
      </c>
      <c r="N294" s="1355"/>
      <c r="O294" s="1371">
        <f>IF(O285=0,"",(M284/O285)^(1/(TestYear-RebaseYear-1))-1)</f>
        <v>1.7408646265500982E-2</v>
      </c>
      <c r="P294" s="1271"/>
      <c r="Q294" s="1404" t="str">
        <f t="shared" si="182"/>
        <v>Geometric Mean</v>
      </c>
      <c r="R294" s="1376">
        <f>IF(R278="","",IF(R278=0,"",(R282/R278)^(1/($D282-$D278-1))-1))</f>
        <v>0</v>
      </c>
      <c r="S294" s="1358">
        <f>IF(S278="","",IF(S278=0,"",(S284/S278)^(1/($D284-$D278-1))-1))</f>
        <v>2.601752973081517E-3</v>
      </c>
      <c r="T294" s="1355"/>
      <c r="U294" s="1371">
        <f>IF(U285=0,"",(S284/U285)^(1/(TestYear-RebaseYear-1))-1)</f>
        <v>1.7408646265500982E-2</v>
      </c>
    </row>
    <row r="296" spans="3:21" ht="13.5" thickBot="1" x14ac:dyDescent="0.25">
      <c r="Q296" s="1355"/>
      <c r="R296" s="1355"/>
      <c r="S296" s="1355"/>
      <c r="T296" s="1355"/>
      <c r="U296" s="1355"/>
    </row>
    <row r="297" spans="3:21" x14ac:dyDescent="0.2">
      <c r="C297" s="1264"/>
      <c r="D297" s="1268" t="s">
        <v>1205</v>
      </c>
      <c r="E297" s="1268"/>
      <c r="F297" s="1876" t="s">
        <v>1198</v>
      </c>
      <c r="G297" s="1877"/>
      <c r="H297" s="1877"/>
      <c r="I297" s="1878"/>
      <c r="K297" s="1859" t="str">
        <f>IF(ISBLANK(N274),"",CONCATENATE("Demand (",N274,")"))</f>
        <v>Demand (kW)</v>
      </c>
      <c r="L297" s="1860"/>
      <c r="M297" s="1860"/>
      <c r="N297" s="1860"/>
      <c r="O297" s="1861"/>
      <c r="Q297" s="1869" t="str">
        <f>CONCATENATE("Demand (",N274,") per ",LEFT(F276,LEN(F276)-1))</f>
        <v>Demand (kW) per Customer</v>
      </c>
      <c r="R297" s="1879"/>
      <c r="S297" s="1879"/>
      <c r="T297" s="1879"/>
      <c r="U297" s="1870"/>
    </row>
    <row r="298" spans="3:21" ht="39" thickBot="1" x14ac:dyDescent="0.25">
      <c r="C298" s="1271"/>
      <c r="D298" s="1277" t="str">
        <f>CONCATENATE("(for ",TestYear," Cost of Service")</f>
        <v>(for 2017 Cost of Service</v>
      </c>
      <c r="E298" s="1266"/>
      <c r="F298" s="1872"/>
      <c r="G298" s="1873"/>
      <c r="H298" s="1873"/>
      <c r="I298" s="1296"/>
      <c r="K298" s="1284"/>
      <c r="L298" s="1433" t="s">
        <v>1226</v>
      </c>
      <c r="M298" s="1433" t="s">
        <v>1210</v>
      </c>
      <c r="N298" s="1305"/>
      <c r="O298" s="1306" t="str">
        <f>M298</f>
        <v>Weather-normalized</v>
      </c>
      <c r="Q298" s="1403"/>
      <c r="R298" s="1490" t="str">
        <f>L298</f>
        <v>Actual (Weather actual)</v>
      </c>
      <c r="S298" s="1490" t="str">
        <f>M298</f>
        <v>Weather-normalized</v>
      </c>
      <c r="T298" s="1490"/>
      <c r="U298" s="1491" t="str">
        <f>O298</f>
        <v>Weather-normalized</v>
      </c>
    </row>
    <row r="299" spans="3:21" x14ac:dyDescent="0.2">
      <c r="C299" s="1266" t="s">
        <v>890</v>
      </c>
      <c r="D299" s="1363">
        <f t="shared" ref="D299:D304" si="184">D300-1</f>
        <v>2011</v>
      </c>
      <c r="E299" s="1265"/>
      <c r="F299" s="1313" t="str">
        <f t="shared" ref="F299:F305" si="185">F278</f>
        <v>Actual</v>
      </c>
      <c r="G299" s="1311">
        <v>564</v>
      </c>
      <c r="H299" s="2" t="str">
        <f t="shared" ref="H299:H305" si="186">IF(D299=RebaseYear,"Board-approved","")</f>
        <v/>
      </c>
      <c r="I299" s="1383"/>
      <c r="K299" s="1282" t="str">
        <f t="shared" ref="K299:K305" si="187">K278</f>
        <v>Actual</v>
      </c>
      <c r="L299" s="1500">
        <v>14</v>
      </c>
      <c r="M299" s="1500">
        <v>13.819290221799974</v>
      </c>
      <c r="N299" s="1258" t="str">
        <f t="shared" ref="N299:N305" si="188">N278</f>
        <v/>
      </c>
      <c r="O299" s="1324"/>
      <c r="Q299" s="1507" t="str">
        <f>K299</f>
        <v>Actual</v>
      </c>
      <c r="R299" s="1508">
        <f>IF(G278=0,"",L299/G278)</f>
        <v>2</v>
      </c>
      <c r="S299" s="1508">
        <f>IF(G278=0,"",M299/G278)</f>
        <v>1.9741843173999964</v>
      </c>
      <c r="T299" s="1503" t="str">
        <f>N299</f>
        <v/>
      </c>
      <c r="U299" s="1504" t="str">
        <f>IF(T299="","",IF(I299=0,"",O299/I299))</f>
        <v/>
      </c>
    </row>
    <row r="300" spans="3:21" x14ac:dyDescent="0.2">
      <c r="C300" s="1266" t="s">
        <v>890</v>
      </c>
      <c r="D300" s="1363">
        <f t="shared" si="184"/>
        <v>2012</v>
      </c>
      <c r="E300" s="1265"/>
      <c r="F300" s="1314" t="str">
        <f t="shared" si="185"/>
        <v>Actual</v>
      </c>
      <c r="G300" s="1311">
        <v>381</v>
      </c>
      <c r="H300" s="2" t="str">
        <f t="shared" si="186"/>
        <v>Board-approved</v>
      </c>
      <c r="I300" s="1311">
        <v>248.30806107735791</v>
      </c>
      <c r="K300" s="1282" t="str">
        <f t="shared" si="187"/>
        <v>Actual</v>
      </c>
      <c r="L300" s="1500">
        <v>14</v>
      </c>
      <c r="M300" s="1500">
        <v>13.981367544506375</v>
      </c>
      <c r="N300" s="1258" t="str">
        <f t="shared" si="188"/>
        <v>Board-approved</v>
      </c>
      <c r="O300" s="1494">
        <v>15.091686685374189</v>
      </c>
      <c r="Q300" s="1496" t="str">
        <f t="shared" ref="Q300:Q305" si="189">K300</f>
        <v>Actual</v>
      </c>
      <c r="R300" s="1504">
        <f t="shared" ref="R300:R305" si="190">IF(G279=0,"",L300/G279)</f>
        <v>2</v>
      </c>
      <c r="S300" s="1504">
        <f t="shared" ref="S300:S305" si="191">IF(G279=0,"",M300/G279)</f>
        <v>1.9973382206437678</v>
      </c>
      <c r="T300" s="1503" t="str">
        <f t="shared" ref="T300:T305" si="192">N300</f>
        <v>Board-approved</v>
      </c>
      <c r="U300" s="1504">
        <f>IF(T279="","",IF(I300=0,"",O300/I279))</f>
        <v>2.1559552407677414</v>
      </c>
    </row>
    <row r="301" spans="3:21" x14ac:dyDescent="0.2">
      <c r="C301" s="1266" t="s">
        <v>890</v>
      </c>
      <c r="D301" s="1363">
        <f t="shared" si="184"/>
        <v>2013</v>
      </c>
      <c r="E301" s="1265"/>
      <c r="F301" s="1314" t="str">
        <f t="shared" si="185"/>
        <v>Actual</v>
      </c>
      <c r="G301" s="1311">
        <v>298.62427333616188</v>
      </c>
      <c r="H301" s="2" t="str">
        <f t="shared" si="186"/>
        <v/>
      </c>
      <c r="I301" s="1328"/>
      <c r="K301" s="1282" t="str">
        <f t="shared" si="187"/>
        <v>Actual</v>
      </c>
      <c r="L301" s="1500">
        <v>14</v>
      </c>
      <c r="M301" s="1500">
        <v>14.046895107705069</v>
      </c>
      <c r="N301" s="1258" t="str">
        <f t="shared" si="188"/>
        <v/>
      </c>
      <c r="O301" s="1325"/>
      <c r="Q301" s="1496" t="str">
        <f t="shared" si="189"/>
        <v>Actual</v>
      </c>
      <c r="R301" s="1504">
        <f t="shared" si="190"/>
        <v>2</v>
      </c>
      <c r="S301" s="1504">
        <f t="shared" si="191"/>
        <v>2.0066993011007241</v>
      </c>
      <c r="T301" s="1503" t="str">
        <f t="shared" si="192"/>
        <v/>
      </c>
      <c r="U301" s="1504" t="str">
        <f t="shared" ref="U301:U305" si="193">IF(T301="","",IF(I301=0,"",O301/I301))</f>
        <v/>
      </c>
    </row>
    <row r="302" spans="3:21" x14ac:dyDescent="0.2">
      <c r="C302" s="1266" t="s">
        <v>890</v>
      </c>
      <c r="D302" s="1363">
        <f t="shared" si="184"/>
        <v>2014</v>
      </c>
      <c r="E302" s="1265"/>
      <c r="F302" s="1314" t="str">
        <f t="shared" si="185"/>
        <v>Actual</v>
      </c>
      <c r="G302" s="1311">
        <v>298.11</v>
      </c>
      <c r="H302" s="2" t="str">
        <f t="shared" si="186"/>
        <v/>
      </c>
      <c r="I302" s="1324"/>
      <c r="K302" s="1282" t="str">
        <f t="shared" si="187"/>
        <v>Actual</v>
      </c>
      <c r="L302" s="1500">
        <v>14</v>
      </c>
      <c r="M302" s="1500">
        <v>14.051134664937488</v>
      </c>
      <c r="N302" s="1258" t="str">
        <f t="shared" si="188"/>
        <v/>
      </c>
      <c r="O302" s="1324"/>
      <c r="Q302" s="1496" t="str">
        <f t="shared" si="189"/>
        <v>Actual</v>
      </c>
      <c r="R302" s="1504">
        <f t="shared" si="190"/>
        <v>2</v>
      </c>
      <c r="S302" s="1504">
        <f t="shared" si="191"/>
        <v>2.0073049521339268</v>
      </c>
      <c r="T302" s="1503" t="str">
        <f t="shared" si="192"/>
        <v/>
      </c>
      <c r="U302" s="1504" t="str">
        <f t="shared" si="193"/>
        <v/>
      </c>
    </row>
    <row r="303" spans="3:21" x14ac:dyDescent="0.2">
      <c r="C303" s="1266" t="s">
        <v>890</v>
      </c>
      <c r="D303" s="1363">
        <f t="shared" si="184"/>
        <v>2015</v>
      </c>
      <c r="E303" s="1265"/>
      <c r="F303" s="1314" t="str">
        <f t="shared" si="185"/>
        <v>Actual</v>
      </c>
      <c r="G303" s="1311">
        <v>271.64999999999998</v>
      </c>
      <c r="H303" s="2" t="str">
        <f t="shared" si="186"/>
        <v/>
      </c>
      <c r="I303" s="1324"/>
      <c r="K303" s="1282" t="str">
        <f t="shared" si="187"/>
        <v>Actual</v>
      </c>
      <c r="L303" s="1500">
        <v>14</v>
      </c>
      <c r="M303" s="1500">
        <v>14.194834056800632</v>
      </c>
      <c r="N303" s="1258" t="str">
        <f t="shared" si="188"/>
        <v/>
      </c>
      <c r="O303" s="1324"/>
      <c r="Q303" s="1496" t="str">
        <f t="shared" si="189"/>
        <v>Actual</v>
      </c>
      <c r="R303" s="1504">
        <f t="shared" si="190"/>
        <v>2</v>
      </c>
      <c r="S303" s="1504">
        <f t="shared" si="191"/>
        <v>2.0278334366858046</v>
      </c>
      <c r="T303" s="1503" t="str">
        <f t="shared" si="192"/>
        <v/>
      </c>
      <c r="U303" s="1504" t="str">
        <f t="shared" si="193"/>
        <v/>
      </c>
    </row>
    <row r="304" spans="3:21" x14ac:dyDescent="0.2">
      <c r="C304" s="1266" t="s">
        <v>1203</v>
      </c>
      <c r="D304" s="1363">
        <f t="shared" si="184"/>
        <v>2016</v>
      </c>
      <c r="E304" s="1265"/>
      <c r="F304" s="1314" t="str">
        <f t="shared" si="185"/>
        <v>Forecast</v>
      </c>
      <c r="G304" s="1311">
        <v>345.37720000000002</v>
      </c>
      <c r="H304" s="2" t="str">
        <f t="shared" si="186"/>
        <v/>
      </c>
      <c r="I304" s="1324"/>
      <c r="K304" s="1282" t="str">
        <f t="shared" si="187"/>
        <v>Forecast</v>
      </c>
      <c r="L304" s="1303"/>
      <c r="M304" s="1500">
        <v>14</v>
      </c>
      <c r="N304" s="1258" t="str">
        <f t="shared" si="188"/>
        <v/>
      </c>
      <c r="O304" s="1324"/>
      <c r="Q304" s="1496" t="str">
        <f t="shared" si="189"/>
        <v>Forecast</v>
      </c>
      <c r="R304" s="1504">
        <f t="shared" si="190"/>
        <v>0</v>
      </c>
      <c r="S304" s="1504">
        <f t="shared" si="191"/>
        <v>2</v>
      </c>
      <c r="T304" s="1503" t="str">
        <f t="shared" si="192"/>
        <v/>
      </c>
      <c r="U304" s="1504" t="str">
        <f t="shared" si="193"/>
        <v/>
      </c>
    </row>
    <row r="305" spans="2:22" ht="13.5" thickBot="1" x14ac:dyDescent="0.25">
      <c r="C305" s="1267" t="s">
        <v>1204</v>
      </c>
      <c r="D305" s="1364">
        <f>TestYear</f>
        <v>2017</v>
      </c>
      <c r="E305" s="1271"/>
      <c r="F305" s="1315" t="str">
        <f t="shared" si="185"/>
        <v>Forecast</v>
      </c>
      <c r="G305" s="1312">
        <v>509.90936922293639</v>
      </c>
      <c r="H305" s="1307" t="str">
        <f t="shared" si="186"/>
        <v/>
      </c>
      <c r="I305" s="1326"/>
      <c r="K305" s="1283" t="str">
        <f t="shared" si="187"/>
        <v>Forecast</v>
      </c>
      <c r="L305" s="1304"/>
      <c r="M305" s="1509">
        <v>14</v>
      </c>
      <c r="N305" s="1262" t="str">
        <f t="shared" si="188"/>
        <v/>
      </c>
      <c r="O305" s="1326"/>
      <c r="Q305" s="1319" t="str">
        <f t="shared" si="189"/>
        <v>Forecast</v>
      </c>
      <c r="R305" s="1506">
        <f t="shared" si="190"/>
        <v>0</v>
      </c>
      <c r="S305" s="1506">
        <f t="shared" si="191"/>
        <v>2</v>
      </c>
      <c r="T305" s="1505" t="str">
        <f t="shared" si="192"/>
        <v/>
      </c>
      <c r="U305" s="1506" t="str">
        <f t="shared" si="193"/>
        <v/>
      </c>
    </row>
    <row r="306" spans="2:22" ht="13.5" thickBot="1" x14ac:dyDescent="0.25">
      <c r="C306" s="1366"/>
      <c r="I306" s="1408">
        <f>SUM(I299:I304)</f>
        <v>248.30806107735791</v>
      </c>
      <c r="J306" s="1329"/>
      <c r="O306" s="1408">
        <f>SUM(O299:O304)</f>
        <v>15.091686685374189</v>
      </c>
      <c r="U306" s="1408">
        <f>SUM(U299:U304)</f>
        <v>2.1559552407677414</v>
      </c>
    </row>
    <row r="307" spans="2:22" ht="39" thickBot="1" x14ac:dyDescent="0.25">
      <c r="C307" s="1400" t="s">
        <v>952</v>
      </c>
      <c r="D307" s="1399" t="s">
        <v>15</v>
      </c>
      <c r="E307" s="1435"/>
      <c r="F307" s="1435"/>
      <c r="G307" s="1435" t="s">
        <v>1222</v>
      </c>
      <c r="H307" s="1435"/>
      <c r="I307" s="1394" t="str">
        <f>I286</f>
        <v>Test Year Versus Board-approved</v>
      </c>
      <c r="J307" s="1407"/>
      <c r="K307" s="1395" t="s">
        <v>15</v>
      </c>
      <c r="L307" s="1874" t="s">
        <v>1222</v>
      </c>
      <c r="M307" s="1874"/>
      <c r="N307" s="1435"/>
      <c r="O307" s="1394" t="str">
        <f>I307</f>
        <v>Test Year Versus Board-approved</v>
      </c>
      <c r="P307" s="1380"/>
      <c r="Q307" s="1395" t="s">
        <v>15</v>
      </c>
      <c r="R307" s="1874" t="s">
        <v>1222</v>
      </c>
      <c r="S307" s="1874"/>
      <c r="T307" s="1435"/>
      <c r="U307" s="1394" t="str">
        <f>O307</f>
        <v>Test Year Versus Board-approved</v>
      </c>
    </row>
    <row r="308" spans="2:22" x14ac:dyDescent="0.2">
      <c r="C308" s="1265"/>
      <c r="D308" s="1402">
        <f t="shared" ref="D308:D314" si="194">D299</f>
        <v>2011</v>
      </c>
      <c r="E308" s="1345"/>
      <c r="F308" s="1329"/>
      <c r="G308" s="1372"/>
      <c r="H308" s="1329"/>
      <c r="I308" s="1378"/>
      <c r="J308" s="1265"/>
      <c r="K308" s="1363">
        <f>D308</f>
        <v>2011</v>
      </c>
      <c r="L308" s="1351"/>
      <c r="M308" s="1351"/>
      <c r="N308" s="1329"/>
      <c r="O308" s="1381"/>
      <c r="P308" s="1265"/>
      <c r="Q308" s="1363">
        <f>K308</f>
        <v>2011</v>
      </c>
      <c r="R308" s="1330"/>
      <c r="S308" s="1330"/>
      <c r="T308" s="1329"/>
      <c r="U308" s="1324"/>
    </row>
    <row r="309" spans="2:22" ht="6" customHeight="1" x14ac:dyDescent="0.2">
      <c r="C309" s="1265"/>
      <c r="D309" s="1365">
        <f t="shared" si="194"/>
        <v>2012</v>
      </c>
      <c r="E309" s="1329"/>
      <c r="F309" s="1329"/>
      <c r="G309" s="1373">
        <f t="shared" ref="G309:G314" si="195">IF(G299=0,"",G300/G299-1)</f>
        <v>-0.32446808510638303</v>
      </c>
      <c r="H309" s="1329"/>
      <c r="I309" s="1378"/>
      <c r="J309" s="1265"/>
      <c r="K309" s="1363">
        <f t="shared" ref="K309:K315" si="196">D309</f>
        <v>2012</v>
      </c>
      <c r="L309" s="1353">
        <f t="shared" ref="L309:M312" si="197">IF(L299=0,"",L300/L299-1)</f>
        <v>0</v>
      </c>
      <c r="M309" s="1353">
        <f t="shared" si="197"/>
        <v>1.1728339162508039E-2</v>
      </c>
      <c r="N309" s="1329"/>
      <c r="O309" s="1381"/>
      <c r="P309" s="1265"/>
      <c r="Q309" s="1363">
        <f t="shared" ref="Q309:Q315" si="198">K309</f>
        <v>2012</v>
      </c>
      <c r="R309" s="1374">
        <f t="shared" ref="R309:S312" si="199">IF(R299="","",IF(R299=0,"",R300/R299-1))</f>
        <v>0</v>
      </c>
      <c r="S309" s="1374">
        <f t="shared" si="199"/>
        <v>1.1728339162507817E-2</v>
      </c>
      <c r="T309" s="1329"/>
      <c r="U309" s="1324"/>
    </row>
    <row r="310" spans="2:22" ht="31.5" customHeight="1" x14ac:dyDescent="0.2">
      <c r="C310" s="1265"/>
      <c r="D310" s="1401">
        <f t="shared" si="194"/>
        <v>2013</v>
      </c>
      <c r="E310" s="1329"/>
      <c r="F310" s="1329"/>
      <c r="G310" s="1373">
        <f t="shared" si="195"/>
        <v>-0.21620925633553312</v>
      </c>
      <c r="H310" s="1329"/>
      <c r="I310" s="1378"/>
      <c r="J310" s="1265"/>
      <c r="K310" s="1363">
        <f t="shared" si="196"/>
        <v>2013</v>
      </c>
      <c r="L310" s="1353">
        <f t="shared" si="197"/>
        <v>0</v>
      </c>
      <c r="M310" s="1353">
        <f t="shared" si="197"/>
        <v>4.6867778126926662E-3</v>
      </c>
      <c r="N310" s="1329"/>
      <c r="O310" s="1381"/>
      <c r="P310" s="1265"/>
      <c r="Q310" s="1363">
        <f t="shared" si="198"/>
        <v>2013</v>
      </c>
      <c r="R310" s="1374">
        <f t="shared" si="199"/>
        <v>0</v>
      </c>
      <c r="S310" s="1374">
        <f t="shared" si="199"/>
        <v>4.6867778126926662E-3</v>
      </c>
      <c r="T310" s="1329"/>
      <c r="U310" s="1324"/>
    </row>
    <row r="311" spans="2:22" ht="30.75" customHeight="1" x14ac:dyDescent="0.2">
      <c r="C311" s="1265"/>
      <c r="D311" s="1365">
        <f t="shared" si="194"/>
        <v>2014</v>
      </c>
      <c r="E311" s="1329"/>
      <c r="F311" s="1329"/>
      <c r="G311" s="1373">
        <f t="shared" si="195"/>
        <v>-1.7221417750691304E-3</v>
      </c>
      <c r="H311" s="1329"/>
      <c r="I311" s="1378"/>
      <c r="J311" s="1265"/>
      <c r="K311" s="1363">
        <f t="shared" si="196"/>
        <v>2014</v>
      </c>
      <c r="L311" s="1353">
        <f t="shared" si="197"/>
        <v>0</v>
      </c>
      <c r="M311" s="1353">
        <f t="shared" si="197"/>
        <v>3.0181454334998747E-4</v>
      </c>
      <c r="N311" s="1329"/>
      <c r="O311" s="1381"/>
      <c r="P311" s="1265"/>
      <c r="Q311" s="1363">
        <f t="shared" si="198"/>
        <v>2014</v>
      </c>
      <c r="R311" s="1374">
        <f t="shared" si="199"/>
        <v>0</v>
      </c>
      <c r="S311" s="1374">
        <f t="shared" si="199"/>
        <v>3.0181454334998747E-4</v>
      </c>
      <c r="T311" s="1329"/>
      <c r="U311" s="1324"/>
    </row>
    <row r="312" spans="2:22" ht="15" customHeight="1" x14ac:dyDescent="0.2">
      <c r="C312" s="1265"/>
      <c r="D312" s="1365">
        <f t="shared" si="194"/>
        <v>2015</v>
      </c>
      <c r="E312" s="1329"/>
      <c r="F312" s="1329"/>
      <c r="G312" s="1373">
        <f t="shared" si="195"/>
        <v>-8.8759182851967489E-2</v>
      </c>
      <c r="H312" s="1329"/>
      <c r="I312" s="1378"/>
      <c r="J312" s="1265"/>
      <c r="K312" s="1363">
        <f t="shared" si="196"/>
        <v>2015</v>
      </c>
      <c r="L312" s="1353">
        <f t="shared" si="197"/>
        <v>0</v>
      </c>
      <c r="M312" s="1353">
        <f t="shared" si="197"/>
        <v>1.022688880932332E-2</v>
      </c>
      <c r="N312" s="1329"/>
      <c r="O312" s="1381"/>
      <c r="P312" s="1265"/>
      <c r="Q312" s="1363">
        <f t="shared" si="198"/>
        <v>2015</v>
      </c>
      <c r="R312" s="1374">
        <f t="shared" si="199"/>
        <v>0</v>
      </c>
      <c r="S312" s="1374">
        <f t="shared" si="199"/>
        <v>1.022688880932332E-2</v>
      </c>
      <c r="T312" s="1329"/>
      <c r="U312" s="1324"/>
    </row>
    <row r="313" spans="2:22" ht="15" customHeight="1" x14ac:dyDescent="0.2">
      <c r="C313" s="1265"/>
      <c r="D313" s="1365">
        <f t="shared" si="194"/>
        <v>2016</v>
      </c>
      <c r="E313" s="1329"/>
      <c r="F313" s="1329"/>
      <c r="G313" s="1373">
        <f t="shared" si="195"/>
        <v>0.27140511687833624</v>
      </c>
      <c r="H313" s="1329"/>
      <c r="I313" s="1378"/>
      <c r="J313" s="1265"/>
      <c r="K313" s="1363">
        <f t="shared" si="196"/>
        <v>2016</v>
      </c>
      <c r="L313" s="1353" t="str">
        <f>IF(K304="Forecast","",IF(L303=0,"",L304/L303-1))</f>
        <v/>
      </c>
      <c r="M313" s="1353">
        <f>IF(M303=0,"",M304/M303-1)</f>
        <v>-1.3725701619406339E-2</v>
      </c>
      <c r="N313" s="1329"/>
      <c r="O313" s="1381"/>
      <c r="P313" s="1265"/>
      <c r="Q313" s="1363">
        <f t="shared" si="198"/>
        <v>2016</v>
      </c>
      <c r="R313" s="1374" t="str">
        <f>IF(Q304="Forecast","",IF(R303=0,"",R304/R303-1))</f>
        <v/>
      </c>
      <c r="S313" s="1374">
        <f>IF(S303="","",IF(S303=0,"",S304/S303-1))</f>
        <v>-1.3725701619406339E-2</v>
      </c>
      <c r="T313" s="1329"/>
      <c r="U313" s="1324"/>
    </row>
    <row r="314" spans="2:22" x14ac:dyDescent="0.2">
      <c r="C314" s="1265"/>
      <c r="D314" s="1401">
        <f t="shared" si="194"/>
        <v>2017</v>
      </c>
      <c r="E314" s="1329"/>
      <c r="F314" s="1329"/>
      <c r="G314" s="1373">
        <f t="shared" si="195"/>
        <v>0.47638399182961799</v>
      </c>
      <c r="H314" s="1329"/>
      <c r="I314" s="1379">
        <f>IF(I306=0,"",G305/I306-1)</f>
        <v>1.0535353021184406</v>
      </c>
      <c r="J314" s="1265"/>
      <c r="K314" s="1363">
        <f t="shared" si="196"/>
        <v>2017</v>
      </c>
      <c r="L314" s="1353" t="str">
        <f>IF(K305="Forecast","",IF(L304=0,"",L305/L304-1))</f>
        <v/>
      </c>
      <c r="M314" s="1353">
        <f>IF(M304=0,"",M305/M304-1)</f>
        <v>0</v>
      </c>
      <c r="N314" s="1329"/>
      <c r="O314" s="1382">
        <f>IF(O306=0,"",M305/O306-1)</f>
        <v>-7.2336956639324823E-2</v>
      </c>
      <c r="P314" s="1265"/>
      <c r="Q314" s="1363">
        <f t="shared" si="198"/>
        <v>2017</v>
      </c>
      <c r="R314" s="1374" t="str">
        <f>IF(Q305="Forecast","",IF(R304=0,"",R305/R304-1))</f>
        <v/>
      </c>
      <c r="S314" s="1374">
        <f>IF(S304="","",IF(S304=0,"",S305/S304-1))</f>
        <v>0</v>
      </c>
      <c r="T314" s="1329"/>
      <c r="U314" s="1354">
        <f>IF(U306=0,"",S305/U306-1)</f>
        <v>-7.2336956639324934E-2</v>
      </c>
    </row>
    <row r="315" spans="2:22" ht="26.25" thickBot="1" x14ac:dyDescent="0.25">
      <c r="C315" s="1271"/>
      <c r="D315" s="1405" t="s">
        <v>1221</v>
      </c>
      <c r="E315" s="1355"/>
      <c r="F315" s="1355"/>
      <c r="G315" s="1375">
        <f>IF(G299=0,"",(G305/G299)^(1/($D305-$D299-1))-1)</f>
        <v>-1.9962310903716141E-2</v>
      </c>
      <c r="H315" s="1355"/>
      <c r="I315" s="1371">
        <f>IF(I306=0,"",(G305/I306)^(1/(TestYear-RebaseYear-1))-1)</f>
        <v>0.19708652802036131</v>
      </c>
      <c r="J315" s="1265"/>
      <c r="K315" s="1404" t="str">
        <f t="shared" si="196"/>
        <v>Geometric Mean</v>
      </c>
      <c r="L315" s="1358">
        <f>IF(L299=0,"",(L303/L299)^(1/($D303-$D299-1))-1)</f>
        <v>0</v>
      </c>
      <c r="M315" s="1358">
        <f>IF(M299=0,"",(M305/M299)^(1/($D305-$D299-1))-1)</f>
        <v>2.601752973081517E-3</v>
      </c>
      <c r="N315" s="1355"/>
      <c r="O315" s="1371">
        <f>IF(O306=0,"",(M305/O306)^(1/(TestYear-RebaseYear-1))-1)</f>
        <v>-1.8596587336065284E-2</v>
      </c>
      <c r="P315" s="1271"/>
      <c r="Q315" s="1404" t="str">
        <f t="shared" si="198"/>
        <v>Geometric Mean</v>
      </c>
      <c r="R315" s="1376">
        <f>IF(R299="","",IF(R299=0,"",(R303/R299)^(1/($D303-$D299-1))-1))</f>
        <v>0</v>
      </c>
      <c r="S315" s="1358">
        <f>IF(S299="","",IF(S299=0,"",(S305/S299)^(1/($D305-$D299-1))-1))</f>
        <v>2.601752973081517E-3</v>
      </c>
      <c r="T315" s="1355"/>
      <c r="U315" s="1371">
        <f>IF(U306=0,"",(S305/U306)^(1/(TestYear-RebaseYear-1))-1)</f>
        <v>-1.8596587336065395E-2</v>
      </c>
    </row>
    <row r="316" spans="2:22" ht="13.5" thickBot="1" x14ac:dyDescent="0.25"/>
    <row r="317" spans="2:22" ht="13.5" thickBot="1" x14ac:dyDescent="0.25">
      <c r="B317" s="1318">
        <f>B274+1</f>
        <v>7</v>
      </c>
      <c r="C317" s="3" t="s">
        <v>14</v>
      </c>
      <c r="D317" s="1880" t="s">
        <v>1452</v>
      </c>
      <c r="E317" s="1881"/>
      <c r="F317" s="1882"/>
      <c r="G317" s="1291"/>
      <c r="H317" s="13" t="s">
        <v>1224</v>
      </c>
      <c r="N317" s="1317" t="s">
        <v>75</v>
      </c>
      <c r="O317" s="1316"/>
      <c r="P317" s="1316"/>
      <c r="Q317" s="1316"/>
      <c r="R317" s="1316"/>
      <c r="S317" s="1316"/>
      <c r="T317" s="1316"/>
      <c r="U317" s="1316"/>
    </row>
    <row r="318" spans="2:22" ht="13.5" thickBot="1" x14ac:dyDescent="0.25">
      <c r="Q318" s="1355"/>
      <c r="R318" s="1355"/>
      <c r="S318" s="1355"/>
      <c r="T318" s="1355"/>
      <c r="U318" s="1355"/>
    </row>
    <row r="319" spans="2:22" x14ac:dyDescent="0.2">
      <c r="C319" s="1264"/>
      <c r="D319" s="1268" t="s">
        <v>1205</v>
      </c>
      <c r="E319" s="1268"/>
      <c r="F319" s="1883" t="s">
        <v>1034</v>
      </c>
      <c r="G319" s="1884"/>
      <c r="H319" s="1884"/>
      <c r="I319" s="1885"/>
      <c r="J319" s="1268"/>
      <c r="K319" s="1859" t="s">
        <v>1213</v>
      </c>
      <c r="L319" s="1860"/>
      <c r="M319" s="1860"/>
      <c r="N319" s="1860"/>
      <c r="O319" s="1861"/>
      <c r="P319" s="1287"/>
      <c r="Q319" s="1869" t="str">
        <f>CONCATENATE("Consumption (kWh) per ",LEFT(F319,LEN(F319)-1))</f>
        <v>Consumption (kWh) per Customer</v>
      </c>
      <c r="R319" s="1879"/>
      <c r="S319" s="1879"/>
      <c r="T319" s="1879"/>
      <c r="U319" s="1870"/>
      <c r="V319" s="1308"/>
    </row>
    <row r="320" spans="2:22" ht="39" thickBot="1" x14ac:dyDescent="0.25">
      <c r="C320" s="1271"/>
      <c r="D320" s="1277" t="str">
        <f>CONCATENATE("(for ",TestYear," Cost of Service")</f>
        <v>(for 2017 Cost of Service</v>
      </c>
      <c r="E320" s="1266"/>
      <c r="F320" s="1872"/>
      <c r="G320" s="1873"/>
      <c r="H320" s="1875"/>
      <c r="I320" s="1296"/>
      <c r="J320" s="1266"/>
      <c r="K320" s="1284"/>
      <c r="L320" s="1433" t="s">
        <v>1226</v>
      </c>
      <c r="M320" s="1433" t="s">
        <v>1210</v>
      </c>
      <c r="N320" s="1305"/>
      <c r="O320" s="1306" t="s">
        <v>1210</v>
      </c>
      <c r="P320" s="1266"/>
      <c r="Q320" s="1389"/>
      <c r="R320" s="1390" t="str">
        <f>L320</f>
        <v>Actual (Weather actual)</v>
      </c>
      <c r="S320" s="1391" t="str">
        <f>M320</f>
        <v>Weather-normalized</v>
      </c>
      <c r="T320" s="1391"/>
      <c r="U320" s="1392" t="str">
        <f>O320</f>
        <v>Weather-normalized</v>
      </c>
      <c r="V320" s="1308"/>
    </row>
    <row r="321" spans="2:22" x14ac:dyDescent="0.2">
      <c r="C321" s="1266" t="s">
        <v>890</v>
      </c>
      <c r="D321" s="1363">
        <f t="shared" ref="D321:D326" si="200">D322-1</f>
        <v>2011</v>
      </c>
      <c r="E321" s="1265"/>
      <c r="F321" s="1313" t="str">
        <f>F278</f>
        <v>Actual</v>
      </c>
      <c r="G321" s="1301">
        <v>4</v>
      </c>
      <c r="H321" s="1297" t="str">
        <f t="shared" ref="H321:H327" si="201">IF(D321=RebaseYear,"Board-approved","")</f>
        <v/>
      </c>
      <c r="I321" s="1324"/>
      <c r="J321" s="1265"/>
      <c r="K321" s="1282" t="str">
        <f>F321</f>
        <v>Actual</v>
      </c>
      <c r="L321" s="1301">
        <v>52740415.399999999</v>
      </c>
      <c r="M321" s="1301">
        <v>52059650.48792062</v>
      </c>
      <c r="N321" s="1297" t="str">
        <f>H321</f>
        <v/>
      </c>
      <c r="O321" s="1492"/>
      <c r="P321" s="1265"/>
      <c r="Q321" s="1385" t="str">
        <f>K321</f>
        <v>Actual</v>
      </c>
      <c r="R321" s="1497">
        <f>IF(G321=0,"",L321/G321)</f>
        <v>13185103.85</v>
      </c>
      <c r="S321" s="1497">
        <f>IF(G321=0,"",M321/G321)</f>
        <v>13014912.621980155</v>
      </c>
      <c r="T321" s="1329" t="str">
        <f>N321</f>
        <v/>
      </c>
      <c r="U321" s="1329" t="str">
        <f>IF(T321="","",IF(I321=0,"",O321/I321))</f>
        <v/>
      </c>
      <c r="V321" s="1309"/>
    </row>
    <row r="322" spans="2:22" x14ac:dyDescent="0.2">
      <c r="C322" s="1266" t="s">
        <v>890</v>
      </c>
      <c r="D322" s="1363">
        <f t="shared" si="200"/>
        <v>2012</v>
      </c>
      <c r="E322" s="1265"/>
      <c r="F322" s="1314" t="str">
        <f t="shared" ref="F322:F327" si="202">F279</f>
        <v>Actual</v>
      </c>
      <c r="G322" s="1301">
        <v>4</v>
      </c>
      <c r="H322" s="1297" t="str">
        <f t="shared" si="201"/>
        <v>Board-approved</v>
      </c>
      <c r="I322" s="1494">
        <v>4</v>
      </c>
      <c r="J322" s="1265"/>
      <c r="K322" s="1282" t="str">
        <f t="shared" ref="K322:K327" si="203">F322</f>
        <v>Actual</v>
      </c>
      <c r="L322" s="1301">
        <v>50111690.900000006</v>
      </c>
      <c r="M322" s="1301">
        <v>50044997.767828248</v>
      </c>
      <c r="N322" s="1297" t="str">
        <f t="shared" ref="N322:N327" si="204">H322</f>
        <v>Board-approved</v>
      </c>
      <c r="O322" s="1493">
        <v>42996782.152953438</v>
      </c>
      <c r="P322" s="1265"/>
      <c r="Q322" s="1385" t="str">
        <f t="shared" ref="Q322:Q327" si="205">K322</f>
        <v>Actual</v>
      </c>
      <c r="R322" s="1497">
        <f t="shared" ref="R322:R327" si="206">IF(G322=0,"",L322/G322)</f>
        <v>12527922.725000001</v>
      </c>
      <c r="S322" s="1497">
        <f t="shared" ref="S322:S327" si="207">IF(G322=0,"",M322/G322)</f>
        <v>12511249.441957062</v>
      </c>
      <c r="T322" s="1329" t="str">
        <f t="shared" ref="T322:T327" si="208">N322</f>
        <v>Board-approved</v>
      </c>
      <c r="U322" s="1497">
        <f t="shared" ref="U322:U327" si="209">IF(T322="","",IF(I322=0,"",O322/I322))</f>
        <v>10749195.53823836</v>
      </c>
      <c r="V322" s="1309"/>
    </row>
    <row r="323" spans="2:22" x14ac:dyDescent="0.2">
      <c r="C323" s="1266" t="s">
        <v>890</v>
      </c>
      <c r="D323" s="1363">
        <f t="shared" si="200"/>
        <v>2013</v>
      </c>
      <c r="E323" s="1265"/>
      <c r="F323" s="1314" t="str">
        <f t="shared" si="202"/>
        <v>Actual</v>
      </c>
      <c r="G323" s="1301">
        <v>4</v>
      </c>
      <c r="H323" s="1297" t="str">
        <f t="shared" si="201"/>
        <v/>
      </c>
      <c r="I323" s="1325"/>
      <c r="J323" s="1265"/>
      <c r="K323" s="1282" t="str">
        <f t="shared" si="203"/>
        <v>Actual</v>
      </c>
      <c r="L323" s="1301">
        <v>49811242</v>
      </c>
      <c r="M323" s="1301">
        <v>49978092.254179515</v>
      </c>
      <c r="N323" s="1297" t="str">
        <f t="shared" si="204"/>
        <v/>
      </c>
      <c r="O323" s="1325"/>
      <c r="P323" s="1265"/>
      <c r="Q323" s="1385" t="str">
        <f t="shared" si="205"/>
        <v>Actual</v>
      </c>
      <c r="R323" s="1495">
        <f t="shared" si="206"/>
        <v>12452810.5</v>
      </c>
      <c r="S323" s="1497">
        <f t="shared" si="207"/>
        <v>12494523.063544879</v>
      </c>
      <c r="T323" s="1329" t="str">
        <f t="shared" si="208"/>
        <v/>
      </c>
      <c r="U323" s="1329" t="str">
        <f t="shared" si="209"/>
        <v/>
      </c>
      <c r="V323" s="1309"/>
    </row>
    <row r="324" spans="2:22" x14ac:dyDescent="0.2">
      <c r="C324" s="1266" t="s">
        <v>890</v>
      </c>
      <c r="D324" s="1363">
        <f t="shared" si="200"/>
        <v>2014</v>
      </c>
      <c r="E324" s="1265"/>
      <c r="F324" s="1314" t="str">
        <f t="shared" si="202"/>
        <v>Actual</v>
      </c>
      <c r="G324" s="1301">
        <v>4</v>
      </c>
      <c r="H324" s="1297" t="str">
        <f t="shared" si="201"/>
        <v/>
      </c>
      <c r="I324" s="1324"/>
      <c r="J324" s="1265"/>
      <c r="K324" s="1282" t="str">
        <f t="shared" si="203"/>
        <v>Actual</v>
      </c>
      <c r="L324" s="1301">
        <v>52151233.5</v>
      </c>
      <c r="M324" s="1301">
        <v>52341714.632221371</v>
      </c>
      <c r="N324" s="1297" t="str">
        <f t="shared" si="204"/>
        <v/>
      </c>
      <c r="O324" s="1324"/>
      <c r="P324" s="1265"/>
      <c r="Q324" s="1385" t="str">
        <f t="shared" si="205"/>
        <v>Actual</v>
      </c>
      <c r="R324" s="1495">
        <f t="shared" si="206"/>
        <v>13037808.375</v>
      </c>
      <c r="S324" s="1497">
        <f t="shared" si="207"/>
        <v>13085428.658055343</v>
      </c>
      <c r="T324" s="1329" t="str">
        <f t="shared" si="208"/>
        <v/>
      </c>
      <c r="U324" s="1329" t="str">
        <f t="shared" si="209"/>
        <v/>
      </c>
      <c r="V324" s="1309"/>
    </row>
    <row r="325" spans="2:22" x14ac:dyDescent="0.2">
      <c r="C325" s="1266" t="s">
        <v>890</v>
      </c>
      <c r="D325" s="1363">
        <f t="shared" si="200"/>
        <v>2015</v>
      </c>
      <c r="E325" s="1265"/>
      <c r="F325" s="1314" t="str">
        <f t="shared" si="202"/>
        <v>Actual</v>
      </c>
      <c r="G325" s="1301">
        <v>4</v>
      </c>
      <c r="H325" s="1297" t="str">
        <f t="shared" si="201"/>
        <v/>
      </c>
      <c r="I325" s="1324"/>
      <c r="J325" s="1265"/>
      <c r="K325" s="1282" t="str">
        <f t="shared" si="203"/>
        <v>Actual</v>
      </c>
      <c r="L325" s="1301">
        <v>48193212.060000002</v>
      </c>
      <c r="M325" s="1301">
        <v>48863903.418278784</v>
      </c>
      <c r="N325" s="1297" t="str">
        <f t="shared" si="204"/>
        <v/>
      </c>
      <c r="O325" s="1324"/>
      <c r="P325" s="1265"/>
      <c r="Q325" s="1385" t="str">
        <f t="shared" si="205"/>
        <v>Actual</v>
      </c>
      <c r="R325" s="1495">
        <f t="shared" si="206"/>
        <v>12048303.015000001</v>
      </c>
      <c r="S325" s="1497">
        <f t="shared" si="207"/>
        <v>12215975.854569696</v>
      </c>
      <c r="T325" s="1329" t="str">
        <f t="shared" si="208"/>
        <v/>
      </c>
      <c r="U325" s="1329" t="str">
        <f t="shared" si="209"/>
        <v/>
      </c>
      <c r="V325" s="1309"/>
    </row>
    <row r="326" spans="2:22" x14ac:dyDescent="0.2">
      <c r="C326" s="1266" t="s">
        <v>313</v>
      </c>
      <c r="D326" s="1363">
        <f t="shared" si="200"/>
        <v>2016</v>
      </c>
      <c r="E326" s="1265"/>
      <c r="F326" s="1314" t="str">
        <f t="shared" si="202"/>
        <v>Forecast</v>
      </c>
      <c r="G326" s="1301">
        <v>4</v>
      </c>
      <c r="H326" s="1297" t="str">
        <f t="shared" si="201"/>
        <v/>
      </c>
      <c r="I326" s="1324"/>
      <c r="J326" s="1265"/>
      <c r="K326" s="1282" t="str">
        <f t="shared" si="203"/>
        <v>Forecast</v>
      </c>
      <c r="L326" s="1303"/>
      <c r="M326" s="1301">
        <v>46643291.462049104</v>
      </c>
      <c r="N326" s="1297" t="str">
        <f t="shared" si="204"/>
        <v/>
      </c>
      <c r="O326" s="1324"/>
      <c r="P326" s="1265"/>
      <c r="Q326" s="1385" t="str">
        <f t="shared" si="205"/>
        <v>Forecast</v>
      </c>
      <c r="R326" s="1387">
        <f t="shared" si="206"/>
        <v>0</v>
      </c>
      <c r="S326" s="1497">
        <f t="shared" si="207"/>
        <v>11660822.865512276</v>
      </c>
      <c r="T326" s="1329" t="str">
        <f t="shared" si="208"/>
        <v/>
      </c>
      <c r="U326" s="1329" t="str">
        <f t="shared" si="209"/>
        <v/>
      </c>
      <c r="V326" s="1309"/>
    </row>
    <row r="327" spans="2:22" ht="13.5" thickBot="1" x14ac:dyDescent="0.25">
      <c r="C327" s="1267" t="s">
        <v>314</v>
      </c>
      <c r="D327" s="1364">
        <f>TestYear</f>
        <v>2017</v>
      </c>
      <c r="E327" s="1271"/>
      <c r="F327" s="1315" t="str">
        <f t="shared" si="202"/>
        <v>Forecast</v>
      </c>
      <c r="G327" s="1302">
        <v>4</v>
      </c>
      <c r="H327" s="1298" t="str">
        <f t="shared" si="201"/>
        <v/>
      </c>
      <c r="I327" s="1326"/>
      <c r="J327" s="1271"/>
      <c r="K327" s="1283" t="str">
        <f t="shared" si="203"/>
        <v>Forecast</v>
      </c>
      <c r="L327" s="1304"/>
      <c r="M327" s="1302">
        <v>45143217.175586261</v>
      </c>
      <c r="N327" s="1298" t="str">
        <f t="shared" si="204"/>
        <v/>
      </c>
      <c r="O327" s="1326"/>
      <c r="P327" s="1271"/>
      <c r="Q327" s="1386" t="str">
        <f t="shared" si="205"/>
        <v>Forecast</v>
      </c>
      <c r="R327" s="1388">
        <f t="shared" si="206"/>
        <v>0</v>
      </c>
      <c r="S327" s="1498">
        <f t="shared" si="207"/>
        <v>11285804.293896565</v>
      </c>
      <c r="T327" s="1355" t="str">
        <f t="shared" si="208"/>
        <v/>
      </c>
      <c r="U327" s="1355" t="str">
        <f t="shared" si="209"/>
        <v/>
      </c>
      <c r="V327" s="1309"/>
    </row>
    <row r="328" spans="2:22" ht="13.5" thickBot="1" x14ac:dyDescent="0.25">
      <c r="B328" s="1329"/>
      <c r="C328" s="1366"/>
      <c r="I328" s="1408">
        <f>SUM(I321:I326)</f>
        <v>4</v>
      </c>
      <c r="O328" s="1408">
        <f>SUM(O321:O326)</f>
        <v>42996782.152953438</v>
      </c>
      <c r="U328" s="1408">
        <f>SUM(U321:U326)</f>
        <v>10749195.53823836</v>
      </c>
    </row>
    <row r="329" spans="2:22" ht="39" thickBot="1" x14ac:dyDescent="0.25">
      <c r="C329" s="1400" t="s">
        <v>952</v>
      </c>
      <c r="D329" s="1399" t="s">
        <v>15</v>
      </c>
      <c r="E329" s="1361"/>
      <c r="F329" s="1361"/>
      <c r="G329" s="1435" t="s">
        <v>1222</v>
      </c>
      <c r="H329" s="1361"/>
      <c r="I329" s="1394" t="s">
        <v>1235</v>
      </c>
      <c r="J329" s="1396"/>
      <c r="K329" s="1395" t="s">
        <v>15</v>
      </c>
      <c r="L329" s="1874" t="s">
        <v>1222</v>
      </c>
      <c r="M329" s="1874"/>
      <c r="N329" s="1361"/>
      <c r="O329" s="1394" t="str">
        <f>I329</f>
        <v>Test Year Versus Board-approved</v>
      </c>
      <c r="P329" s="1397"/>
      <c r="Q329" s="1395" t="s">
        <v>15</v>
      </c>
      <c r="R329" s="1874" t="s">
        <v>1222</v>
      </c>
      <c r="S329" s="1874"/>
      <c r="T329" s="1361"/>
      <c r="U329" s="1394" t="str">
        <f>O329</f>
        <v>Test Year Versus Board-approved</v>
      </c>
    </row>
    <row r="330" spans="2:22" x14ac:dyDescent="0.2">
      <c r="C330" s="1265"/>
      <c r="D330" s="1377">
        <f t="shared" ref="D330:D336" si="210">D321</f>
        <v>2011</v>
      </c>
      <c r="E330" s="1329"/>
      <c r="F330" s="1329"/>
      <c r="G330" s="1372"/>
      <c r="H330" s="1329"/>
      <c r="I330" s="1378"/>
      <c r="J330" s="1384"/>
      <c r="K330" s="1363">
        <f>D330</f>
        <v>2011</v>
      </c>
      <c r="L330" s="1351"/>
      <c r="M330" s="1351"/>
      <c r="N330" s="1329"/>
      <c r="O330" s="1324"/>
      <c r="P330" s="1265"/>
      <c r="Q330" s="1363">
        <f>K330</f>
        <v>2011</v>
      </c>
      <c r="R330" s="1330"/>
      <c r="S330" s="1330"/>
      <c r="T330" s="1329"/>
      <c r="U330" s="1324"/>
    </row>
    <row r="331" spans="2:22" x14ac:dyDescent="0.2">
      <c r="C331" s="1265"/>
      <c r="D331" s="1365">
        <f t="shared" si="210"/>
        <v>2012</v>
      </c>
      <c r="E331" s="1329"/>
      <c r="F331" s="1329"/>
      <c r="G331" s="1373">
        <f t="shared" ref="G331:G336" si="211">IF(G321=0,"",G322/G321-1)</f>
        <v>0</v>
      </c>
      <c r="H331" s="1329"/>
      <c r="I331" s="1378"/>
      <c r="J331" s="1384"/>
      <c r="K331" s="1363">
        <f t="shared" ref="K331:K337" si="212">D331</f>
        <v>2012</v>
      </c>
      <c r="L331" s="1353">
        <f t="shared" ref="L331:M334" si="213">IF(L321=0,"",L322/L321-1)</f>
        <v>-4.9842696157451849E-2</v>
      </c>
      <c r="M331" s="1353">
        <f t="shared" si="213"/>
        <v>-3.8698929040252183E-2</v>
      </c>
      <c r="N331" s="1329"/>
      <c r="O331" s="1324"/>
      <c r="P331" s="1265"/>
      <c r="Q331" s="1363">
        <f t="shared" ref="Q331:Q337" si="214">K331</f>
        <v>2012</v>
      </c>
      <c r="R331" s="1374">
        <f t="shared" ref="R331:S334" si="215">IF(R321="","",IF(R321=0,"",R322/R321-1))</f>
        <v>-4.9842696157451849E-2</v>
      </c>
      <c r="S331" s="1374">
        <f t="shared" si="215"/>
        <v>-3.8698929040252183E-2</v>
      </c>
      <c r="T331" s="1329"/>
      <c r="U331" s="1324"/>
    </row>
    <row r="332" spans="2:22" x14ac:dyDescent="0.2">
      <c r="C332" s="1265"/>
      <c r="D332" s="1365">
        <f t="shared" si="210"/>
        <v>2013</v>
      </c>
      <c r="E332" s="1329"/>
      <c r="F332" s="1329"/>
      <c r="G332" s="1373">
        <f t="shared" si="211"/>
        <v>0</v>
      </c>
      <c r="H332" s="1329"/>
      <c r="I332" s="1378"/>
      <c r="J332" s="1384"/>
      <c r="K332" s="1363">
        <f t="shared" si="212"/>
        <v>2013</v>
      </c>
      <c r="L332" s="1353">
        <f t="shared" si="213"/>
        <v>-5.9955849544084394E-3</v>
      </c>
      <c r="M332" s="1353">
        <f t="shared" si="213"/>
        <v>-1.3369071162541157E-3</v>
      </c>
      <c r="N332" s="1329"/>
      <c r="O332" s="1324"/>
      <c r="P332" s="1265"/>
      <c r="Q332" s="1363">
        <f t="shared" si="214"/>
        <v>2013</v>
      </c>
      <c r="R332" s="1374">
        <f t="shared" si="215"/>
        <v>-5.9955849544084394E-3</v>
      </c>
      <c r="S332" s="1374">
        <f t="shared" si="215"/>
        <v>-1.3369071162541157E-3</v>
      </c>
      <c r="T332" s="1329"/>
      <c r="U332" s="1324"/>
    </row>
    <row r="333" spans="2:22" x14ac:dyDescent="0.2">
      <c r="C333" s="1265"/>
      <c r="D333" s="1365">
        <f t="shared" si="210"/>
        <v>2014</v>
      </c>
      <c r="E333" s="1329"/>
      <c r="F333" s="1329"/>
      <c r="G333" s="1373">
        <f t="shared" si="211"/>
        <v>0</v>
      </c>
      <c r="H333" s="1329"/>
      <c r="I333" s="1378"/>
      <c r="J333" s="1384"/>
      <c r="K333" s="1363">
        <f t="shared" si="212"/>
        <v>2014</v>
      </c>
      <c r="L333" s="1353">
        <f t="shared" si="213"/>
        <v>4.6977176357096306E-2</v>
      </c>
      <c r="M333" s="1353">
        <f t="shared" si="213"/>
        <v>4.7293169295476556E-2</v>
      </c>
      <c r="N333" s="1329"/>
      <c r="O333" s="1324"/>
      <c r="P333" s="1265"/>
      <c r="Q333" s="1363">
        <f t="shared" si="214"/>
        <v>2014</v>
      </c>
      <c r="R333" s="1374">
        <f t="shared" si="215"/>
        <v>4.6977176357096306E-2</v>
      </c>
      <c r="S333" s="1374">
        <f t="shared" si="215"/>
        <v>4.7293169295476556E-2</v>
      </c>
      <c r="T333" s="1329"/>
      <c r="U333" s="1324"/>
    </row>
    <row r="334" spans="2:22" x14ac:dyDescent="0.2">
      <c r="C334" s="1265"/>
      <c r="D334" s="1365">
        <f t="shared" si="210"/>
        <v>2015</v>
      </c>
      <c r="E334" s="1329"/>
      <c r="F334" s="1329"/>
      <c r="G334" s="1373">
        <f t="shared" si="211"/>
        <v>0</v>
      </c>
      <c r="H334" s="1329"/>
      <c r="I334" s="1378"/>
      <c r="J334" s="1384"/>
      <c r="K334" s="1363">
        <f t="shared" si="212"/>
        <v>2015</v>
      </c>
      <c r="L334" s="1353">
        <f t="shared" si="213"/>
        <v>-7.5895068522204734E-2</v>
      </c>
      <c r="M334" s="1353">
        <f t="shared" si="213"/>
        <v>-6.6444350139833963E-2</v>
      </c>
      <c r="N334" s="1329"/>
      <c r="O334" s="1324"/>
      <c r="P334" s="1265"/>
      <c r="Q334" s="1363">
        <f t="shared" si="214"/>
        <v>2015</v>
      </c>
      <c r="R334" s="1374">
        <f t="shared" si="215"/>
        <v>-7.5895068522204734E-2</v>
      </c>
      <c r="S334" s="1374">
        <f t="shared" si="215"/>
        <v>-6.6444350139833963E-2</v>
      </c>
      <c r="T334" s="1329"/>
      <c r="U334" s="1324"/>
    </row>
    <row r="335" spans="2:22" x14ac:dyDescent="0.2">
      <c r="C335" s="1265"/>
      <c r="D335" s="1365">
        <f t="shared" si="210"/>
        <v>2016</v>
      </c>
      <c r="E335" s="1329"/>
      <c r="F335" s="1329"/>
      <c r="G335" s="1373">
        <f t="shared" si="211"/>
        <v>0</v>
      </c>
      <c r="H335" s="1329"/>
      <c r="I335" s="1378"/>
      <c r="J335" s="1384"/>
      <c r="K335" s="1363">
        <f t="shared" si="212"/>
        <v>2016</v>
      </c>
      <c r="L335" s="1353" t="str">
        <f>IF(K326="Forecast","",IF(L325=0,"",L326/L325-1))</f>
        <v/>
      </c>
      <c r="M335" s="1353">
        <f>IF(M325=0,"",M326/M325-1)</f>
        <v>-4.5444833525088435E-2</v>
      </c>
      <c r="N335" s="1329"/>
      <c r="O335" s="1324"/>
      <c r="P335" s="1265"/>
      <c r="Q335" s="1363">
        <f t="shared" si="214"/>
        <v>2016</v>
      </c>
      <c r="R335" s="1374" t="str">
        <f>IF(Q326="Forecast","",IF(R325=0,"",R326/R325-1))</f>
        <v/>
      </c>
      <c r="S335" s="1374">
        <f>IF(S325="","",IF(S325=0,"",S326/S325-1))</f>
        <v>-4.5444833525088435E-2</v>
      </c>
      <c r="T335" s="1329"/>
      <c r="U335" s="1324"/>
    </row>
    <row r="336" spans="2:22" x14ac:dyDescent="0.2">
      <c r="C336" s="1265"/>
      <c r="D336" s="1365">
        <f t="shared" si="210"/>
        <v>2017</v>
      </c>
      <c r="E336" s="1329"/>
      <c r="F336" s="1329"/>
      <c r="G336" s="1373">
        <f t="shared" si="211"/>
        <v>0</v>
      </c>
      <c r="H336" s="1329"/>
      <c r="I336" s="1379">
        <f>IF(I328=0,"",G327/I328-1)</f>
        <v>0</v>
      </c>
      <c r="J336" s="1384"/>
      <c r="K336" s="1363">
        <f t="shared" si="212"/>
        <v>2017</v>
      </c>
      <c r="L336" s="1353" t="str">
        <f>IF(K327="Forecast","",IF(L326=0,"",L327/L326-1))</f>
        <v/>
      </c>
      <c r="M336" s="1353">
        <f>IF(M326=0,"",M327/M326-1)</f>
        <v>-3.2160558130494787E-2</v>
      </c>
      <c r="N336" s="1329"/>
      <c r="O336" s="1354">
        <f>IF(O328=0,"",M327/O328-1)</f>
        <v>4.9920829307580794E-2</v>
      </c>
      <c r="P336" s="1265"/>
      <c r="Q336" s="1363">
        <f t="shared" si="214"/>
        <v>2017</v>
      </c>
      <c r="R336" s="1374" t="str">
        <f>IF(Q327="Forecast","",IF(R326=0,"",R327/R326-1))</f>
        <v/>
      </c>
      <c r="S336" s="1374">
        <f>IF(S326="","",IF(S326=0,"",S327/S326-1))</f>
        <v>-3.2160558130494787E-2</v>
      </c>
      <c r="T336" s="1329"/>
      <c r="U336" s="1354">
        <f>IF(U328=0,"",S327/U328-1)</f>
        <v>4.9920829307580794E-2</v>
      </c>
    </row>
    <row r="337" spans="3:21" ht="26.25" thickBot="1" x14ac:dyDescent="0.25">
      <c r="C337" s="1271"/>
      <c r="D337" s="1405" t="s">
        <v>1221</v>
      </c>
      <c r="E337" s="1355"/>
      <c r="F337" s="1355"/>
      <c r="G337" s="1375">
        <f>IF(G321=0,"",(G327/G321)^(1/($D327-$D321-1))-1)</f>
        <v>0</v>
      </c>
      <c r="H337" s="1355"/>
      <c r="I337" s="1406">
        <f>IF(I328=0,"",(G327/I328)^(1/(TestYear-RebaseYear-1))-1)</f>
        <v>0</v>
      </c>
      <c r="J337" s="1360"/>
      <c r="K337" s="1404" t="str">
        <f t="shared" si="212"/>
        <v>Geometric Mean</v>
      </c>
      <c r="L337" s="1358">
        <f>IF(L321=0,"",(L325/L321)^(1/($D325-$D321-1))-1)</f>
        <v>-2.9607475513377612E-2</v>
      </c>
      <c r="M337" s="1358">
        <f>IF(M321=0,"",(M327/M321)^(1/($D327-$D321-1))-1)</f>
        <v>-2.810745320667507E-2</v>
      </c>
      <c r="N337" s="1355"/>
      <c r="O337" s="1371">
        <f>IF(O328=0,"",(M327/O328)^(1/(TestYear-RebaseYear-1))-1)</f>
        <v>1.2253152390977462E-2</v>
      </c>
      <c r="P337" s="1271"/>
      <c r="Q337" s="1404" t="str">
        <f t="shared" si="214"/>
        <v>Geometric Mean</v>
      </c>
      <c r="R337" s="1376">
        <f>IF(R321="","",IF(R321=0,"",(R325/R321)^(1/($D325-$D321-1))-1))</f>
        <v>-2.9607475513377612E-2</v>
      </c>
      <c r="S337" s="1358">
        <f>IF(S321="","",IF(S321=0,"",(S327/S321)^(1/($D327-$D321-1))-1))</f>
        <v>-2.810745320667507E-2</v>
      </c>
      <c r="T337" s="1355"/>
      <c r="U337" s="1371">
        <f>IF(U328=0,"",(S327/U328)^(1/(TestYear-RebaseYear-1))-1)</f>
        <v>1.2253152390977462E-2</v>
      </c>
    </row>
    <row r="339" spans="3:21" ht="13.5" thickBot="1" x14ac:dyDescent="0.25">
      <c r="Q339" s="1355"/>
      <c r="R339" s="1355"/>
      <c r="S339" s="1355"/>
      <c r="T339" s="1355"/>
      <c r="U339" s="1355"/>
    </row>
    <row r="340" spans="3:21" x14ac:dyDescent="0.2">
      <c r="C340" s="1264"/>
      <c r="D340" s="1268" t="s">
        <v>1205</v>
      </c>
      <c r="E340" s="1268"/>
      <c r="F340" s="1876" t="s">
        <v>1198</v>
      </c>
      <c r="G340" s="1877"/>
      <c r="H340" s="1877"/>
      <c r="I340" s="1878"/>
      <c r="K340" s="1859" t="str">
        <f>IF(ISBLANK(N317),"",CONCATENATE("Demand (",N317,")"))</f>
        <v>Demand (kW)</v>
      </c>
      <c r="L340" s="1860"/>
      <c r="M340" s="1860"/>
      <c r="N340" s="1860"/>
      <c r="O340" s="1861"/>
      <c r="Q340" s="1869" t="str">
        <f>CONCATENATE("Demand (",N317,") per ",LEFT(F319,LEN(F319)-1))</f>
        <v>Demand (kW) per Customer</v>
      </c>
      <c r="R340" s="1879"/>
      <c r="S340" s="1879"/>
      <c r="T340" s="1879"/>
      <c r="U340" s="1870"/>
    </row>
    <row r="341" spans="3:21" ht="39" thickBot="1" x14ac:dyDescent="0.25">
      <c r="C341" s="1271"/>
      <c r="D341" s="1277" t="str">
        <f>CONCATENATE("(for ",TestYear," Cost of Service")</f>
        <v>(for 2017 Cost of Service</v>
      </c>
      <c r="E341" s="1266"/>
      <c r="F341" s="1872"/>
      <c r="G341" s="1873"/>
      <c r="H341" s="1873"/>
      <c r="I341" s="1296"/>
      <c r="K341" s="1284"/>
      <c r="L341" s="1433" t="s">
        <v>1226</v>
      </c>
      <c r="M341" s="1433" t="s">
        <v>1210</v>
      </c>
      <c r="N341" s="1305"/>
      <c r="O341" s="1306" t="str">
        <f>M341</f>
        <v>Weather-normalized</v>
      </c>
      <c r="Q341" s="1403"/>
      <c r="R341" s="1490" t="str">
        <f>L341</f>
        <v>Actual (Weather actual)</v>
      </c>
      <c r="S341" s="1490" t="str">
        <f>M341</f>
        <v>Weather-normalized</v>
      </c>
      <c r="T341" s="1490"/>
      <c r="U341" s="1491" t="str">
        <f>O341</f>
        <v>Weather-normalized</v>
      </c>
    </row>
    <row r="342" spans="3:21" x14ac:dyDescent="0.2">
      <c r="C342" s="1266" t="s">
        <v>890</v>
      </c>
      <c r="D342" s="1363">
        <f t="shared" ref="D342:D347" si="216">D343-1</f>
        <v>2011</v>
      </c>
      <c r="E342" s="1265"/>
      <c r="F342" s="1313" t="str">
        <f t="shared" ref="F342:F348" si="217">F321</f>
        <v>Actual</v>
      </c>
      <c r="G342" s="1311">
        <v>0</v>
      </c>
      <c r="H342" s="2" t="str">
        <f t="shared" ref="H342:H348" si="218">IF(D342=RebaseYear,"Board-approved","")</f>
        <v/>
      </c>
      <c r="I342" s="1383"/>
      <c r="K342" s="1282" t="str">
        <f t="shared" ref="K342:K348" si="219">K321</f>
        <v>Actual</v>
      </c>
      <c r="L342" s="1500">
        <v>113910.59999999999</v>
      </c>
      <c r="M342" s="1500">
        <v>112440.26005281199</v>
      </c>
      <c r="N342" s="1258" t="str">
        <f t="shared" ref="N342:N348" si="220">N321</f>
        <v/>
      </c>
      <c r="O342" s="1324"/>
      <c r="Q342" s="1507" t="str">
        <f>K342</f>
        <v>Actual</v>
      </c>
      <c r="R342" s="1508">
        <f>IF(G321=0,"",L342/G321)</f>
        <v>28477.649999999998</v>
      </c>
      <c r="S342" s="1508">
        <f>IF(G321=0,"",M342/G321)</f>
        <v>28110.065013202999</v>
      </c>
      <c r="T342" s="1503" t="str">
        <f>N342</f>
        <v/>
      </c>
      <c r="U342" s="1504" t="str">
        <f>IF(T342="","",IF(I342=0,"",O342/I342))</f>
        <v/>
      </c>
    </row>
    <row r="343" spans="3:21" x14ac:dyDescent="0.2">
      <c r="C343" s="1266" t="s">
        <v>890</v>
      </c>
      <c r="D343" s="1363">
        <f t="shared" si="216"/>
        <v>2012</v>
      </c>
      <c r="E343" s="1265"/>
      <c r="F343" s="1314" t="str">
        <f t="shared" si="217"/>
        <v>Actual</v>
      </c>
      <c r="G343" s="1311">
        <v>102204</v>
      </c>
      <c r="H343" s="2" t="str">
        <f t="shared" si="218"/>
        <v>Board-approved</v>
      </c>
      <c r="I343" s="1311">
        <v>149301.10607079451</v>
      </c>
      <c r="K343" s="1282" t="str">
        <f t="shared" si="219"/>
        <v>Actual</v>
      </c>
      <c r="L343" s="1500">
        <v>111193.80000000002</v>
      </c>
      <c r="M343" s="1500">
        <v>111045.81331930951</v>
      </c>
      <c r="N343" s="1258" t="str">
        <f t="shared" si="220"/>
        <v>Board-approved</v>
      </c>
      <c r="O343" s="1494">
        <v>96048.524183723959</v>
      </c>
      <c r="Q343" s="1496" t="str">
        <f t="shared" ref="Q343:Q348" si="221">K343</f>
        <v>Actual</v>
      </c>
      <c r="R343" s="1504">
        <f t="shared" ref="R343:R348" si="222">IF(G322=0,"",L343/G322)</f>
        <v>27798.450000000004</v>
      </c>
      <c r="S343" s="1504">
        <f t="shared" ref="S343:S348" si="223">IF(G322=0,"",M343/G322)</f>
        <v>27761.453329827378</v>
      </c>
      <c r="T343" s="1503" t="str">
        <f t="shared" ref="T343:T348" si="224">N343</f>
        <v>Board-approved</v>
      </c>
      <c r="U343" s="1504">
        <f>IF(T322="","",IF(I343=0,"",O343/I322))</f>
        <v>24012.13104593099</v>
      </c>
    </row>
    <row r="344" spans="3:21" x14ac:dyDescent="0.2">
      <c r="C344" s="1266" t="s">
        <v>890</v>
      </c>
      <c r="D344" s="1363">
        <f t="shared" si="216"/>
        <v>2013</v>
      </c>
      <c r="E344" s="1265"/>
      <c r="F344" s="1314" t="str">
        <f t="shared" si="217"/>
        <v>Actual</v>
      </c>
      <c r="G344" s="1311">
        <v>179554.92107357015</v>
      </c>
      <c r="H344" s="2" t="str">
        <f t="shared" si="218"/>
        <v/>
      </c>
      <c r="I344" s="1328"/>
      <c r="K344" s="1282" t="str">
        <f t="shared" si="219"/>
        <v>Actual</v>
      </c>
      <c r="L344" s="1500">
        <v>110634.70000000001</v>
      </c>
      <c r="M344" s="1500">
        <v>111005.28758374415</v>
      </c>
      <c r="N344" s="1258" t="str">
        <f t="shared" si="220"/>
        <v/>
      </c>
      <c r="O344" s="1325"/>
      <c r="Q344" s="1496" t="str">
        <f t="shared" si="221"/>
        <v>Actual</v>
      </c>
      <c r="R344" s="1504">
        <f t="shared" si="222"/>
        <v>27658.675000000003</v>
      </c>
      <c r="S344" s="1504">
        <f t="shared" si="223"/>
        <v>27751.321895936038</v>
      </c>
      <c r="T344" s="1503" t="str">
        <f t="shared" si="224"/>
        <v/>
      </c>
      <c r="U344" s="1504" t="str">
        <f t="shared" ref="U344:U348" si="225">IF(T344="","",IF(I344=0,"",O344/I344))</f>
        <v/>
      </c>
    </row>
    <row r="345" spans="3:21" x14ac:dyDescent="0.2">
      <c r="C345" s="1266" t="s">
        <v>890</v>
      </c>
      <c r="D345" s="1363">
        <f t="shared" si="216"/>
        <v>2014</v>
      </c>
      <c r="E345" s="1265"/>
      <c r="F345" s="1314" t="str">
        <f t="shared" si="217"/>
        <v>Actual</v>
      </c>
      <c r="G345" s="1311">
        <v>1</v>
      </c>
      <c r="H345" s="2" t="str">
        <f t="shared" si="218"/>
        <v/>
      </c>
      <c r="I345" s="1324"/>
      <c r="K345" s="1282" t="str">
        <f t="shared" si="219"/>
        <v>Actual</v>
      </c>
      <c r="L345" s="1500">
        <v>115370.49999999999</v>
      </c>
      <c r="M345" s="1500">
        <v>115791.88799008359</v>
      </c>
      <c r="N345" s="1258" t="str">
        <f t="shared" si="220"/>
        <v/>
      </c>
      <c r="O345" s="1324"/>
      <c r="Q345" s="1496" t="str">
        <f t="shared" si="221"/>
        <v>Actual</v>
      </c>
      <c r="R345" s="1504">
        <f t="shared" si="222"/>
        <v>28842.624999999996</v>
      </c>
      <c r="S345" s="1504">
        <f t="shared" si="223"/>
        <v>28947.971997520897</v>
      </c>
      <c r="T345" s="1503" t="str">
        <f t="shared" si="224"/>
        <v/>
      </c>
      <c r="U345" s="1504" t="str">
        <f t="shared" si="225"/>
        <v/>
      </c>
    </row>
    <row r="346" spans="3:21" x14ac:dyDescent="0.2">
      <c r="C346" s="1266" t="s">
        <v>890</v>
      </c>
      <c r="D346" s="1363">
        <f t="shared" si="216"/>
        <v>2015</v>
      </c>
      <c r="E346" s="1265"/>
      <c r="F346" s="1314" t="str">
        <f t="shared" si="217"/>
        <v>Actual</v>
      </c>
      <c r="G346" s="1311">
        <v>163336</v>
      </c>
      <c r="H346" s="2" t="str">
        <f t="shared" si="218"/>
        <v/>
      </c>
      <c r="I346" s="1324"/>
      <c r="K346" s="1282" t="str">
        <f t="shared" si="219"/>
        <v>Actual</v>
      </c>
      <c r="L346" s="1500">
        <v>105467.49</v>
      </c>
      <c r="M346" s="1500">
        <v>106935.25135266288</v>
      </c>
      <c r="N346" s="1258" t="str">
        <f t="shared" si="220"/>
        <v/>
      </c>
      <c r="O346" s="1324"/>
      <c r="Q346" s="1496" t="str">
        <f t="shared" si="221"/>
        <v>Actual</v>
      </c>
      <c r="R346" s="1504">
        <f t="shared" si="222"/>
        <v>26366.872500000001</v>
      </c>
      <c r="S346" s="1504">
        <f t="shared" si="223"/>
        <v>26733.812838165719</v>
      </c>
      <c r="T346" s="1503" t="str">
        <f t="shared" si="224"/>
        <v/>
      </c>
      <c r="U346" s="1504" t="str">
        <f t="shared" si="225"/>
        <v/>
      </c>
    </row>
    <row r="347" spans="3:21" x14ac:dyDescent="0.2">
      <c r="C347" s="1266" t="s">
        <v>1203</v>
      </c>
      <c r="D347" s="1363">
        <f t="shared" si="216"/>
        <v>2016</v>
      </c>
      <c r="E347" s="1265"/>
      <c r="F347" s="1314" t="str">
        <f t="shared" si="217"/>
        <v>Forecast</v>
      </c>
      <c r="G347" s="1311">
        <v>116294.81441988278</v>
      </c>
      <c r="H347" s="2" t="str">
        <f t="shared" si="218"/>
        <v/>
      </c>
      <c r="I347" s="1324"/>
      <c r="K347" s="1282" t="str">
        <f t="shared" si="219"/>
        <v>Forecast</v>
      </c>
      <c r="L347" s="1303"/>
      <c r="M347" s="1501">
        <v>100002.37884363061</v>
      </c>
      <c r="N347" s="1258" t="str">
        <f t="shared" si="220"/>
        <v/>
      </c>
      <c r="O347" s="1324"/>
      <c r="Q347" s="1496" t="str">
        <f t="shared" si="221"/>
        <v>Forecast</v>
      </c>
      <c r="R347" s="1504">
        <f t="shared" si="222"/>
        <v>0</v>
      </c>
      <c r="S347" s="1504">
        <f t="shared" si="223"/>
        <v>25000.594710907651</v>
      </c>
      <c r="T347" s="1503" t="str">
        <f t="shared" si="224"/>
        <v/>
      </c>
      <c r="U347" s="1504" t="str">
        <f t="shared" si="225"/>
        <v/>
      </c>
    </row>
    <row r="348" spans="3:21" ht="13.5" thickBot="1" x14ac:dyDescent="0.25">
      <c r="C348" s="1267" t="s">
        <v>1204</v>
      </c>
      <c r="D348" s="1364">
        <f>TestYear</f>
        <v>2017</v>
      </c>
      <c r="E348" s="1271"/>
      <c r="F348" s="1315" t="str">
        <f t="shared" si="217"/>
        <v>Forecast</v>
      </c>
      <c r="G348" s="1312">
        <v>58475.887445084678</v>
      </c>
      <c r="H348" s="1307" t="str">
        <f t="shared" si="218"/>
        <v/>
      </c>
      <c r="I348" s="1326"/>
      <c r="K348" s="1283" t="str">
        <f t="shared" si="219"/>
        <v>Forecast</v>
      </c>
      <c r="L348" s="1304"/>
      <c r="M348" s="1502">
        <v>96786.246525642244</v>
      </c>
      <c r="N348" s="1262" t="str">
        <f t="shared" si="220"/>
        <v/>
      </c>
      <c r="O348" s="1326"/>
      <c r="Q348" s="1319" t="str">
        <f t="shared" si="221"/>
        <v>Forecast</v>
      </c>
      <c r="R348" s="1506">
        <f t="shared" si="222"/>
        <v>0</v>
      </c>
      <c r="S348" s="1506">
        <f t="shared" si="223"/>
        <v>24196.561631410561</v>
      </c>
      <c r="T348" s="1505" t="str">
        <f t="shared" si="224"/>
        <v/>
      </c>
      <c r="U348" s="1506" t="str">
        <f t="shared" si="225"/>
        <v/>
      </c>
    </row>
    <row r="349" spans="3:21" ht="13.5" thickBot="1" x14ac:dyDescent="0.25">
      <c r="C349" s="1366"/>
      <c r="I349" s="1408">
        <f>SUM(I342:I347)</f>
        <v>149301.10607079451</v>
      </c>
      <c r="J349" s="1329"/>
      <c r="O349" s="1408">
        <f>SUM(O342:O347)</f>
        <v>96048.524183723959</v>
      </c>
      <c r="U349" s="1408">
        <f>SUM(U342:U347)</f>
        <v>24012.13104593099</v>
      </c>
    </row>
    <row r="350" spans="3:21" ht="39" thickBot="1" x14ac:dyDescent="0.25">
      <c r="C350" s="1400" t="s">
        <v>952</v>
      </c>
      <c r="D350" s="1399" t="s">
        <v>15</v>
      </c>
      <c r="E350" s="1435"/>
      <c r="F350" s="1435"/>
      <c r="G350" s="1435" t="s">
        <v>1222</v>
      </c>
      <c r="H350" s="1435"/>
      <c r="I350" s="1394" t="str">
        <f>I329</f>
        <v>Test Year Versus Board-approved</v>
      </c>
      <c r="J350" s="1407"/>
      <c r="K350" s="1395" t="s">
        <v>15</v>
      </c>
      <c r="L350" s="1874" t="s">
        <v>1222</v>
      </c>
      <c r="M350" s="1874"/>
      <c r="N350" s="1435"/>
      <c r="O350" s="1394" t="str">
        <f>I350</f>
        <v>Test Year Versus Board-approved</v>
      </c>
      <c r="P350" s="1380"/>
      <c r="Q350" s="1395" t="s">
        <v>15</v>
      </c>
      <c r="R350" s="1874" t="s">
        <v>1222</v>
      </c>
      <c r="S350" s="1874"/>
      <c r="T350" s="1435"/>
      <c r="U350" s="1394" t="str">
        <f>O350</f>
        <v>Test Year Versus Board-approved</v>
      </c>
    </row>
    <row r="351" spans="3:21" x14ac:dyDescent="0.2">
      <c r="C351" s="1265"/>
      <c r="D351" s="1402">
        <f t="shared" ref="D351:D357" si="226">D342</f>
        <v>2011</v>
      </c>
      <c r="E351" s="1345"/>
      <c r="F351" s="1329"/>
      <c r="G351" s="1372"/>
      <c r="H351" s="1329"/>
      <c r="I351" s="1378"/>
      <c r="J351" s="1265"/>
      <c r="K351" s="1363">
        <f>D351</f>
        <v>2011</v>
      </c>
      <c r="L351" s="1351"/>
      <c r="M351" s="1351"/>
      <c r="N351" s="1329"/>
      <c r="O351" s="1381"/>
      <c r="P351" s="1265"/>
      <c r="Q351" s="1363">
        <f>K351</f>
        <v>2011</v>
      </c>
      <c r="R351" s="1330"/>
      <c r="S351" s="1330"/>
      <c r="T351" s="1329"/>
      <c r="U351" s="1324"/>
    </row>
    <row r="352" spans="3:21" x14ac:dyDescent="0.2">
      <c r="C352" s="1265"/>
      <c r="D352" s="1365">
        <f t="shared" si="226"/>
        <v>2012</v>
      </c>
      <c r="E352" s="1329"/>
      <c r="F352" s="1329"/>
      <c r="G352" s="1373" t="str">
        <f t="shared" ref="G352:G357" si="227">IF(G342=0,"",G343/G342-1)</f>
        <v/>
      </c>
      <c r="H352" s="1329"/>
      <c r="I352" s="1378"/>
      <c r="J352" s="1265"/>
      <c r="K352" s="1363">
        <f t="shared" ref="K352:K358" si="228">D352</f>
        <v>2012</v>
      </c>
      <c r="L352" s="1353">
        <f t="shared" ref="L352:M355" si="229">IF(L342=0,"",L343/L342-1)</f>
        <v>-2.3850282590030858E-2</v>
      </c>
      <c r="M352" s="1353">
        <f t="shared" si="229"/>
        <v>-1.2401667630860369E-2</v>
      </c>
      <c r="N352" s="1329"/>
      <c r="O352" s="1381"/>
      <c r="P352" s="1265"/>
      <c r="Q352" s="1363">
        <f t="shared" ref="Q352:Q358" si="230">K352</f>
        <v>2012</v>
      </c>
      <c r="R352" s="1374">
        <f t="shared" ref="R352:S355" si="231">IF(R342="","",IF(R342=0,"",R343/R342-1))</f>
        <v>-2.3850282590030858E-2</v>
      </c>
      <c r="S352" s="1374">
        <f t="shared" si="231"/>
        <v>-1.2401667630860369E-2</v>
      </c>
      <c r="T352" s="1329"/>
      <c r="U352" s="1324"/>
    </row>
    <row r="353" spans="2:22" x14ac:dyDescent="0.2">
      <c r="C353" s="1265"/>
      <c r="D353" s="1401">
        <f t="shared" si="226"/>
        <v>2013</v>
      </c>
      <c r="E353" s="1329"/>
      <c r="F353" s="1329"/>
      <c r="G353" s="1373">
        <f t="shared" si="227"/>
        <v>0.75682870605426555</v>
      </c>
      <c r="H353" s="1329"/>
      <c r="I353" s="1378"/>
      <c r="J353" s="1265"/>
      <c r="K353" s="1363">
        <f t="shared" si="228"/>
        <v>2013</v>
      </c>
      <c r="L353" s="1353">
        <f t="shared" si="229"/>
        <v>-5.0281580447830709E-3</v>
      </c>
      <c r="M353" s="1353">
        <f t="shared" si="229"/>
        <v>-3.6494609165338421E-4</v>
      </c>
      <c r="N353" s="1329"/>
      <c r="O353" s="1381"/>
      <c r="P353" s="1265"/>
      <c r="Q353" s="1363">
        <f t="shared" si="230"/>
        <v>2013</v>
      </c>
      <c r="R353" s="1374">
        <f t="shared" si="231"/>
        <v>-5.0281580447830709E-3</v>
      </c>
      <c r="S353" s="1374">
        <f t="shared" si="231"/>
        <v>-3.6494609165338421E-4</v>
      </c>
      <c r="T353" s="1329"/>
      <c r="U353" s="1324"/>
    </row>
    <row r="354" spans="2:22" x14ac:dyDescent="0.2">
      <c r="C354" s="1265"/>
      <c r="D354" s="1365">
        <f t="shared" si="226"/>
        <v>2014</v>
      </c>
      <c r="E354" s="1329"/>
      <c r="F354" s="1329"/>
      <c r="G354" s="1373">
        <f t="shared" si="227"/>
        <v>-0.99999443067338945</v>
      </c>
      <c r="H354" s="1329"/>
      <c r="I354" s="1378"/>
      <c r="J354" s="1265"/>
      <c r="K354" s="1363">
        <f t="shared" si="228"/>
        <v>2014</v>
      </c>
      <c r="L354" s="1353">
        <f t="shared" si="229"/>
        <v>4.2805738163523399E-2</v>
      </c>
      <c r="M354" s="1353">
        <f t="shared" si="229"/>
        <v>4.3120472101190188E-2</v>
      </c>
      <c r="N354" s="1329"/>
      <c r="O354" s="1381"/>
      <c r="P354" s="1265"/>
      <c r="Q354" s="1363">
        <f t="shared" si="230"/>
        <v>2014</v>
      </c>
      <c r="R354" s="1374">
        <f t="shared" si="231"/>
        <v>4.2805738163523399E-2</v>
      </c>
      <c r="S354" s="1374">
        <f t="shared" si="231"/>
        <v>4.3120472101190188E-2</v>
      </c>
      <c r="T354" s="1329"/>
      <c r="U354" s="1324"/>
    </row>
    <row r="355" spans="2:22" x14ac:dyDescent="0.2">
      <c r="C355" s="1265"/>
      <c r="D355" s="1365">
        <f t="shared" si="226"/>
        <v>2015</v>
      </c>
      <c r="E355" s="1329"/>
      <c r="F355" s="1329"/>
      <c r="G355" s="1373">
        <f t="shared" si="227"/>
        <v>163335</v>
      </c>
      <c r="H355" s="1329"/>
      <c r="I355" s="1378"/>
      <c r="J355" s="1265"/>
      <c r="K355" s="1363">
        <f t="shared" si="228"/>
        <v>2015</v>
      </c>
      <c r="L355" s="1353">
        <f t="shared" si="229"/>
        <v>-8.5836587342518089E-2</v>
      </c>
      <c r="M355" s="1353">
        <f t="shared" si="229"/>
        <v>-7.6487539767718382E-2</v>
      </c>
      <c r="N355" s="1329"/>
      <c r="O355" s="1381"/>
      <c r="P355" s="1265"/>
      <c r="Q355" s="1363">
        <f t="shared" si="230"/>
        <v>2015</v>
      </c>
      <c r="R355" s="1374">
        <f t="shared" si="231"/>
        <v>-8.5836587342518089E-2</v>
      </c>
      <c r="S355" s="1374">
        <f t="shared" si="231"/>
        <v>-7.6487539767718382E-2</v>
      </c>
      <c r="T355" s="1329"/>
      <c r="U355" s="1324"/>
    </row>
    <row r="356" spans="2:22" x14ac:dyDescent="0.2">
      <c r="C356" s="1265"/>
      <c r="D356" s="1365">
        <f t="shared" si="226"/>
        <v>2016</v>
      </c>
      <c r="E356" s="1329"/>
      <c r="F356" s="1329"/>
      <c r="G356" s="1373">
        <f t="shared" si="227"/>
        <v>-0.28800255657122265</v>
      </c>
      <c r="H356" s="1329"/>
      <c r="I356" s="1378"/>
      <c r="J356" s="1265"/>
      <c r="K356" s="1363">
        <f t="shared" si="228"/>
        <v>2016</v>
      </c>
      <c r="L356" s="1353" t="str">
        <f>IF(K347="Forecast","",IF(L346=0,"",L347/L346-1))</f>
        <v/>
      </c>
      <c r="M356" s="1353">
        <f>IF(M346=0,"",M347/M346-1)</f>
        <v>-6.4832432909969762E-2</v>
      </c>
      <c r="N356" s="1329"/>
      <c r="O356" s="1381"/>
      <c r="P356" s="1265"/>
      <c r="Q356" s="1363">
        <f t="shared" si="230"/>
        <v>2016</v>
      </c>
      <c r="R356" s="1374" t="str">
        <f>IF(Q347="Forecast","",IF(R346=0,"",R347/R346-1))</f>
        <v/>
      </c>
      <c r="S356" s="1374">
        <f>IF(S346="","",IF(S346=0,"",S347/S346-1))</f>
        <v>-6.4832432909969762E-2</v>
      </c>
      <c r="T356" s="1329"/>
      <c r="U356" s="1324"/>
    </row>
    <row r="357" spans="2:22" x14ac:dyDescent="0.2">
      <c r="C357" s="1265"/>
      <c r="D357" s="1401">
        <f t="shared" si="226"/>
        <v>2017</v>
      </c>
      <c r="E357" s="1329"/>
      <c r="F357" s="1329"/>
      <c r="G357" s="1373">
        <f t="shared" si="227"/>
        <v>-0.49717545243283756</v>
      </c>
      <c r="H357" s="1329"/>
      <c r="I357" s="1379">
        <f>IF(I349=0,"",G348/I349-1)</f>
        <v>-0.608335872492753</v>
      </c>
      <c r="J357" s="1265"/>
      <c r="K357" s="1363">
        <f t="shared" si="228"/>
        <v>2017</v>
      </c>
      <c r="L357" s="1353" t="str">
        <f>IF(K348="Forecast","",IF(L347=0,"",L348/L347-1))</f>
        <v/>
      </c>
      <c r="M357" s="1353">
        <f>IF(M347=0,"",M348/M347-1)</f>
        <v>-3.2160558130495009E-2</v>
      </c>
      <c r="N357" s="1329"/>
      <c r="O357" s="1382">
        <f>IF(O349=0,"",M348/O349-1)</f>
        <v>7.6807254269430913E-3</v>
      </c>
      <c r="P357" s="1265"/>
      <c r="Q357" s="1363">
        <f t="shared" si="230"/>
        <v>2017</v>
      </c>
      <c r="R357" s="1374" t="str">
        <f>IF(Q348="Forecast","",IF(R347=0,"",R348/R347-1))</f>
        <v/>
      </c>
      <c r="S357" s="1374">
        <f>IF(S347="","",IF(S347=0,"",S348/S347-1))</f>
        <v>-3.2160558130495009E-2</v>
      </c>
      <c r="T357" s="1329"/>
      <c r="U357" s="1354">
        <f>IF(U349=0,"",S348/U349-1)</f>
        <v>7.6807254269430913E-3</v>
      </c>
    </row>
    <row r="358" spans="2:22" ht="26.25" thickBot="1" x14ac:dyDescent="0.25">
      <c r="C358" s="1271"/>
      <c r="D358" s="1405" t="s">
        <v>1221</v>
      </c>
      <c r="E358" s="1355"/>
      <c r="F358" s="1355"/>
      <c r="G358" s="1375" t="str">
        <f>IF(G342=0,"",(G348/G342)^(1/($D348-$D342-1))-1)</f>
        <v/>
      </c>
      <c r="H358" s="1355"/>
      <c r="I358" s="1371">
        <f>IF(I349=0,"",(G348/I349)^(1/(TestYear-RebaseYear-1))-1)</f>
        <v>-0.20890534707312391</v>
      </c>
      <c r="J358" s="1265"/>
      <c r="K358" s="1404" t="str">
        <f t="shared" si="228"/>
        <v>Geometric Mean</v>
      </c>
      <c r="L358" s="1358">
        <f>IF(L342=0,"",(L346/L342)^(1/($D346-$D342-1))-1)</f>
        <v>-2.5343708963334932E-2</v>
      </c>
      <c r="M358" s="1358">
        <f>IF(M342=0,"",(M348/M342)^(1/($D348-$D342-1))-1)</f>
        <v>-2.9538387201951344E-2</v>
      </c>
      <c r="N358" s="1355"/>
      <c r="O358" s="1371">
        <f>IF(O349=0,"",(M348/O349)^(1/(TestYear-RebaseYear-1))-1)</f>
        <v>1.9146753616006151E-3</v>
      </c>
      <c r="P358" s="1271"/>
      <c r="Q358" s="1404" t="str">
        <f t="shared" si="230"/>
        <v>Geometric Mean</v>
      </c>
      <c r="R358" s="1376">
        <f>IF(R342="","",IF(R342=0,"",(R346/R342)^(1/($D346-$D342-1))-1))</f>
        <v>-2.5343708963334932E-2</v>
      </c>
      <c r="S358" s="1358">
        <f>IF(S342="","",IF(S342=0,"",(S348/S342)^(1/($D348-$D342-1))-1))</f>
        <v>-2.9538387201951344E-2</v>
      </c>
      <c r="T358" s="1355"/>
      <c r="U358" s="1371">
        <f>IF(U349=0,"",(S348/U349)^(1/(TestYear-RebaseYear-1))-1)</f>
        <v>1.9146753616006151E-3</v>
      </c>
    </row>
    <row r="359" spans="2:22" ht="13.5" thickBot="1" x14ac:dyDescent="0.25"/>
    <row r="360" spans="2:22" ht="13.5" thickBot="1" x14ac:dyDescent="0.25">
      <c r="B360" s="1318">
        <f>B317+1</f>
        <v>8</v>
      </c>
      <c r="C360" s="3" t="s">
        <v>14</v>
      </c>
      <c r="D360" s="1880"/>
      <c r="E360" s="1881"/>
      <c r="F360" s="1882"/>
      <c r="G360" s="1291"/>
      <c r="H360" s="13" t="s">
        <v>1224</v>
      </c>
      <c r="N360" s="1317"/>
      <c r="O360" s="1316"/>
      <c r="P360" s="1316"/>
      <c r="Q360" s="1316"/>
      <c r="R360" s="1316"/>
      <c r="S360" s="1316"/>
      <c r="T360" s="1316"/>
      <c r="U360" s="1316"/>
    </row>
    <row r="361" spans="2:22" ht="13.5" thickBot="1" x14ac:dyDescent="0.25">
      <c r="Q361" s="1355"/>
      <c r="R361" s="1355"/>
      <c r="S361" s="1355"/>
      <c r="T361" s="1355"/>
      <c r="U361" s="1355"/>
    </row>
    <row r="362" spans="2:22" x14ac:dyDescent="0.2">
      <c r="C362" s="1264"/>
      <c r="D362" s="1268" t="s">
        <v>1205</v>
      </c>
      <c r="E362" s="1268"/>
      <c r="F362" s="1883" t="s">
        <v>1034</v>
      </c>
      <c r="G362" s="1884"/>
      <c r="H362" s="1884"/>
      <c r="I362" s="1885"/>
      <c r="J362" s="1268"/>
      <c r="K362" s="1859" t="s">
        <v>1213</v>
      </c>
      <c r="L362" s="1860"/>
      <c r="M362" s="1860"/>
      <c r="N362" s="1860"/>
      <c r="O362" s="1861"/>
      <c r="P362" s="1287"/>
      <c r="Q362" s="1869" t="str">
        <f>CONCATENATE("Consumption (kWh) per ",LEFT(F362,LEN(F362)-1))</f>
        <v>Consumption (kWh) per Customer</v>
      </c>
      <c r="R362" s="1879"/>
      <c r="S362" s="1879"/>
      <c r="T362" s="1879"/>
      <c r="U362" s="1870"/>
      <c r="V362" s="1308"/>
    </row>
    <row r="363" spans="2:22" ht="39" thickBot="1" x14ac:dyDescent="0.25">
      <c r="C363" s="1271"/>
      <c r="D363" s="1277" t="str">
        <f>CONCATENATE("(for ",TestYear," Cost of Service")</f>
        <v>(for 2017 Cost of Service</v>
      </c>
      <c r="E363" s="1266"/>
      <c r="F363" s="1872"/>
      <c r="G363" s="1873"/>
      <c r="H363" s="1875"/>
      <c r="I363" s="1296"/>
      <c r="J363" s="1266"/>
      <c r="K363" s="1284"/>
      <c r="L363" s="1433" t="s">
        <v>1226</v>
      </c>
      <c r="M363" s="1433" t="s">
        <v>1210</v>
      </c>
      <c r="N363" s="1305"/>
      <c r="O363" s="1306" t="s">
        <v>1210</v>
      </c>
      <c r="P363" s="1266"/>
      <c r="Q363" s="1389"/>
      <c r="R363" s="1390" t="str">
        <f>L363</f>
        <v>Actual (Weather actual)</v>
      </c>
      <c r="S363" s="1391" t="str">
        <f>M363</f>
        <v>Weather-normalized</v>
      </c>
      <c r="T363" s="1391"/>
      <c r="U363" s="1392" t="str">
        <f>O363</f>
        <v>Weather-normalized</v>
      </c>
      <c r="V363" s="1308"/>
    </row>
    <row r="364" spans="2:22" x14ac:dyDescent="0.2">
      <c r="C364" s="1266" t="s">
        <v>890</v>
      </c>
      <c r="D364" s="1363">
        <f t="shared" ref="D364:D369" si="232">D365-1</f>
        <v>2011</v>
      </c>
      <c r="E364" s="1265"/>
      <c r="F364" s="1313" t="str">
        <f>F321</f>
        <v>Actual</v>
      </c>
      <c r="G364" s="1301"/>
      <c r="H364" s="1297" t="str">
        <f t="shared" ref="H364:H370" si="233">IF(D364=RebaseYear,"Board-approved","")</f>
        <v/>
      </c>
      <c r="I364" s="1324"/>
      <c r="J364" s="1265"/>
      <c r="K364" s="1282" t="str">
        <f>F364</f>
        <v>Actual</v>
      </c>
      <c r="L364" s="1294"/>
      <c r="M364" s="1294"/>
      <c r="N364" s="1258" t="str">
        <f>H364</f>
        <v/>
      </c>
      <c r="O364" s="1324"/>
      <c r="P364" s="1265"/>
      <c r="Q364" s="1385" t="str">
        <f>K364</f>
        <v>Actual</v>
      </c>
      <c r="R364" s="1387" t="str">
        <f>IF(G364=0,"",L364/G364)</f>
        <v/>
      </c>
      <c r="S364" s="1329" t="str">
        <f>IF(G364=0,"",M364/G364)</f>
        <v/>
      </c>
      <c r="T364" s="1329" t="str">
        <f>N364</f>
        <v/>
      </c>
      <c r="U364" s="1329" t="str">
        <f>IF(T364="","",IF(I364=0,"",O364/I364))</f>
        <v/>
      </c>
      <c r="V364" s="1309"/>
    </row>
    <row r="365" spans="2:22" x14ac:dyDescent="0.2">
      <c r="C365" s="1266" t="s">
        <v>890</v>
      </c>
      <c r="D365" s="1363">
        <f t="shared" si="232"/>
        <v>2012</v>
      </c>
      <c r="E365" s="1265"/>
      <c r="F365" s="1314" t="str">
        <f t="shared" ref="F365:F370" si="234">F322</f>
        <v>Actual</v>
      </c>
      <c r="G365" s="1301"/>
      <c r="H365" s="1297" t="str">
        <f t="shared" si="233"/>
        <v>Board-approved</v>
      </c>
      <c r="I365" s="1324"/>
      <c r="J365" s="1265"/>
      <c r="K365" s="1282" t="str">
        <f t="shared" ref="K365:K370" si="235">F365</f>
        <v>Actual</v>
      </c>
      <c r="L365" s="1294"/>
      <c r="M365" s="1294"/>
      <c r="N365" s="1258" t="str">
        <f t="shared" ref="N365:N370" si="236">H365</f>
        <v>Board-approved</v>
      </c>
      <c r="O365" s="1324"/>
      <c r="P365" s="1265"/>
      <c r="Q365" s="1385" t="str">
        <f t="shared" ref="Q365:Q370" si="237">K365</f>
        <v>Actual</v>
      </c>
      <c r="R365" s="1387" t="str">
        <f t="shared" ref="R365:R370" si="238">IF(G365=0,"",L365/G365)</f>
        <v/>
      </c>
      <c r="S365" s="1329" t="str">
        <f t="shared" ref="S365:S370" si="239">IF(G365=0,"",M365/G365)</f>
        <v/>
      </c>
      <c r="T365" s="1329" t="str">
        <f t="shared" ref="T365:T370" si="240">N365</f>
        <v>Board-approved</v>
      </c>
      <c r="U365" s="1329" t="str">
        <f t="shared" ref="U365:U370" si="241">IF(T365="","",IF(I365=0,"",O365/I365))</f>
        <v/>
      </c>
      <c r="V365" s="1309"/>
    </row>
    <row r="366" spans="2:22" x14ac:dyDescent="0.2">
      <c r="C366" s="1266" t="s">
        <v>890</v>
      </c>
      <c r="D366" s="1363">
        <f t="shared" si="232"/>
        <v>2013</v>
      </c>
      <c r="E366" s="1265"/>
      <c r="F366" s="1314" t="str">
        <f t="shared" si="234"/>
        <v>Actual</v>
      </c>
      <c r="G366" s="1301"/>
      <c r="H366" s="1297" t="str">
        <f t="shared" si="233"/>
        <v/>
      </c>
      <c r="I366" s="1325"/>
      <c r="J366" s="1265"/>
      <c r="K366" s="1282" t="str">
        <f t="shared" si="235"/>
        <v>Actual</v>
      </c>
      <c r="L366" s="1294"/>
      <c r="M366" s="1294"/>
      <c r="N366" s="1258" t="str">
        <f t="shared" si="236"/>
        <v/>
      </c>
      <c r="O366" s="1325"/>
      <c r="P366" s="1265"/>
      <c r="Q366" s="1385" t="str">
        <f t="shared" si="237"/>
        <v>Actual</v>
      </c>
      <c r="R366" s="1387" t="str">
        <f t="shared" si="238"/>
        <v/>
      </c>
      <c r="S366" s="1329" t="str">
        <f t="shared" si="239"/>
        <v/>
      </c>
      <c r="T366" s="1329" t="str">
        <f t="shared" si="240"/>
        <v/>
      </c>
      <c r="U366" s="1329" t="str">
        <f t="shared" si="241"/>
        <v/>
      </c>
      <c r="V366" s="1309"/>
    </row>
    <row r="367" spans="2:22" x14ac:dyDescent="0.2">
      <c r="C367" s="1266" t="s">
        <v>890</v>
      </c>
      <c r="D367" s="1363">
        <f t="shared" si="232"/>
        <v>2014</v>
      </c>
      <c r="E367" s="1265"/>
      <c r="F367" s="1314" t="str">
        <f t="shared" si="234"/>
        <v>Actual</v>
      </c>
      <c r="G367" s="1301"/>
      <c r="H367" s="1297" t="str">
        <f t="shared" si="233"/>
        <v/>
      </c>
      <c r="I367" s="1324"/>
      <c r="J367" s="1265"/>
      <c r="K367" s="1282" t="str">
        <f t="shared" si="235"/>
        <v>Actual</v>
      </c>
      <c r="L367" s="1294"/>
      <c r="M367" s="1294"/>
      <c r="N367" s="1258" t="str">
        <f t="shared" si="236"/>
        <v/>
      </c>
      <c r="O367" s="1324"/>
      <c r="P367" s="1265"/>
      <c r="Q367" s="1385" t="str">
        <f t="shared" si="237"/>
        <v>Actual</v>
      </c>
      <c r="R367" s="1387" t="str">
        <f t="shared" si="238"/>
        <v/>
      </c>
      <c r="S367" s="1329" t="str">
        <f t="shared" si="239"/>
        <v/>
      </c>
      <c r="T367" s="1329" t="str">
        <f t="shared" si="240"/>
        <v/>
      </c>
      <c r="U367" s="1329" t="str">
        <f t="shared" si="241"/>
        <v/>
      </c>
      <c r="V367" s="1309"/>
    </row>
    <row r="368" spans="2:22" x14ac:dyDescent="0.2">
      <c r="C368" s="1266" t="s">
        <v>890</v>
      </c>
      <c r="D368" s="1363">
        <f t="shared" si="232"/>
        <v>2015</v>
      </c>
      <c r="E368" s="1265"/>
      <c r="F368" s="1314" t="str">
        <f t="shared" si="234"/>
        <v>Actual</v>
      </c>
      <c r="G368" s="1301"/>
      <c r="H368" s="1297" t="str">
        <f t="shared" si="233"/>
        <v/>
      </c>
      <c r="I368" s="1324"/>
      <c r="J368" s="1265"/>
      <c r="K368" s="1282" t="str">
        <f t="shared" si="235"/>
        <v>Actual</v>
      </c>
      <c r="L368" s="1294"/>
      <c r="M368" s="1294"/>
      <c r="N368" s="1258" t="str">
        <f t="shared" si="236"/>
        <v/>
      </c>
      <c r="O368" s="1324"/>
      <c r="P368" s="1265"/>
      <c r="Q368" s="1385" t="str">
        <f t="shared" si="237"/>
        <v>Actual</v>
      </c>
      <c r="R368" s="1387" t="str">
        <f t="shared" si="238"/>
        <v/>
      </c>
      <c r="S368" s="1329" t="str">
        <f t="shared" si="239"/>
        <v/>
      </c>
      <c r="T368" s="1329" t="str">
        <f t="shared" si="240"/>
        <v/>
      </c>
      <c r="U368" s="1329" t="str">
        <f t="shared" si="241"/>
        <v/>
      </c>
      <c r="V368" s="1309"/>
    </row>
    <row r="369" spans="2:22" x14ac:dyDescent="0.2">
      <c r="C369" s="1266" t="s">
        <v>313</v>
      </c>
      <c r="D369" s="1363">
        <f t="shared" si="232"/>
        <v>2016</v>
      </c>
      <c r="E369" s="1265"/>
      <c r="F369" s="1314" t="str">
        <f t="shared" si="234"/>
        <v>Forecast</v>
      </c>
      <c r="G369" s="1301"/>
      <c r="H369" s="1297" t="str">
        <f t="shared" si="233"/>
        <v/>
      </c>
      <c r="I369" s="1324"/>
      <c r="J369" s="1265"/>
      <c r="K369" s="1282" t="str">
        <f t="shared" si="235"/>
        <v>Forecast</v>
      </c>
      <c r="L369" s="1303"/>
      <c r="M369" s="1332"/>
      <c r="N369" s="1258" t="str">
        <f t="shared" si="236"/>
        <v/>
      </c>
      <c r="O369" s="1324"/>
      <c r="P369" s="1265"/>
      <c r="Q369" s="1385" t="str">
        <f t="shared" si="237"/>
        <v>Forecast</v>
      </c>
      <c r="R369" s="1387" t="str">
        <f t="shared" si="238"/>
        <v/>
      </c>
      <c r="S369" s="1329" t="str">
        <f t="shared" si="239"/>
        <v/>
      </c>
      <c r="T369" s="1329" t="str">
        <f t="shared" si="240"/>
        <v/>
      </c>
      <c r="U369" s="1329" t="str">
        <f t="shared" si="241"/>
        <v/>
      </c>
      <c r="V369" s="1309"/>
    </row>
    <row r="370" spans="2:22" ht="13.5" thickBot="1" x14ac:dyDescent="0.25">
      <c r="C370" s="1267" t="s">
        <v>314</v>
      </c>
      <c r="D370" s="1364">
        <f>TestYear</f>
        <v>2017</v>
      </c>
      <c r="E370" s="1271"/>
      <c r="F370" s="1315" t="str">
        <f t="shared" si="234"/>
        <v>Forecast</v>
      </c>
      <c r="G370" s="1302"/>
      <c r="H370" s="1298" t="str">
        <f t="shared" si="233"/>
        <v/>
      </c>
      <c r="I370" s="1326"/>
      <c r="J370" s="1271"/>
      <c r="K370" s="1283" t="str">
        <f t="shared" si="235"/>
        <v>Forecast</v>
      </c>
      <c r="L370" s="1304"/>
      <c r="M370" s="1333"/>
      <c r="N370" s="1262" t="str">
        <f t="shared" si="236"/>
        <v/>
      </c>
      <c r="O370" s="1326"/>
      <c r="P370" s="1271"/>
      <c r="Q370" s="1386" t="str">
        <f t="shared" si="237"/>
        <v>Forecast</v>
      </c>
      <c r="R370" s="1388" t="str">
        <f t="shared" si="238"/>
        <v/>
      </c>
      <c r="S370" s="1355" t="str">
        <f t="shared" si="239"/>
        <v/>
      </c>
      <c r="T370" s="1355" t="str">
        <f t="shared" si="240"/>
        <v/>
      </c>
      <c r="U370" s="1355" t="str">
        <f t="shared" si="241"/>
        <v/>
      </c>
      <c r="V370" s="1309"/>
    </row>
    <row r="371" spans="2:22" ht="13.5" thickBot="1" x14ac:dyDescent="0.25">
      <c r="B371" s="1329"/>
      <c r="C371" s="1366"/>
      <c r="I371" s="1408">
        <f>SUM(I364:I369)</f>
        <v>0</v>
      </c>
      <c r="O371" s="1408">
        <f>SUM(O364:O369)</f>
        <v>0</v>
      </c>
      <c r="U371" s="1408">
        <f>SUM(U364:U369)</f>
        <v>0</v>
      </c>
    </row>
    <row r="372" spans="2:22" ht="39" thickBot="1" x14ac:dyDescent="0.25">
      <c r="C372" s="1400" t="s">
        <v>952</v>
      </c>
      <c r="D372" s="1399" t="s">
        <v>15</v>
      </c>
      <c r="E372" s="1361"/>
      <c r="F372" s="1361"/>
      <c r="G372" s="1435" t="s">
        <v>1222</v>
      </c>
      <c r="H372" s="1361"/>
      <c r="I372" s="1394" t="s">
        <v>1235</v>
      </c>
      <c r="J372" s="1396"/>
      <c r="K372" s="1395" t="s">
        <v>15</v>
      </c>
      <c r="L372" s="1874" t="s">
        <v>1222</v>
      </c>
      <c r="M372" s="1874"/>
      <c r="N372" s="1361"/>
      <c r="O372" s="1394" t="str">
        <f>I372</f>
        <v>Test Year Versus Board-approved</v>
      </c>
      <c r="P372" s="1397"/>
      <c r="Q372" s="1395" t="s">
        <v>15</v>
      </c>
      <c r="R372" s="1874" t="s">
        <v>1222</v>
      </c>
      <c r="S372" s="1874"/>
      <c r="T372" s="1361"/>
      <c r="U372" s="1394" t="str">
        <f>O372</f>
        <v>Test Year Versus Board-approved</v>
      </c>
    </row>
    <row r="373" spans="2:22" x14ac:dyDescent="0.2">
      <c r="C373" s="1265"/>
      <c r="D373" s="1377">
        <f t="shared" ref="D373:D379" si="242">D364</f>
        <v>2011</v>
      </c>
      <c r="E373" s="1329"/>
      <c r="F373" s="1329"/>
      <c r="G373" s="1372"/>
      <c r="H373" s="1329"/>
      <c r="I373" s="1378"/>
      <c r="J373" s="1384"/>
      <c r="K373" s="1363">
        <f>D373</f>
        <v>2011</v>
      </c>
      <c r="L373" s="1351"/>
      <c r="M373" s="1351"/>
      <c r="N373" s="1329"/>
      <c r="O373" s="1324"/>
      <c r="P373" s="1265"/>
      <c r="Q373" s="1363">
        <f>K373</f>
        <v>2011</v>
      </c>
      <c r="R373" s="1330"/>
      <c r="S373" s="1330"/>
      <c r="T373" s="1329"/>
      <c r="U373" s="1324"/>
    </row>
    <row r="374" spans="2:22" x14ac:dyDescent="0.2">
      <c r="C374" s="1265"/>
      <c r="D374" s="1365">
        <f t="shared" si="242"/>
        <v>2012</v>
      </c>
      <c r="E374" s="1329"/>
      <c r="F374" s="1329"/>
      <c r="G374" s="1373" t="str">
        <f t="shared" ref="G374:G379" si="243">IF(G364=0,"",G365/G364-1)</f>
        <v/>
      </c>
      <c r="H374" s="1329"/>
      <c r="I374" s="1378"/>
      <c r="J374" s="1384"/>
      <c r="K374" s="1363">
        <f t="shared" ref="K374:K380" si="244">D374</f>
        <v>2012</v>
      </c>
      <c r="L374" s="1353" t="str">
        <f t="shared" ref="L374:M377" si="245">IF(L364=0,"",L365/L364-1)</f>
        <v/>
      </c>
      <c r="M374" s="1353" t="str">
        <f t="shared" si="245"/>
        <v/>
      </c>
      <c r="N374" s="1329"/>
      <c r="O374" s="1324"/>
      <c r="P374" s="1265"/>
      <c r="Q374" s="1363">
        <f t="shared" ref="Q374:Q380" si="246">K374</f>
        <v>2012</v>
      </c>
      <c r="R374" s="1374" t="str">
        <f t="shared" ref="R374:S377" si="247">IF(R364="","",IF(R364=0,"",R365/R364-1))</f>
        <v/>
      </c>
      <c r="S374" s="1374" t="str">
        <f t="shared" si="247"/>
        <v/>
      </c>
      <c r="T374" s="1329"/>
      <c r="U374" s="1324"/>
    </row>
    <row r="375" spans="2:22" x14ac:dyDescent="0.2">
      <c r="C375" s="1265"/>
      <c r="D375" s="1365">
        <f t="shared" si="242"/>
        <v>2013</v>
      </c>
      <c r="E375" s="1329"/>
      <c r="F375" s="1329"/>
      <c r="G375" s="1373" t="str">
        <f t="shared" si="243"/>
        <v/>
      </c>
      <c r="H375" s="1329"/>
      <c r="I375" s="1378"/>
      <c r="J375" s="1384"/>
      <c r="K375" s="1363">
        <f t="shared" si="244"/>
        <v>2013</v>
      </c>
      <c r="L375" s="1353" t="str">
        <f t="shared" si="245"/>
        <v/>
      </c>
      <c r="M375" s="1353" t="str">
        <f t="shared" si="245"/>
        <v/>
      </c>
      <c r="N375" s="1329"/>
      <c r="O375" s="1324"/>
      <c r="P375" s="1265"/>
      <c r="Q375" s="1363">
        <f t="shared" si="246"/>
        <v>2013</v>
      </c>
      <c r="R375" s="1374" t="str">
        <f t="shared" si="247"/>
        <v/>
      </c>
      <c r="S375" s="1374" t="str">
        <f t="shared" si="247"/>
        <v/>
      </c>
      <c r="T375" s="1329"/>
      <c r="U375" s="1324"/>
    </row>
    <row r="376" spans="2:22" x14ac:dyDescent="0.2">
      <c r="C376" s="1265"/>
      <c r="D376" s="1365">
        <f t="shared" si="242"/>
        <v>2014</v>
      </c>
      <c r="E376" s="1329"/>
      <c r="F376" s="1329"/>
      <c r="G376" s="1373" t="str">
        <f t="shared" si="243"/>
        <v/>
      </c>
      <c r="H376" s="1329"/>
      <c r="I376" s="1378"/>
      <c r="J376" s="1384"/>
      <c r="K376" s="1363">
        <f t="shared" si="244"/>
        <v>2014</v>
      </c>
      <c r="L376" s="1353" t="str">
        <f t="shared" si="245"/>
        <v/>
      </c>
      <c r="M376" s="1353" t="str">
        <f t="shared" si="245"/>
        <v/>
      </c>
      <c r="N376" s="1329"/>
      <c r="O376" s="1324"/>
      <c r="P376" s="1265"/>
      <c r="Q376" s="1363">
        <f t="shared" si="246"/>
        <v>2014</v>
      </c>
      <c r="R376" s="1374" t="str">
        <f t="shared" si="247"/>
        <v/>
      </c>
      <c r="S376" s="1374" t="str">
        <f t="shared" si="247"/>
        <v/>
      </c>
      <c r="T376" s="1329"/>
      <c r="U376" s="1324"/>
    </row>
    <row r="377" spans="2:22" x14ac:dyDescent="0.2">
      <c r="C377" s="1265"/>
      <c r="D377" s="1365">
        <f t="shared" si="242"/>
        <v>2015</v>
      </c>
      <c r="E377" s="1329"/>
      <c r="F377" s="1329"/>
      <c r="G377" s="1373" t="str">
        <f t="shared" si="243"/>
        <v/>
      </c>
      <c r="H377" s="1329"/>
      <c r="I377" s="1378"/>
      <c r="J377" s="1384"/>
      <c r="K377" s="1363">
        <f t="shared" si="244"/>
        <v>2015</v>
      </c>
      <c r="L377" s="1353" t="str">
        <f t="shared" si="245"/>
        <v/>
      </c>
      <c r="M377" s="1353" t="str">
        <f t="shared" si="245"/>
        <v/>
      </c>
      <c r="N377" s="1329"/>
      <c r="O377" s="1324"/>
      <c r="P377" s="1265"/>
      <c r="Q377" s="1363">
        <f t="shared" si="246"/>
        <v>2015</v>
      </c>
      <c r="R377" s="1374" t="str">
        <f t="shared" si="247"/>
        <v/>
      </c>
      <c r="S377" s="1374" t="str">
        <f t="shared" si="247"/>
        <v/>
      </c>
      <c r="T377" s="1329"/>
      <c r="U377" s="1324"/>
    </row>
    <row r="378" spans="2:22" x14ac:dyDescent="0.2">
      <c r="C378" s="1265"/>
      <c r="D378" s="1365">
        <f t="shared" si="242"/>
        <v>2016</v>
      </c>
      <c r="E378" s="1329"/>
      <c r="F378" s="1329"/>
      <c r="G378" s="1373" t="str">
        <f t="shared" si="243"/>
        <v/>
      </c>
      <c r="H378" s="1329"/>
      <c r="I378" s="1378"/>
      <c r="J378" s="1384"/>
      <c r="K378" s="1363">
        <f t="shared" si="244"/>
        <v>2016</v>
      </c>
      <c r="L378" s="1353" t="str">
        <f>IF(K369="Forecast","",IF(L368=0,"",L369/L368-1))</f>
        <v/>
      </c>
      <c r="M378" s="1353" t="str">
        <f>IF(M368=0,"",M369/M368-1)</f>
        <v/>
      </c>
      <c r="N378" s="1329"/>
      <c r="O378" s="1324"/>
      <c r="P378" s="1265"/>
      <c r="Q378" s="1363">
        <f t="shared" si="246"/>
        <v>2016</v>
      </c>
      <c r="R378" s="1374" t="str">
        <f>IF(Q369="Forecast","",IF(R368=0,"",R369/R368-1))</f>
        <v/>
      </c>
      <c r="S378" s="1374" t="str">
        <f>IF(S368="","",IF(S368=0,"",S369/S368-1))</f>
        <v/>
      </c>
      <c r="T378" s="1329"/>
      <c r="U378" s="1324"/>
    </row>
    <row r="379" spans="2:22" x14ac:dyDescent="0.2">
      <c r="C379" s="1265"/>
      <c r="D379" s="1365">
        <f t="shared" si="242"/>
        <v>2017</v>
      </c>
      <c r="E379" s="1329"/>
      <c r="F379" s="1329"/>
      <c r="G379" s="1373" t="str">
        <f t="shared" si="243"/>
        <v/>
      </c>
      <c r="H379" s="1329"/>
      <c r="I379" s="1379" t="str">
        <f>IF(I371=0,"",G370/I371-1)</f>
        <v/>
      </c>
      <c r="J379" s="1384"/>
      <c r="K379" s="1363">
        <f t="shared" si="244"/>
        <v>2017</v>
      </c>
      <c r="L379" s="1353" t="str">
        <f>IF(K370="Forecast","",IF(L369=0,"",L370/L369-1))</f>
        <v/>
      </c>
      <c r="M379" s="1353" t="str">
        <f>IF(M369=0,"",M370/M369-1)</f>
        <v/>
      </c>
      <c r="N379" s="1329"/>
      <c r="O379" s="1354" t="str">
        <f>IF(O371=0,"",M370/O371-1)</f>
        <v/>
      </c>
      <c r="P379" s="1265"/>
      <c r="Q379" s="1363">
        <f t="shared" si="246"/>
        <v>2017</v>
      </c>
      <c r="R379" s="1374" t="str">
        <f>IF(Q370="Forecast","",IF(R369=0,"",R370/R369-1))</f>
        <v/>
      </c>
      <c r="S379" s="1374" t="str">
        <f>IF(S369="","",IF(S369=0,"",S370/S369-1))</f>
        <v/>
      </c>
      <c r="T379" s="1329"/>
      <c r="U379" s="1354" t="str">
        <f>IF(U371=0,"",S370/U371-1)</f>
        <v/>
      </c>
    </row>
    <row r="380" spans="2:22" ht="26.25" thickBot="1" x14ac:dyDescent="0.25">
      <c r="C380" s="1271"/>
      <c r="D380" s="1405" t="s">
        <v>1221</v>
      </c>
      <c r="E380" s="1355"/>
      <c r="F380" s="1355"/>
      <c r="G380" s="1375" t="str">
        <f>IF(G364=0,"",(G370/G364)^(1/($D370-$D364-1))-1)</f>
        <v/>
      </c>
      <c r="H380" s="1355"/>
      <c r="I380" s="1406" t="str">
        <f>IF(I371=0,"",(G370/I371)^(1/(TestYear-RebaseYear-1))-1)</f>
        <v/>
      </c>
      <c r="J380" s="1360"/>
      <c r="K380" s="1404" t="str">
        <f t="shared" si="244"/>
        <v>Geometric Mean</v>
      </c>
      <c r="L380" s="1358" t="str">
        <f>IF(L364=0,"",(L368/L364)^(1/($D368-$D364-1))-1)</f>
        <v/>
      </c>
      <c r="M380" s="1358" t="str">
        <f>IF(M364=0,"",(M370/M364)^(1/($D370-$D364-1))-1)</f>
        <v/>
      </c>
      <c r="N380" s="1355"/>
      <c r="O380" s="1371" t="str">
        <f>IF(O371=0,"",(M370/O371)^(1/(TestYear-RebaseYear-1))-1)</f>
        <v/>
      </c>
      <c r="P380" s="1271"/>
      <c r="Q380" s="1404" t="str">
        <f t="shared" si="246"/>
        <v>Geometric Mean</v>
      </c>
      <c r="R380" s="1376" t="str">
        <f>IF(R364="","",IF(R364=0,"",(R368/R364)^(1/($D368-$D364-1))-1))</f>
        <v/>
      </c>
      <c r="S380" s="1358" t="str">
        <f>IF(S364="","",IF(S364=0,"",(S370/S364)^(1/($D370-$D364-1))-1))</f>
        <v/>
      </c>
      <c r="T380" s="1355"/>
      <c r="U380" s="1371" t="str">
        <f>IF(U371=0,"",(S370/U371)^(1/(TestYear-RebaseYear-1))-1)</f>
        <v/>
      </c>
    </row>
    <row r="382" spans="2:22" ht="13.5" thickBot="1" x14ac:dyDescent="0.25">
      <c r="Q382" s="1355"/>
      <c r="R382" s="1355"/>
      <c r="S382" s="1355"/>
      <c r="T382" s="1355"/>
      <c r="U382" s="1355"/>
    </row>
    <row r="383" spans="2:22" x14ac:dyDescent="0.2">
      <c r="C383" s="1264"/>
      <c r="D383" s="1268" t="s">
        <v>1205</v>
      </c>
      <c r="E383" s="1268"/>
      <c r="F383" s="1876" t="s">
        <v>1198</v>
      </c>
      <c r="G383" s="1877"/>
      <c r="H383" s="1877"/>
      <c r="I383" s="1878"/>
      <c r="K383" s="1859" t="str">
        <f>IF(ISBLANK(N360),"",CONCATENATE("Demand (",N360,")"))</f>
        <v/>
      </c>
      <c r="L383" s="1860"/>
      <c r="M383" s="1860"/>
      <c r="N383" s="1860"/>
      <c r="O383" s="1861"/>
      <c r="Q383" s="1869" t="str">
        <f>CONCATENATE("Demand (",N360,") per ",LEFT(F362,LEN(F362)-1))</f>
        <v>Demand () per Customer</v>
      </c>
      <c r="R383" s="1879"/>
      <c r="S383" s="1879"/>
      <c r="T383" s="1879"/>
      <c r="U383" s="1870"/>
    </row>
    <row r="384" spans="2:22" ht="39" thickBot="1" x14ac:dyDescent="0.25">
      <c r="C384" s="1271"/>
      <c r="D384" s="1277" t="str">
        <f>CONCATENATE("(for ",TestYear," Cost of Service")</f>
        <v>(for 2017 Cost of Service</v>
      </c>
      <c r="E384" s="1266"/>
      <c r="F384" s="1872"/>
      <c r="G384" s="1873"/>
      <c r="H384" s="1873"/>
      <c r="I384" s="1296"/>
      <c r="K384" s="1284"/>
      <c r="L384" s="1433" t="s">
        <v>1226</v>
      </c>
      <c r="M384" s="1433" t="s">
        <v>1210</v>
      </c>
      <c r="N384" s="1305"/>
      <c r="O384" s="1306" t="str">
        <f>M384</f>
        <v>Weather-normalized</v>
      </c>
      <c r="Q384" s="1403"/>
      <c r="R384" s="1433" t="str">
        <f>L384</f>
        <v>Actual (Weather actual)</v>
      </c>
      <c r="S384" s="1433" t="str">
        <f>M384</f>
        <v>Weather-normalized</v>
      </c>
      <c r="T384" s="1433"/>
      <c r="U384" s="1434" t="str">
        <f>O384</f>
        <v>Weather-normalized</v>
      </c>
    </row>
    <row r="385" spans="3:21" x14ac:dyDescent="0.2">
      <c r="C385" s="1266" t="s">
        <v>890</v>
      </c>
      <c r="D385" s="1363">
        <f t="shared" ref="D385:D390" si="248">D386-1</f>
        <v>2011</v>
      </c>
      <c r="E385" s="1265"/>
      <c r="F385" s="1313" t="str">
        <f t="shared" ref="F385:F391" si="249">F364</f>
        <v>Actual</v>
      </c>
      <c r="G385" s="1311"/>
      <c r="H385" s="2" t="str">
        <f t="shared" ref="H385:H391" si="250">IF(D385=RebaseYear,"Board-approved","")</f>
        <v/>
      </c>
      <c r="I385" s="1383"/>
      <c r="K385" s="1282" t="str">
        <f t="shared" ref="K385:K391" si="251">K364</f>
        <v>Actual</v>
      </c>
      <c r="L385" s="1294"/>
      <c r="M385" s="1294"/>
      <c r="N385" s="1258" t="str">
        <f t="shared" ref="N385:N391" si="252">N364</f>
        <v/>
      </c>
      <c r="O385" s="1324"/>
      <c r="Q385" s="1385" t="str">
        <f>K385</f>
        <v>Actual</v>
      </c>
      <c r="R385" s="1329" t="str">
        <f>IF(G385=0,"",L385/G385)</f>
        <v/>
      </c>
      <c r="S385" s="1309" t="str">
        <f>IF(G385=0,"",M385/G385)</f>
        <v/>
      </c>
      <c r="T385" s="1309" t="str">
        <f>N385</f>
        <v/>
      </c>
      <c r="U385" s="1265" t="str">
        <f>IF(T385="","",IF(I385=0,"",O385/I385))</f>
        <v/>
      </c>
    </row>
    <row r="386" spans="3:21" x14ac:dyDescent="0.2">
      <c r="C386" s="1266" t="s">
        <v>890</v>
      </c>
      <c r="D386" s="1363">
        <f t="shared" si="248"/>
        <v>2012</v>
      </c>
      <c r="E386" s="1265"/>
      <c r="F386" s="1314" t="str">
        <f t="shared" si="249"/>
        <v>Actual</v>
      </c>
      <c r="G386" s="1311"/>
      <c r="H386" s="2" t="str">
        <f t="shared" si="250"/>
        <v>Board-approved</v>
      </c>
      <c r="I386" s="1324"/>
      <c r="K386" s="1282" t="str">
        <f t="shared" si="251"/>
        <v>Actual</v>
      </c>
      <c r="L386" s="1294"/>
      <c r="M386" s="1294"/>
      <c r="N386" s="1258" t="str">
        <f t="shared" si="252"/>
        <v>Board-approved</v>
      </c>
      <c r="O386" s="1324"/>
      <c r="Q386" s="1385" t="str">
        <f t="shared" ref="Q386:Q391" si="253">K386</f>
        <v>Actual</v>
      </c>
      <c r="R386" s="1329" t="str">
        <f t="shared" ref="R386:R391" si="254">IF(G386=0,"",L386/G386)</f>
        <v/>
      </c>
      <c r="S386" s="1309" t="str">
        <f t="shared" ref="S386:S391" si="255">IF(G386=0,"",M386/G386)</f>
        <v/>
      </c>
      <c r="T386" s="1309" t="str">
        <f t="shared" ref="T386:T391" si="256">N386</f>
        <v>Board-approved</v>
      </c>
      <c r="U386" s="1265" t="str">
        <f t="shared" ref="U386:U391" si="257">IF(T386="","",IF(I386=0,"",O386/I386))</f>
        <v/>
      </c>
    </row>
    <row r="387" spans="3:21" x14ac:dyDescent="0.2">
      <c r="C387" s="1266" t="s">
        <v>890</v>
      </c>
      <c r="D387" s="1363">
        <f t="shared" si="248"/>
        <v>2013</v>
      </c>
      <c r="E387" s="1265"/>
      <c r="F387" s="1314" t="str">
        <f t="shared" si="249"/>
        <v>Actual</v>
      </c>
      <c r="G387" s="1311"/>
      <c r="H387" s="2" t="str">
        <f t="shared" si="250"/>
        <v/>
      </c>
      <c r="I387" s="1328"/>
      <c r="K387" s="1282" t="str">
        <f t="shared" si="251"/>
        <v>Actual</v>
      </c>
      <c r="L387" s="1294"/>
      <c r="M387" s="1294"/>
      <c r="N387" s="1258" t="str">
        <f t="shared" si="252"/>
        <v/>
      </c>
      <c r="O387" s="1325"/>
      <c r="Q387" s="1385" t="str">
        <f t="shared" si="253"/>
        <v>Actual</v>
      </c>
      <c r="R387" s="1329" t="str">
        <f t="shared" si="254"/>
        <v/>
      </c>
      <c r="S387" s="1309" t="str">
        <f t="shared" si="255"/>
        <v/>
      </c>
      <c r="T387" s="1309" t="str">
        <f t="shared" si="256"/>
        <v/>
      </c>
      <c r="U387" s="1265" t="str">
        <f t="shared" si="257"/>
        <v/>
      </c>
    </row>
    <row r="388" spans="3:21" x14ac:dyDescent="0.2">
      <c r="C388" s="1266" t="s">
        <v>890</v>
      </c>
      <c r="D388" s="1363">
        <f t="shared" si="248"/>
        <v>2014</v>
      </c>
      <c r="E388" s="1265"/>
      <c r="F388" s="1314" t="str">
        <f t="shared" si="249"/>
        <v>Actual</v>
      </c>
      <c r="G388" s="1311"/>
      <c r="H388" s="2" t="str">
        <f t="shared" si="250"/>
        <v/>
      </c>
      <c r="I388" s="1324"/>
      <c r="K388" s="1282" t="str">
        <f t="shared" si="251"/>
        <v>Actual</v>
      </c>
      <c r="L388" s="1294"/>
      <c r="M388" s="1294"/>
      <c r="N388" s="1258" t="str">
        <f t="shared" si="252"/>
        <v/>
      </c>
      <c r="O388" s="1324"/>
      <c r="Q388" s="1385" t="str">
        <f t="shared" si="253"/>
        <v>Actual</v>
      </c>
      <c r="R388" s="1329" t="str">
        <f t="shared" si="254"/>
        <v/>
      </c>
      <c r="S388" s="1309" t="str">
        <f t="shared" si="255"/>
        <v/>
      </c>
      <c r="T388" s="1309" t="str">
        <f t="shared" si="256"/>
        <v/>
      </c>
      <c r="U388" s="1265" t="str">
        <f t="shared" si="257"/>
        <v/>
      </c>
    </row>
    <row r="389" spans="3:21" x14ac:dyDescent="0.2">
      <c r="C389" s="1266" t="s">
        <v>890</v>
      </c>
      <c r="D389" s="1363">
        <f t="shared" si="248"/>
        <v>2015</v>
      </c>
      <c r="E389" s="1265"/>
      <c r="F389" s="1314" t="str">
        <f t="shared" si="249"/>
        <v>Actual</v>
      </c>
      <c r="G389" s="1311"/>
      <c r="H389" s="2" t="str">
        <f t="shared" si="250"/>
        <v/>
      </c>
      <c r="I389" s="1324"/>
      <c r="K389" s="1282" t="str">
        <f t="shared" si="251"/>
        <v>Actual</v>
      </c>
      <c r="L389" s="1294"/>
      <c r="M389" s="1294"/>
      <c r="N389" s="1258" t="str">
        <f t="shared" si="252"/>
        <v/>
      </c>
      <c r="O389" s="1324"/>
      <c r="Q389" s="1385" t="str">
        <f t="shared" si="253"/>
        <v>Actual</v>
      </c>
      <c r="R389" s="1329" t="str">
        <f t="shared" si="254"/>
        <v/>
      </c>
      <c r="S389" s="1309" t="str">
        <f t="shared" si="255"/>
        <v/>
      </c>
      <c r="T389" s="1309" t="str">
        <f t="shared" si="256"/>
        <v/>
      </c>
      <c r="U389" s="1265" t="str">
        <f t="shared" si="257"/>
        <v/>
      </c>
    </row>
    <row r="390" spans="3:21" x14ac:dyDescent="0.2">
      <c r="C390" s="1266" t="s">
        <v>1203</v>
      </c>
      <c r="D390" s="1363">
        <f t="shared" si="248"/>
        <v>2016</v>
      </c>
      <c r="E390" s="1265"/>
      <c r="F390" s="1314" t="str">
        <f t="shared" si="249"/>
        <v>Forecast</v>
      </c>
      <c r="G390" s="1311"/>
      <c r="H390" s="2" t="str">
        <f t="shared" si="250"/>
        <v/>
      </c>
      <c r="I390" s="1324"/>
      <c r="K390" s="1282" t="str">
        <f t="shared" si="251"/>
        <v>Forecast</v>
      </c>
      <c r="L390" s="1303"/>
      <c r="M390" s="1334"/>
      <c r="N390" s="1258" t="str">
        <f t="shared" si="252"/>
        <v/>
      </c>
      <c r="O390" s="1324"/>
      <c r="Q390" s="1385" t="str">
        <f t="shared" si="253"/>
        <v>Forecast</v>
      </c>
      <c r="R390" s="1329" t="str">
        <f t="shared" si="254"/>
        <v/>
      </c>
      <c r="S390" s="1309" t="str">
        <f t="shared" si="255"/>
        <v/>
      </c>
      <c r="T390" s="1309" t="str">
        <f t="shared" si="256"/>
        <v/>
      </c>
      <c r="U390" s="1265" t="str">
        <f t="shared" si="257"/>
        <v/>
      </c>
    </row>
    <row r="391" spans="3:21" ht="13.5" thickBot="1" x14ac:dyDescent="0.25">
      <c r="C391" s="1267" t="s">
        <v>1204</v>
      </c>
      <c r="D391" s="1364">
        <f>TestYear</f>
        <v>2017</v>
      </c>
      <c r="E391" s="1271"/>
      <c r="F391" s="1315" t="str">
        <f t="shared" si="249"/>
        <v>Forecast</v>
      </c>
      <c r="G391" s="1312"/>
      <c r="H391" s="1307" t="str">
        <f t="shared" si="250"/>
        <v/>
      </c>
      <c r="I391" s="1326"/>
      <c r="K391" s="1283" t="str">
        <f t="shared" si="251"/>
        <v>Forecast</v>
      </c>
      <c r="L391" s="1304"/>
      <c r="M391" s="1335"/>
      <c r="N391" s="1262" t="str">
        <f t="shared" si="252"/>
        <v/>
      </c>
      <c r="O391" s="1326"/>
      <c r="Q391" s="1319" t="str">
        <f t="shared" si="253"/>
        <v>Forecast</v>
      </c>
      <c r="R391" s="1310" t="str">
        <f t="shared" si="254"/>
        <v/>
      </c>
      <c r="S391" s="1310" t="str">
        <f t="shared" si="255"/>
        <v/>
      </c>
      <c r="T391" s="1310" t="str">
        <f t="shared" si="256"/>
        <v/>
      </c>
      <c r="U391" s="1271" t="str">
        <f t="shared" si="257"/>
        <v/>
      </c>
    </row>
    <row r="392" spans="3:21" ht="13.5" thickBot="1" x14ac:dyDescent="0.25">
      <c r="C392" s="1366"/>
      <c r="I392" s="1408">
        <f>SUM(I385:I390)</f>
        <v>0</v>
      </c>
      <c r="J392" s="1329"/>
      <c r="O392" s="1408">
        <f>SUM(O385:O390)</f>
        <v>0</v>
      </c>
      <c r="U392" s="1408">
        <f>SUM(U385:U390)</f>
        <v>0</v>
      </c>
    </row>
    <row r="393" spans="3:21" ht="39" thickBot="1" x14ac:dyDescent="0.25">
      <c r="C393" s="1400" t="s">
        <v>952</v>
      </c>
      <c r="D393" s="1399" t="s">
        <v>15</v>
      </c>
      <c r="E393" s="1435"/>
      <c r="F393" s="1435"/>
      <c r="G393" s="1435" t="s">
        <v>1222</v>
      </c>
      <c r="H393" s="1435"/>
      <c r="I393" s="1394" t="str">
        <f>I372</f>
        <v>Test Year Versus Board-approved</v>
      </c>
      <c r="J393" s="1407"/>
      <c r="K393" s="1395" t="s">
        <v>15</v>
      </c>
      <c r="L393" s="1874" t="s">
        <v>1222</v>
      </c>
      <c r="M393" s="1874"/>
      <c r="N393" s="1435"/>
      <c r="O393" s="1394" t="str">
        <f>I393</f>
        <v>Test Year Versus Board-approved</v>
      </c>
      <c r="P393" s="1380"/>
      <c r="Q393" s="1395" t="s">
        <v>15</v>
      </c>
      <c r="R393" s="1874" t="s">
        <v>1222</v>
      </c>
      <c r="S393" s="1874"/>
      <c r="T393" s="1435"/>
      <c r="U393" s="1394" t="str">
        <f>O393</f>
        <v>Test Year Versus Board-approved</v>
      </c>
    </row>
    <row r="394" spans="3:21" x14ac:dyDescent="0.2">
      <c r="C394" s="1265"/>
      <c r="D394" s="1402">
        <f t="shared" ref="D394:D400" si="258">D385</f>
        <v>2011</v>
      </c>
      <c r="E394" s="1345"/>
      <c r="F394" s="1329"/>
      <c r="G394" s="1372"/>
      <c r="H394" s="1329"/>
      <c r="I394" s="1378"/>
      <c r="J394" s="1265"/>
      <c r="K394" s="1363">
        <f>D394</f>
        <v>2011</v>
      </c>
      <c r="L394" s="1351"/>
      <c r="M394" s="1351"/>
      <c r="N394" s="1329"/>
      <c r="O394" s="1381"/>
      <c r="P394" s="1265"/>
      <c r="Q394" s="1363">
        <f>K394</f>
        <v>2011</v>
      </c>
      <c r="R394" s="1330"/>
      <c r="S394" s="1330"/>
      <c r="T394" s="1329"/>
      <c r="U394" s="1324"/>
    </row>
    <row r="395" spans="3:21" x14ac:dyDescent="0.2">
      <c r="C395" s="1265"/>
      <c r="D395" s="1365">
        <f t="shared" si="258"/>
        <v>2012</v>
      </c>
      <c r="E395" s="1329"/>
      <c r="F395" s="1329"/>
      <c r="G395" s="1373" t="str">
        <f t="shared" ref="G395:G400" si="259">IF(G385=0,"",G386/G385-1)</f>
        <v/>
      </c>
      <c r="H395" s="1329"/>
      <c r="I395" s="1378"/>
      <c r="J395" s="1265"/>
      <c r="K395" s="1363">
        <f t="shared" ref="K395:K401" si="260">D395</f>
        <v>2012</v>
      </c>
      <c r="L395" s="1353" t="str">
        <f t="shared" ref="L395:M398" si="261">IF(L385=0,"",L386/L385-1)</f>
        <v/>
      </c>
      <c r="M395" s="1353" t="str">
        <f t="shared" si="261"/>
        <v/>
      </c>
      <c r="N395" s="1329"/>
      <c r="O395" s="1381"/>
      <c r="P395" s="1265"/>
      <c r="Q395" s="1363">
        <f t="shared" ref="Q395:Q401" si="262">K395</f>
        <v>2012</v>
      </c>
      <c r="R395" s="1374" t="str">
        <f t="shared" ref="R395:S398" si="263">IF(R385="","",IF(R385=0,"",R386/R385-1))</f>
        <v/>
      </c>
      <c r="S395" s="1374" t="str">
        <f t="shared" si="263"/>
        <v/>
      </c>
      <c r="T395" s="1329"/>
      <c r="U395" s="1324"/>
    </row>
    <row r="396" spans="3:21" x14ac:dyDescent="0.2">
      <c r="C396" s="1265"/>
      <c r="D396" s="1401">
        <f t="shared" si="258"/>
        <v>2013</v>
      </c>
      <c r="E396" s="1329"/>
      <c r="F396" s="1329"/>
      <c r="G396" s="1373" t="str">
        <f t="shared" si="259"/>
        <v/>
      </c>
      <c r="H396" s="1329"/>
      <c r="I396" s="1378"/>
      <c r="J396" s="1265"/>
      <c r="K396" s="1363">
        <f t="shared" si="260"/>
        <v>2013</v>
      </c>
      <c r="L396" s="1353" t="str">
        <f t="shared" si="261"/>
        <v/>
      </c>
      <c r="M396" s="1353" t="str">
        <f t="shared" si="261"/>
        <v/>
      </c>
      <c r="N396" s="1329"/>
      <c r="O396" s="1381"/>
      <c r="P396" s="1265"/>
      <c r="Q396" s="1363">
        <f t="shared" si="262"/>
        <v>2013</v>
      </c>
      <c r="R396" s="1374" t="str">
        <f t="shared" si="263"/>
        <v/>
      </c>
      <c r="S396" s="1374" t="str">
        <f t="shared" si="263"/>
        <v/>
      </c>
      <c r="T396" s="1329"/>
      <c r="U396" s="1324"/>
    </row>
    <row r="397" spans="3:21" x14ac:dyDescent="0.2">
      <c r="C397" s="1265"/>
      <c r="D397" s="1365">
        <f t="shared" si="258"/>
        <v>2014</v>
      </c>
      <c r="E397" s="1329"/>
      <c r="F397" s="1329"/>
      <c r="G397" s="1373" t="str">
        <f t="shared" si="259"/>
        <v/>
      </c>
      <c r="H397" s="1329"/>
      <c r="I397" s="1378"/>
      <c r="J397" s="1265"/>
      <c r="K397" s="1363">
        <f t="shared" si="260"/>
        <v>2014</v>
      </c>
      <c r="L397" s="1353" t="str">
        <f t="shared" si="261"/>
        <v/>
      </c>
      <c r="M397" s="1353" t="str">
        <f t="shared" si="261"/>
        <v/>
      </c>
      <c r="N397" s="1329"/>
      <c r="O397" s="1381"/>
      <c r="P397" s="1265"/>
      <c r="Q397" s="1363">
        <f t="shared" si="262"/>
        <v>2014</v>
      </c>
      <c r="R397" s="1374" t="str">
        <f t="shared" si="263"/>
        <v/>
      </c>
      <c r="S397" s="1374" t="str">
        <f t="shared" si="263"/>
        <v/>
      </c>
      <c r="T397" s="1329"/>
      <c r="U397" s="1324"/>
    </row>
    <row r="398" spans="3:21" x14ac:dyDescent="0.2">
      <c r="C398" s="1265"/>
      <c r="D398" s="1365">
        <f t="shared" si="258"/>
        <v>2015</v>
      </c>
      <c r="E398" s="1329"/>
      <c r="F398" s="1329"/>
      <c r="G398" s="1373" t="str">
        <f t="shared" si="259"/>
        <v/>
      </c>
      <c r="H398" s="1329"/>
      <c r="I398" s="1378"/>
      <c r="J398" s="1265"/>
      <c r="K398" s="1363">
        <f t="shared" si="260"/>
        <v>2015</v>
      </c>
      <c r="L398" s="1353" t="str">
        <f t="shared" si="261"/>
        <v/>
      </c>
      <c r="M398" s="1353" t="str">
        <f t="shared" si="261"/>
        <v/>
      </c>
      <c r="N398" s="1329"/>
      <c r="O398" s="1381"/>
      <c r="P398" s="1265"/>
      <c r="Q398" s="1363">
        <f t="shared" si="262"/>
        <v>2015</v>
      </c>
      <c r="R398" s="1374" t="str">
        <f t="shared" si="263"/>
        <v/>
      </c>
      <c r="S398" s="1374" t="str">
        <f t="shared" si="263"/>
        <v/>
      </c>
      <c r="T398" s="1329"/>
      <c r="U398" s="1324"/>
    </row>
    <row r="399" spans="3:21" x14ac:dyDescent="0.2">
      <c r="C399" s="1265"/>
      <c r="D399" s="1365">
        <f t="shared" si="258"/>
        <v>2016</v>
      </c>
      <c r="E399" s="1329"/>
      <c r="F399" s="1329"/>
      <c r="G399" s="1373" t="str">
        <f t="shared" si="259"/>
        <v/>
      </c>
      <c r="H399" s="1329"/>
      <c r="I399" s="1378"/>
      <c r="J399" s="1265"/>
      <c r="K399" s="1363">
        <f t="shared" si="260"/>
        <v>2016</v>
      </c>
      <c r="L399" s="1353" t="str">
        <f>IF(K390="Forecast","",IF(L389=0,"",L390/L389-1))</f>
        <v/>
      </c>
      <c r="M399" s="1353" t="str">
        <f>IF(M389=0,"",M390/M389-1)</f>
        <v/>
      </c>
      <c r="N399" s="1329"/>
      <c r="O399" s="1381"/>
      <c r="P399" s="1265"/>
      <c r="Q399" s="1363">
        <f t="shared" si="262"/>
        <v>2016</v>
      </c>
      <c r="R399" s="1374" t="str">
        <f>IF(Q390="Forecast","",IF(R389=0,"",R390/R389-1))</f>
        <v/>
      </c>
      <c r="S399" s="1374" t="str">
        <f>IF(S389="","",IF(S389=0,"",S390/S389-1))</f>
        <v/>
      </c>
      <c r="T399" s="1329"/>
      <c r="U399" s="1324"/>
    </row>
    <row r="400" spans="3:21" x14ac:dyDescent="0.2">
      <c r="C400" s="1265"/>
      <c r="D400" s="1401">
        <f t="shared" si="258"/>
        <v>2017</v>
      </c>
      <c r="E400" s="1329"/>
      <c r="F400" s="1329"/>
      <c r="G400" s="1373" t="str">
        <f t="shared" si="259"/>
        <v/>
      </c>
      <c r="H400" s="1329"/>
      <c r="I400" s="1379" t="str">
        <f>IF(I392=0,"",G391/I392-1)</f>
        <v/>
      </c>
      <c r="J400" s="1265"/>
      <c r="K400" s="1363">
        <f t="shared" si="260"/>
        <v>2017</v>
      </c>
      <c r="L400" s="1353" t="str">
        <f>IF(K391="Forecast","",IF(L390=0,"",L391/L390-1))</f>
        <v/>
      </c>
      <c r="M400" s="1353" t="str">
        <f>IF(M390=0,"",M391/M390-1)</f>
        <v/>
      </c>
      <c r="N400" s="1329"/>
      <c r="O400" s="1382" t="str">
        <f>IF(O392=0,"",M391/O392-1)</f>
        <v/>
      </c>
      <c r="P400" s="1265"/>
      <c r="Q400" s="1363">
        <f t="shared" si="262"/>
        <v>2017</v>
      </c>
      <c r="R400" s="1374" t="str">
        <f>IF(Q391="Forecast","",IF(R390=0,"",R391/R390-1))</f>
        <v/>
      </c>
      <c r="S400" s="1374" t="str">
        <f>IF(S390="","",IF(S390=0,"",S391/S390-1))</f>
        <v/>
      </c>
      <c r="T400" s="1329"/>
      <c r="U400" s="1354" t="str">
        <f>IF(U392=0,"",S391/U392-1)</f>
        <v/>
      </c>
    </row>
    <row r="401" spans="2:22" ht="26.25" thickBot="1" x14ac:dyDescent="0.25">
      <c r="C401" s="1271"/>
      <c r="D401" s="1405" t="s">
        <v>1221</v>
      </c>
      <c r="E401" s="1355"/>
      <c r="F401" s="1355"/>
      <c r="G401" s="1375" t="str">
        <f>IF(G385=0,"",(G391/G385)^(1/($D391-$D385-1))-1)</f>
        <v/>
      </c>
      <c r="H401" s="1355"/>
      <c r="I401" s="1371" t="str">
        <f>IF(I392=0,"",(G391/I392)^(1/(TestYear-RebaseYear-1))-1)</f>
        <v/>
      </c>
      <c r="J401" s="1265"/>
      <c r="K401" s="1404" t="str">
        <f t="shared" si="260"/>
        <v>Geometric Mean</v>
      </c>
      <c r="L401" s="1358" t="str">
        <f>IF(L385=0,"",(L389/L385)^(1/($D389-$D385-1))-1)</f>
        <v/>
      </c>
      <c r="M401" s="1358" t="str">
        <f>IF(M385=0,"",(M391/M385)^(1/($D391-$D385-1))-1)</f>
        <v/>
      </c>
      <c r="N401" s="1355"/>
      <c r="O401" s="1371" t="str">
        <f>IF(O392=0,"",(M391/O392)^(1/(TestYear-RebaseYear-1))-1)</f>
        <v/>
      </c>
      <c r="P401" s="1271"/>
      <c r="Q401" s="1404" t="str">
        <f t="shared" si="262"/>
        <v>Geometric Mean</v>
      </c>
      <c r="R401" s="1376" t="str">
        <f>IF(R385="","",IF(R385=0,"",(R389/R385)^(1/($D389-$D385-1))-1))</f>
        <v/>
      </c>
      <c r="S401" s="1358" t="str">
        <f>IF(S385="","",IF(S385=0,"",(S391/S385)^(1/($D391-$D385-1))-1))</f>
        <v/>
      </c>
      <c r="T401" s="1355"/>
      <c r="U401" s="1371" t="str">
        <f>IF(U392=0,"",(S391/U392)^(1/(TestYear-RebaseYear-1))-1)</f>
        <v/>
      </c>
    </row>
    <row r="402" spans="2:22" ht="13.5" thickBot="1" x14ac:dyDescent="0.25"/>
    <row r="403" spans="2:22" ht="13.5" thickBot="1" x14ac:dyDescent="0.25">
      <c r="B403" s="1318">
        <f>B360+1</f>
        <v>9</v>
      </c>
      <c r="C403" s="3" t="s">
        <v>14</v>
      </c>
      <c r="D403" s="1880"/>
      <c r="E403" s="1881"/>
      <c r="F403" s="1882"/>
      <c r="G403" s="1291"/>
      <c r="H403" s="13" t="s">
        <v>1224</v>
      </c>
      <c r="N403" s="1317"/>
      <c r="O403" s="1316"/>
      <c r="P403" s="1316"/>
      <c r="Q403" s="1316"/>
      <c r="R403" s="1316"/>
      <c r="S403" s="1316"/>
      <c r="T403" s="1316"/>
      <c r="U403" s="1316"/>
    </row>
    <row r="404" spans="2:22" ht="13.5" thickBot="1" x14ac:dyDescent="0.25">
      <c r="Q404" s="1355"/>
      <c r="R404" s="1355"/>
      <c r="S404" s="1355"/>
      <c r="T404" s="1355"/>
      <c r="U404" s="1355"/>
    </row>
    <row r="405" spans="2:22" x14ac:dyDescent="0.2">
      <c r="C405" s="1264"/>
      <c r="D405" s="1268" t="s">
        <v>1205</v>
      </c>
      <c r="E405" s="1268"/>
      <c r="F405" s="1883" t="s">
        <v>1034</v>
      </c>
      <c r="G405" s="1884"/>
      <c r="H405" s="1884"/>
      <c r="I405" s="1885"/>
      <c r="J405" s="1268"/>
      <c r="K405" s="1859" t="s">
        <v>1213</v>
      </c>
      <c r="L405" s="1860"/>
      <c r="M405" s="1860"/>
      <c r="N405" s="1860"/>
      <c r="O405" s="1861"/>
      <c r="P405" s="1287"/>
      <c r="Q405" s="1869" t="str">
        <f>CONCATENATE("Consumption (kWh) per ",LEFT(F405,LEN(F405)-1))</f>
        <v>Consumption (kWh) per Customer</v>
      </c>
      <c r="R405" s="1879"/>
      <c r="S405" s="1879"/>
      <c r="T405" s="1879"/>
      <c r="U405" s="1870"/>
      <c r="V405" s="1308"/>
    </row>
    <row r="406" spans="2:22" ht="39" thickBot="1" x14ac:dyDescent="0.25">
      <c r="C406" s="1271"/>
      <c r="D406" s="1277" t="str">
        <f>CONCATENATE("(for ",TestYear," Cost of Service")</f>
        <v>(for 2017 Cost of Service</v>
      </c>
      <c r="E406" s="1266"/>
      <c r="F406" s="1872"/>
      <c r="G406" s="1873"/>
      <c r="H406" s="1875"/>
      <c r="I406" s="1296"/>
      <c r="J406" s="1266"/>
      <c r="K406" s="1284"/>
      <c r="L406" s="1433" t="s">
        <v>1226</v>
      </c>
      <c r="M406" s="1433" t="s">
        <v>1210</v>
      </c>
      <c r="N406" s="1305"/>
      <c r="O406" s="1306" t="s">
        <v>1210</v>
      </c>
      <c r="P406" s="1266"/>
      <c r="Q406" s="1389"/>
      <c r="R406" s="1390" t="str">
        <f>L406</f>
        <v>Actual (Weather actual)</v>
      </c>
      <c r="S406" s="1391" t="str">
        <f>M406</f>
        <v>Weather-normalized</v>
      </c>
      <c r="T406" s="1391"/>
      <c r="U406" s="1392" t="str">
        <f>O406</f>
        <v>Weather-normalized</v>
      </c>
      <c r="V406" s="1308"/>
    </row>
    <row r="407" spans="2:22" x14ac:dyDescent="0.2">
      <c r="C407" s="1266" t="s">
        <v>890</v>
      </c>
      <c r="D407" s="1363">
        <f t="shared" ref="D407:D412" si="264">D408-1</f>
        <v>2011</v>
      </c>
      <c r="E407" s="1265"/>
      <c r="F407" s="1313" t="str">
        <f>F364</f>
        <v>Actual</v>
      </c>
      <c r="G407" s="1301"/>
      <c r="H407" s="1297" t="str">
        <f t="shared" ref="H407:H413" si="265">IF(D407=RebaseYear,"Board-approved","")</f>
        <v/>
      </c>
      <c r="I407" s="1324"/>
      <c r="J407" s="1265"/>
      <c r="K407" s="1282" t="str">
        <f>F407</f>
        <v>Actual</v>
      </c>
      <c r="L407" s="1294"/>
      <c r="M407" s="1294"/>
      <c r="N407" s="1258" t="str">
        <f>H407</f>
        <v/>
      </c>
      <c r="O407" s="1324"/>
      <c r="P407" s="1265"/>
      <c r="Q407" s="1385" t="str">
        <f>K407</f>
        <v>Actual</v>
      </c>
      <c r="R407" s="1387" t="str">
        <f>IF(G407=0,"",L407/G407)</f>
        <v/>
      </c>
      <c r="S407" s="1329" t="str">
        <f>IF(G407=0,"",M407/G407)</f>
        <v/>
      </c>
      <c r="T407" s="1329" t="str">
        <f>N407</f>
        <v/>
      </c>
      <c r="U407" s="1329" t="str">
        <f>IF(T407="","",IF(I407=0,"",O407/I407))</f>
        <v/>
      </c>
      <c r="V407" s="1309"/>
    </row>
    <row r="408" spans="2:22" x14ac:dyDescent="0.2">
      <c r="C408" s="1266" t="s">
        <v>890</v>
      </c>
      <c r="D408" s="1363">
        <f t="shared" si="264"/>
        <v>2012</v>
      </c>
      <c r="E408" s="1265"/>
      <c r="F408" s="1314" t="str">
        <f t="shared" ref="F408:F413" si="266">F365</f>
        <v>Actual</v>
      </c>
      <c r="G408" s="1301"/>
      <c r="H408" s="1297" t="str">
        <f t="shared" si="265"/>
        <v>Board-approved</v>
      </c>
      <c r="I408" s="1324"/>
      <c r="J408" s="1265"/>
      <c r="K408" s="1282" t="str">
        <f t="shared" ref="K408:K413" si="267">F408</f>
        <v>Actual</v>
      </c>
      <c r="L408" s="1294"/>
      <c r="M408" s="1294"/>
      <c r="N408" s="1258" t="str">
        <f t="shared" ref="N408:N413" si="268">H408</f>
        <v>Board-approved</v>
      </c>
      <c r="O408" s="1324"/>
      <c r="P408" s="1265"/>
      <c r="Q408" s="1385" t="str">
        <f t="shared" ref="Q408:Q413" si="269">K408</f>
        <v>Actual</v>
      </c>
      <c r="R408" s="1387" t="str">
        <f t="shared" ref="R408:R413" si="270">IF(G408=0,"",L408/G408)</f>
        <v/>
      </c>
      <c r="S408" s="1329" t="str">
        <f t="shared" ref="S408:S413" si="271">IF(G408=0,"",M408/G408)</f>
        <v/>
      </c>
      <c r="T408" s="1329" t="str">
        <f t="shared" ref="T408:T413" si="272">N408</f>
        <v>Board-approved</v>
      </c>
      <c r="U408" s="1329" t="str">
        <f t="shared" ref="U408:U413" si="273">IF(T408="","",IF(I408=0,"",O408/I408))</f>
        <v/>
      </c>
      <c r="V408" s="1309"/>
    </row>
    <row r="409" spans="2:22" x14ac:dyDescent="0.2">
      <c r="C409" s="1266" t="s">
        <v>890</v>
      </c>
      <c r="D409" s="1363">
        <f t="shared" si="264"/>
        <v>2013</v>
      </c>
      <c r="E409" s="1265"/>
      <c r="F409" s="1314" t="str">
        <f t="shared" si="266"/>
        <v>Actual</v>
      </c>
      <c r="G409" s="1301"/>
      <c r="H409" s="1297" t="str">
        <f t="shared" si="265"/>
        <v/>
      </c>
      <c r="I409" s="1325"/>
      <c r="J409" s="1265"/>
      <c r="K409" s="1282" t="str">
        <f t="shared" si="267"/>
        <v>Actual</v>
      </c>
      <c r="L409" s="1294"/>
      <c r="M409" s="1294"/>
      <c r="N409" s="1258" t="str">
        <f t="shared" si="268"/>
        <v/>
      </c>
      <c r="O409" s="1325"/>
      <c r="P409" s="1265"/>
      <c r="Q409" s="1385" t="str">
        <f t="shared" si="269"/>
        <v>Actual</v>
      </c>
      <c r="R409" s="1387" t="str">
        <f t="shared" si="270"/>
        <v/>
      </c>
      <c r="S409" s="1329" t="str">
        <f t="shared" si="271"/>
        <v/>
      </c>
      <c r="T409" s="1329" t="str">
        <f t="shared" si="272"/>
        <v/>
      </c>
      <c r="U409" s="1329" t="str">
        <f t="shared" si="273"/>
        <v/>
      </c>
      <c r="V409" s="1309"/>
    </row>
    <row r="410" spans="2:22" x14ac:dyDescent="0.2">
      <c r="C410" s="1266" t="s">
        <v>890</v>
      </c>
      <c r="D410" s="1363">
        <f t="shared" si="264"/>
        <v>2014</v>
      </c>
      <c r="E410" s="1265"/>
      <c r="F410" s="1314" t="str">
        <f t="shared" si="266"/>
        <v>Actual</v>
      </c>
      <c r="G410" s="1301"/>
      <c r="H410" s="1297" t="str">
        <f t="shared" si="265"/>
        <v/>
      </c>
      <c r="I410" s="1324"/>
      <c r="J410" s="1265"/>
      <c r="K410" s="1282" t="str">
        <f t="shared" si="267"/>
        <v>Actual</v>
      </c>
      <c r="L410" s="1294"/>
      <c r="M410" s="1294"/>
      <c r="N410" s="1258" t="str">
        <f t="shared" si="268"/>
        <v/>
      </c>
      <c r="O410" s="1324"/>
      <c r="P410" s="1265"/>
      <c r="Q410" s="1385" t="str">
        <f t="shared" si="269"/>
        <v>Actual</v>
      </c>
      <c r="R410" s="1387" t="str">
        <f t="shared" si="270"/>
        <v/>
      </c>
      <c r="S410" s="1329" t="str">
        <f t="shared" si="271"/>
        <v/>
      </c>
      <c r="T410" s="1329" t="str">
        <f t="shared" si="272"/>
        <v/>
      </c>
      <c r="U410" s="1329" t="str">
        <f t="shared" si="273"/>
        <v/>
      </c>
      <c r="V410" s="1309"/>
    </row>
    <row r="411" spans="2:22" x14ac:dyDescent="0.2">
      <c r="C411" s="1266" t="s">
        <v>890</v>
      </c>
      <c r="D411" s="1363">
        <f t="shared" si="264"/>
        <v>2015</v>
      </c>
      <c r="E411" s="1265"/>
      <c r="F411" s="1314" t="str">
        <f t="shared" si="266"/>
        <v>Actual</v>
      </c>
      <c r="G411" s="1301"/>
      <c r="H411" s="1297" t="str">
        <f t="shared" si="265"/>
        <v/>
      </c>
      <c r="I411" s="1324"/>
      <c r="J411" s="1265"/>
      <c r="K411" s="1282" t="str">
        <f t="shared" si="267"/>
        <v>Actual</v>
      </c>
      <c r="L411" s="1294"/>
      <c r="M411" s="1294"/>
      <c r="N411" s="1258" t="str">
        <f t="shared" si="268"/>
        <v/>
      </c>
      <c r="O411" s="1324"/>
      <c r="P411" s="1265"/>
      <c r="Q411" s="1385" t="str">
        <f t="shared" si="269"/>
        <v>Actual</v>
      </c>
      <c r="R411" s="1387" t="str">
        <f t="shared" si="270"/>
        <v/>
      </c>
      <c r="S411" s="1329" t="str">
        <f t="shared" si="271"/>
        <v/>
      </c>
      <c r="T411" s="1329" t="str">
        <f t="shared" si="272"/>
        <v/>
      </c>
      <c r="U411" s="1329" t="str">
        <f t="shared" si="273"/>
        <v/>
      </c>
      <c r="V411" s="1309"/>
    </row>
    <row r="412" spans="2:22" x14ac:dyDescent="0.2">
      <c r="C412" s="1266" t="s">
        <v>313</v>
      </c>
      <c r="D412" s="1363">
        <f t="shared" si="264"/>
        <v>2016</v>
      </c>
      <c r="E412" s="1265"/>
      <c r="F412" s="1314" t="str">
        <f t="shared" si="266"/>
        <v>Forecast</v>
      </c>
      <c r="G412" s="1301"/>
      <c r="H412" s="1297" t="str">
        <f t="shared" si="265"/>
        <v/>
      </c>
      <c r="I412" s="1324"/>
      <c r="J412" s="1265"/>
      <c r="K412" s="1282" t="str">
        <f t="shared" si="267"/>
        <v>Forecast</v>
      </c>
      <c r="L412" s="1303"/>
      <c r="M412" s="1332"/>
      <c r="N412" s="1258" t="str">
        <f t="shared" si="268"/>
        <v/>
      </c>
      <c r="O412" s="1324"/>
      <c r="P412" s="1265"/>
      <c r="Q412" s="1385" t="str">
        <f t="shared" si="269"/>
        <v>Forecast</v>
      </c>
      <c r="R412" s="1387" t="str">
        <f t="shared" si="270"/>
        <v/>
      </c>
      <c r="S412" s="1329" t="str">
        <f t="shared" si="271"/>
        <v/>
      </c>
      <c r="T412" s="1329" t="str">
        <f t="shared" si="272"/>
        <v/>
      </c>
      <c r="U412" s="1329" t="str">
        <f t="shared" si="273"/>
        <v/>
      </c>
      <c r="V412" s="1309"/>
    </row>
    <row r="413" spans="2:22" ht="13.5" thickBot="1" x14ac:dyDescent="0.25">
      <c r="C413" s="1267" t="s">
        <v>314</v>
      </c>
      <c r="D413" s="1364">
        <f>TestYear</f>
        <v>2017</v>
      </c>
      <c r="E413" s="1271"/>
      <c r="F413" s="1315" t="str">
        <f t="shared" si="266"/>
        <v>Forecast</v>
      </c>
      <c r="G413" s="1302"/>
      <c r="H413" s="1298" t="str">
        <f t="shared" si="265"/>
        <v/>
      </c>
      <c r="I413" s="1326"/>
      <c r="J413" s="1271"/>
      <c r="K413" s="1283" t="str">
        <f t="shared" si="267"/>
        <v>Forecast</v>
      </c>
      <c r="L413" s="1304"/>
      <c r="M413" s="1333"/>
      <c r="N413" s="1262" t="str">
        <f t="shared" si="268"/>
        <v/>
      </c>
      <c r="O413" s="1326"/>
      <c r="P413" s="1271"/>
      <c r="Q413" s="1386" t="str">
        <f t="shared" si="269"/>
        <v>Forecast</v>
      </c>
      <c r="R413" s="1388" t="str">
        <f t="shared" si="270"/>
        <v/>
      </c>
      <c r="S413" s="1355" t="str">
        <f t="shared" si="271"/>
        <v/>
      </c>
      <c r="T413" s="1355" t="str">
        <f t="shared" si="272"/>
        <v/>
      </c>
      <c r="U413" s="1355" t="str">
        <f t="shared" si="273"/>
        <v/>
      </c>
      <c r="V413" s="1309"/>
    </row>
    <row r="414" spans="2:22" ht="13.5" thickBot="1" x14ac:dyDescent="0.25">
      <c r="B414" s="1329"/>
      <c r="C414" s="1366"/>
      <c r="I414" s="1408">
        <f>SUM(I407:I412)</f>
        <v>0</v>
      </c>
      <c r="O414" s="1408">
        <f>SUM(O407:O412)</f>
        <v>0</v>
      </c>
      <c r="U414" s="1408">
        <f>SUM(U407:U412)</f>
        <v>0</v>
      </c>
    </row>
    <row r="415" spans="2:22" ht="39" thickBot="1" x14ac:dyDescent="0.25">
      <c r="C415" s="1400" t="s">
        <v>952</v>
      </c>
      <c r="D415" s="1399" t="s">
        <v>15</v>
      </c>
      <c r="E415" s="1361"/>
      <c r="F415" s="1361"/>
      <c r="G415" s="1435" t="s">
        <v>1222</v>
      </c>
      <c r="H415" s="1361"/>
      <c r="I415" s="1394" t="s">
        <v>1235</v>
      </c>
      <c r="J415" s="1396"/>
      <c r="K415" s="1395" t="s">
        <v>15</v>
      </c>
      <c r="L415" s="1874" t="s">
        <v>1222</v>
      </c>
      <c r="M415" s="1874"/>
      <c r="N415" s="1361"/>
      <c r="O415" s="1394" t="str">
        <f>I415</f>
        <v>Test Year Versus Board-approved</v>
      </c>
      <c r="P415" s="1397"/>
      <c r="Q415" s="1395" t="s">
        <v>15</v>
      </c>
      <c r="R415" s="1874" t="s">
        <v>1222</v>
      </c>
      <c r="S415" s="1874"/>
      <c r="T415" s="1361"/>
      <c r="U415" s="1394" t="str">
        <f>O415</f>
        <v>Test Year Versus Board-approved</v>
      </c>
    </row>
    <row r="416" spans="2:22" x14ac:dyDescent="0.2">
      <c r="C416" s="1265"/>
      <c r="D416" s="1377">
        <f t="shared" ref="D416:D422" si="274">D407</f>
        <v>2011</v>
      </c>
      <c r="E416" s="1329"/>
      <c r="F416" s="1329"/>
      <c r="G416" s="1372"/>
      <c r="H416" s="1329"/>
      <c r="I416" s="1378"/>
      <c r="J416" s="1384"/>
      <c r="K416" s="1363">
        <f>D416</f>
        <v>2011</v>
      </c>
      <c r="L416" s="1351"/>
      <c r="M416" s="1351"/>
      <c r="N416" s="1329"/>
      <c r="O416" s="1324"/>
      <c r="P416" s="1265"/>
      <c r="Q416" s="1363">
        <f>K416</f>
        <v>2011</v>
      </c>
      <c r="R416" s="1330"/>
      <c r="S416" s="1330"/>
      <c r="T416" s="1329"/>
      <c r="U416" s="1324"/>
    </row>
    <row r="417" spans="3:21" x14ac:dyDescent="0.2">
      <c r="C417" s="1265"/>
      <c r="D417" s="1365">
        <f t="shared" si="274"/>
        <v>2012</v>
      </c>
      <c r="E417" s="1329"/>
      <c r="F417" s="1329"/>
      <c r="G417" s="1373" t="str">
        <f t="shared" ref="G417:G422" si="275">IF(G407=0,"",G408/G407-1)</f>
        <v/>
      </c>
      <c r="H417" s="1329"/>
      <c r="I417" s="1378"/>
      <c r="J417" s="1384"/>
      <c r="K417" s="1363">
        <f t="shared" ref="K417:K423" si="276">D417</f>
        <v>2012</v>
      </c>
      <c r="L417" s="1353" t="str">
        <f t="shared" ref="L417:M420" si="277">IF(L407=0,"",L408/L407-1)</f>
        <v/>
      </c>
      <c r="M417" s="1353" t="str">
        <f t="shared" si="277"/>
        <v/>
      </c>
      <c r="N417" s="1329"/>
      <c r="O417" s="1324"/>
      <c r="P417" s="1265"/>
      <c r="Q417" s="1363">
        <f t="shared" ref="Q417:Q423" si="278">K417</f>
        <v>2012</v>
      </c>
      <c r="R417" s="1374" t="str">
        <f t="shared" ref="R417:S420" si="279">IF(R407="","",IF(R407=0,"",R408/R407-1))</f>
        <v/>
      </c>
      <c r="S417" s="1374" t="str">
        <f t="shared" si="279"/>
        <v/>
      </c>
      <c r="T417" s="1329"/>
      <c r="U417" s="1324"/>
    </row>
    <row r="418" spans="3:21" x14ac:dyDescent="0.2">
      <c r="C418" s="1265"/>
      <c r="D418" s="1365">
        <f t="shared" si="274"/>
        <v>2013</v>
      </c>
      <c r="E418" s="1329"/>
      <c r="F418" s="1329"/>
      <c r="G418" s="1373" t="str">
        <f t="shared" si="275"/>
        <v/>
      </c>
      <c r="H418" s="1329"/>
      <c r="I418" s="1378"/>
      <c r="J418" s="1384"/>
      <c r="K418" s="1363">
        <f t="shared" si="276"/>
        <v>2013</v>
      </c>
      <c r="L418" s="1353" t="str">
        <f t="shared" si="277"/>
        <v/>
      </c>
      <c r="M418" s="1353" t="str">
        <f t="shared" si="277"/>
        <v/>
      </c>
      <c r="N418" s="1329"/>
      <c r="O418" s="1324"/>
      <c r="P418" s="1265"/>
      <c r="Q418" s="1363">
        <f t="shared" si="278"/>
        <v>2013</v>
      </c>
      <c r="R418" s="1374" t="str">
        <f t="shared" si="279"/>
        <v/>
      </c>
      <c r="S418" s="1374" t="str">
        <f t="shared" si="279"/>
        <v/>
      </c>
      <c r="T418" s="1329"/>
      <c r="U418" s="1324"/>
    </row>
    <row r="419" spans="3:21" x14ac:dyDescent="0.2">
      <c r="C419" s="1265"/>
      <c r="D419" s="1365">
        <f t="shared" si="274"/>
        <v>2014</v>
      </c>
      <c r="E419" s="1329"/>
      <c r="F419" s="1329"/>
      <c r="G419" s="1373" t="str">
        <f t="shared" si="275"/>
        <v/>
      </c>
      <c r="H419" s="1329"/>
      <c r="I419" s="1378"/>
      <c r="J419" s="1384"/>
      <c r="K419" s="1363">
        <f t="shared" si="276"/>
        <v>2014</v>
      </c>
      <c r="L419" s="1353" t="str">
        <f t="shared" si="277"/>
        <v/>
      </c>
      <c r="M419" s="1353" t="str">
        <f t="shared" si="277"/>
        <v/>
      </c>
      <c r="N419" s="1329"/>
      <c r="O419" s="1324"/>
      <c r="P419" s="1265"/>
      <c r="Q419" s="1363">
        <f t="shared" si="278"/>
        <v>2014</v>
      </c>
      <c r="R419" s="1374" t="str">
        <f t="shared" si="279"/>
        <v/>
      </c>
      <c r="S419" s="1374" t="str">
        <f t="shared" si="279"/>
        <v/>
      </c>
      <c r="T419" s="1329"/>
      <c r="U419" s="1324"/>
    </row>
    <row r="420" spans="3:21" x14ac:dyDescent="0.2">
      <c r="C420" s="1265"/>
      <c r="D420" s="1365">
        <f t="shared" si="274"/>
        <v>2015</v>
      </c>
      <c r="E420" s="1329"/>
      <c r="F420" s="1329"/>
      <c r="G420" s="1373" t="str">
        <f t="shared" si="275"/>
        <v/>
      </c>
      <c r="H420" s="1329"/>
      <c r="I420" s="1378"/>
      <c r="J420" s="1384"/>
      <c r="K420" s="1363">
        <f t="shared" si="276"/>
        <v>2015</v>
      </c>
      <c r="L420" s="1353" t="str">
        <f t="shared" si="277"/>
        <v/>
      </c>
      <c r="M420" s="1353" t="str">
        <f t="shared" si="277"/>
        <v/>
      </c>
      <c r="N420" s="1329"/>
      <c r="O420" s="1324"/>
      <c r="P420" s="1265"/>
      <c r="Q420" s="1363">
        <f t="shared" si="278"/>
        <v>2015</v>
      </c>
      <c r="R420" s="1374" t="str">
        <f t="shared" si="279"/>
        <v/>
      </c>
      <c r="S420" s="1374" t="str">
        <f t="shared" si="279"/>
        <v/>
      </c>
      <c r="T420" s="1329"/>
      <c r="U420" s="1324"/>
    </row>
    <row r="421" spans="3:21" x14ac:dyDescent="0.2">
      <c r="C421" s="1265"/>
      <c r="D421" s="1365">
        <f t="shared" si="274"/>
        <v>2016</v>
      </c>
      <c r="E421" s="1329"/>
      <c r="F421" s="1329"/>
      <c r="G421" s="1373" t="str">
        <f t="shared" si="275"/>
        <v/>
      </c>
      <c r="H421" s="1329"/>
      <c r="I421" s="1378"/>
      <c r="J421" s="1384"/>
      <c r="K421" s="1363">
        <f t="shared" si="276"/>
        <v>2016</v>
      </c>
      <c r="L421" s="1353" t="str">
        <f>IF(K412="Forecast","",IF(L411=0,"",L412/L411-1))</f>
        <v/>
      </c>
      <c r="M421" s="1353" t="str">
        <f>IF(M411=0,"",M412/M411-1)</f>
        <v/>
      </c>
      <c r="N421" s="1329"/>
      <c r="O421" s="1324"/>
      <c r="P421" s="1265"/>
      <c r="Q421" s="1363">
        <f t="shared" si="278"/>
        <v>2016</v>
      </c>
      <c r="R421" s="1374" t="str">
        <f>IF(Q412="Forecast","",IF(R411=0,"",R412/R411-1))</f>
        <v/>
      </c>
      <c r="S421" s="1374" t="str">
        <f>IF(S411="","",IF(S411=0,"",S412/S411-1))</f>
        <v/>
      </c>
      <c r="T421" s="1329"/>
      <c r="U421" s="1324"/>
    </row>
    <row r="422" spans="3:21" x14ac:dyDescent="0.2">
      <c r="C422" s="1265"/>
      <c r="D422" s="1365">
        <f t="shared" si="274"/>
        <v>2017</v>
      </c>
      <c r="E422" s="1329"/>
      <c r="F422" s="1329"/>
      <c r="G422" s="1373" t="str">
        <f t="shared" si="275"/>
        <v/>
      </c>
      <c r="H422" s="1329"/>
      <c r="I422" s="1379" t="str">
        <f>IF(I414=0,"",G413/I414-1)</f>
        <v/>
      </c>
      <c r="J422" s="1384"/>
      <c r="K422" s="1363">
        <f t="shared" si="276"/>
        <v>2017</v>
      </c>
      <c r="L422" s="1353" t="str">
        <f>IF(K413="Forecast","",IF(L412=0,"",L413/L412-1))</f>
        <v/>
      </c>
      <c r="M422" s="1353" t="str">
        <f>IF(M412=0,"",M413/M412-1)</f>
        <v/>
      </c>
      <c r="N422" s="1329"/>
      <c r="O422" s="1354" t="str">
        <f>IF(O414=0,"",M413/O414-1)</f>
        <v/>
      </c>
      <c r="P422" s="1265"/>
      <c r="Q422" s="1363">
        <f t="shared" si="278"/>
        <v>2017</v>
      </c>
      <c r="R422" s="1374" t="str">
        <f>IF(Q413="Forecast","",IF(R412=0,"",R413/R412-1))</f>
        <v/>
      </c>
      <c r="S422" s="1374" t="str">
        <f>IF(S412="","",IF(S412=0,"",S413/S412-1))</f>
        <v/>
      </c>
      <c r="T422" s="1329"/>
      <c r="U422" s="1354" t="str">
        <f>IF(U414=0,"",S413/U414-1)</f>
        <v/>
      </c>
    </row>
    <row r="423" spans="3:21" ht="26.25" thickBot="1" x14ac:dyDescent="0.25">
      <c r="C423" s="1271"/>
      <c r="D423" s="1405" t="s">
        <v>1221</v>
      </c>
      <c r="E423" s="1355"/>
      <c r="F423" s="1355"/>
      <c r="G423" s="1375" t="str">
        <f>IF(G407=0,"",(G413/G407)^(1/($D413-$D407-1))-1)</f>
        <v/>
      </c>
      <c r="H423" s="1355"/>
      <c r="I423" s="1406" t="str">
        <f>IF(I414=0,"",(G413/I414)^(1/(TestYear-RebaseYear-1))-1)</f>
        <v/>
      </c>
      <c r="J423" s="1360"/>
      <c r="K423" s="1404" t="str">
        <f t="shared" si="276"/>
        <v>Geometric Mean</v>
      </c>
      <c r="L423" s="1358" t="str">
        <f>IF(L407=0,"",(L411/L407)^(1/($D411-$D407-1))-1)</f>
        <v/>
      </c>
      <c r="M423" s="1358" t="str">
        <f>IF(M407=0,"",(M413/M407)^(1/($D413-$D407-1))-1)</f>
        <v/>
      </c>
      <c r="N423" s="1355"/>
      <c r="O423" s="1371" t="str">
        <f>IF(O414=0,"",(M413/O414)^(1/(TestYear-RebaseYear-1))-1)</f>
        <v/>
      </c>
      <c r="P423" s="1271"/>
      <c r="Q423" s="1404" t="str">
        <f t="shared" si="278"/>
        <v>Geometric Mean</v>
      </c>
      <c r="R423" s="1376" t="str">
        <f>IF(R407="","",IF(R407=0,"",(R411/R407)^(1/($D411-$D407-1))-1))</f>
        <v/>
      </c>
      <c r="S423" s="1358" t="str">
        <f>IF(S407="","",IF(S407=0,"",(S413/S407)^(1/($D413-$D407-1))-1))</f>
        <v/>
      </c>
      <c r="T423" s="1355"/>
      <c r="U423" s="1371" t="str">
        <f>IF(U414=0,"",(S413/U414)^(1/(TestYear-RebaseYear-1))-1)</f>
        <v/>
      </c>
    </row>
    <row r="425" spans="3:21" ht="13.5" thickBot="1" x14ac:dyDescent="0.25">
      <c r="Q425" s="1355"/>
      <c r="R425" s="1355"/>
      <c r="S425" s="1355"/>
      <c r="T425" s="1355"/>
      <c r="U425" s="1355"/>
    </row>
    <row r="426" spans="3:21" x14ac:dyDescent="0.2">
      <c r="C426" s="1264"/>
      <c r="D426" s="1268" t="s">
        <v>1205</v>
      </c>
      <c r="E426" s="1268"/>
      <c r="F426" s="1876" t="s">
        <v>1198</v>
      </c>
      <c r="G426" s="1877"/>
      <c r="H426" s="1877"/>
      <c r="I426" s="1878"/>
      <c r="K426" s="1859" t="str">
        <f>IF(ISBLANK(N403),"",CONCATENATE("Demand (",N403,")"))</f>
        <v/>
      </c>
      <c r="L426" s="1860"/>
      <c r="M426" s="1860"/>
      <c r="N426" s="1860"/>
      <c r="O426" s="1861"/>
      <c r="Q426" s="1869" t="str">
        <f>CONCATENATE("Demand (",N403,") per ",LEFT(F405,LEN(F405)-1))</f>
        <v>Demand () per Customer</v>
      </c>
      <c r="R426" s="1879"/>
      <c r="S426" s="1879"/>
      <c r="T426" s="1879"/>
      <c r="U426" s="1870"/>
    </row>
    <row r="427" spans="3:21" ht="39" thickBot="1" x14ac:dyDescent="0.25">
      <c r="C427" s="1271"/>
      <c r="D427" s="1277" t="str">
        <f>CONCATENATE("(for ",TestYear," Cost of Service")</f>
        <v>(for 2017 Cost of Service</v>
      </c>
      <c r="E427" s="1266"/>
      <c r="F427" s="1872"/>
      <c r="G427" s="1873"/>
      <c r="H427" s="1873"/>
      <c r="I427" s="1296"/>
      <c r="K427" s="1284"/>
      <c r="L427" s="1433" t="s">
        <v>1226</v>
      </c>
      <c r="M427" s="1433" t="s">
        <v>1210</v>
      </c>
      <c r="N427" s="1305"/>
      <c r="O427" s="1306" t="str">
        <f>M427</f>
        <v>Weather-normalized</v>
      </c>
      <c r="Q427" s="1403"/>
      <c r="R427" s="1433" t="str">
        <f>L427</f>
        <v>Actual (Weather actual)</v>
      </c>
      <c r="S427" s="1433" t="str">
        <f>M427</f>
        <v>Weather-normalized</v>
      </c>
      <c r="T427" s="1433"/>
      <c r="U427" s="1434" t="str">
        <f>O427</f>
        <v>Weather-normalized</v>
      </c>
    </row>
    <row r="428" spans="3:21" x14ac:dyDescent="0.2">
      <c r="C428" s="1266" t="s">
        <v>890</v>
      </c>
      <c r="D428" s="1363">
        <f t="shared" ref="D428:D433" si="280">D429-1</f>
        <v>2011</v>
      </c>
      <c r="E428" s="1265"/>
      <c r="F428" s="1313" t="str">
        <f t="shared" ref="F428:F434" si="281">F407</f>
        <v>Actual</v>
      </c>
      <c r="G428" s="1311"/>
      <c r="H428" s="2" t="str">
        <f t="shared" ref="H428:H434" si="282">IF(D428=RebaseYear,"Board-approved","")</f>
        <v/>
      </c>
      <c r="I428" s="1383"/>
      <c r="K428" s="1282" t="str">
        <f t="shared" ref="K428:K434" si="283">K407</f>
        <v>Actual</v>
      </c>
      <c r="L428" s="1294"/>
      <c r="M428" s="1294"/>
      <c r="N428" s="1258" t="str">
        <f t="shared" ref="N428:N434" si="284">N407</f>
        <v/>
      </c>
      <c r="O428" s="1324"/>
      <c r="Q428" s="1385" t="str">
        <f>K428</f>
        <v>Actual</v>
      </c>
      <c r="R428" s="1329" t="str">
        <f>IF(G428=0,"",L428/G428)</f>
        <v/>
      </c>
      <c r="S428" s="1309" t="str">
        <f>IF(G428=0,"",M428/G428)</f>
        <v/>
      </c>
      <c r="T428" s="1309" t="str">
        <f>N428</f>
        <v/>
      </c>
      <c r="U428" s="1265" t="str">
        <f>IF(T428="","",IF(I428=0,"",O428/I428))</f>
        <v/>
      </c>
    </row>
    <row r="429" spans="3:21" x14ac:dyDescent="0.2">
      <c r="C429" s="1266" t="s">
        <v>890</v>
      </c>
      <c r="D429" s="1363">
        <f t="shared" si="280"/>
        <v>2012</v>
      </c>
      <c r="E429" s="1265"/>
      <c r="F429" s="1314" t="str">
        <f t="shared" si="281"/>
        <v>Actual</v>
      </c>
      <c r="G429" s="1311"/>
      <c r="H429" s="2" t="str">
        <f t="shared" si="282"/>
        <v>Board-approved</v>
      </c>
      <c r="I429" s="1324"/>
      <c r="K429" s="1282" t="str">
        <f t="shared" si="283"/>
        <v>Actual</v>
      </c>
      <c r="L429" s="1294"/>
      <c r="M429" s="1294"/>
      <c r="N429" s="1258" t="str">
        <f t="shared" si="284"/>
        <v>Board-approved</v>
      </c>
      <c r="O429" s="1324"/>
      <c r="Q429" s="1385" t="str">
        <f t="shared" ref="Q429:Q434" si="285">K429</f>
        <v>Actual</v>
      </c>
      <c r="R429" s="1329" t="str">
        <f t="shared" ref="R429:R434" si="286">IF(G429=0,"",L429/G429)</f>
        <v/>
      </c>
      <c r="S429" s="1309" t="str">
        <f t="shared" ref="S429:S434" si="287">IF(G429=0,"",M429/G429)</f>
        <v/>
      </c>
      <c r="T429" s="1309" t="str">
        <f t="shared" ref="T429:T434" si="288">N429</f>
        <v>Board-approved</v>
      </c>
      <c r="U429" s="1265" t="str">
        <f t="shared" ref="U429:U434" si="289">IF(T429="","",IF(I429=0,"",O429/I429))</f>
        <v/>
      </c>
    </row>
    <row r="430" spans="3:21" x14ac:dyDescent="0.2">
      <c r="C430" s="1266" t="s">
        <v>890</v>
      </c>
      <c r="D430" s="1363">
        <f t="shared" si="280"/>
        <v>2013</v>
      </c>
      <c r="E430" s="1265"/>
      <c r="F430" s="1314" t="str">
        <f t="shared" si="281"/>
        <v>Actual</v>
      </c>
      <c r="G430" s="1311"/>
      <c r="H430" s="2" t="str">
        <f t="shared" si="282"/>
        <v/>
      </c>
      <c r="I430" s="1328"/>
      <c r="K430" s="1282" t="str">
        <f t="shared" si="283"/>
        <v>Actual</v>
      </c>
      <c r="L430" s="1294"/>
      <c r="M430" s="1294"/>
      <c r="N430" s="1258" t="str">
        <f t="shared" si="284"/>
        <v/>
      </c>
      <c r="O430" s="1325"/>
      <c r="Q430" s="1385" t="str">
        <f t="shared" si="285"/>
        <v>Actual</v>
      </c>
      <c r="R430" s="1329" t="str">
        <f t="shared" si="286"/>
        <v/>
      </c>
      <c r="S430" s="1309" t="str">
        <f t="shared" si="287"/>
        <v/>
      </c>
      <c r="T430" s="1309" t="str">
        <f t="shared" si="288"/>
        <v/>
      </c>
      <c r="U430" s="1265" t="str">
        <f t="shared" si="289"/>
        <v/>
      </c>
    </row>
    <row r="431" spans="3:21" x14ac:dyDescent="0.2">
      <c r="C431" s="1266" t="s">
        <v>890</v>
      </c>
      <c r="D431" s="1363">
        <f t="shared" si="280"/>
        <v>2014</v>
      </c>
      <c r="E431" s="1265"/>
      <c r="F431" s="1314" t="str">
        <f t="shared" si="281"/>
        <v>Actual</v>
      </c>
      <c r="G431" s="1311"/>
      <c r="H431" s="2" t="str">
        <f t="shared" si="282"/>
        <v/>
      </c>
      <c r="I431" s="1324"/>
      <c r="K431" s="1282" t="str">
        <f t="shared" si="283"/>
        <v>Actual</v>
      </c>
      <c r="L431" s="1294"/>
      <c r="M431" s="1294"/>
      <c r="N431" s="1258" t="str">
        <f t="shared" si="284"/>
        <v/>
      </c>
      <c r="O431" s="1324"/>
      <c r="Q431" s="1385" t="str">
        <f t="shared" si="285"/>
        <v>Actual</v>
      </c>
      <c r="R431" s="1329" t="str">
        <f t="shared" si="286"/>
        <v/>
      </c>
      <c r="S431" s="1309" t="str">
        <f t="shared" si="287"/>
        <v/>
      </c>
      <c r="T431" s="1309" t="str">
        <f t="shared" si="288"/>
        <v/>
      </c>
      <c r="U431" s="1265" t="str">
        <f t="shared" si="289"/>
        <v/>
      </c>
    </row>
    <row r="432" spans="3:21" x14ac:dyDescent="0.2">
      <c r="C432" s="1266" t="s">
        <v>890</v>
      </c>
      <c r="D432" s="1363">
        <f t="shared" si="280"/>
        <v>2015</v>
      </c>
      <c r="E432" s="1265"/>
      <c r="F432" s="1314" t="str">
        <f t="shared" si="281"/>
        <v>Actual</v>
      </c>
      <c r="G432" s="1311"/>
      <c r="H432" s="2" t="str">
        <f t="shared" si="282"/>
        <v/>
      </c>
      <c r="I432" s="1324"/>
      <c r="K432" s="1282" t="str">
        <f t="shared" si="283"/>
        <v>Actual</v>
      </c>
      <c r="L432" s="1294"/>
      <c r="M432" s="1294"/>
      <c r="N432" s="1258" t="str">
        <f t="shared" si="284"/>
        <v/>
      </c>
      <c r="O432" s="1324"/>
      <c r="Q432" s="1385" t="str">
        <f t="shared" si="285"/>
        <v>Actual</v>
      </c>
      <c r="R432" s="1329" t="str">
        <f t="shared" si="286"/>
        <v/>
      </c>
      <c r="S432" s="1309" t="str">
        <f t="shared" si="287"/>
        <v/>
      </c>
      <c r="T432" s="1309" t="str">
        <f t="shared" si="288"/>
        <v/>
      </c>
      <c r="U432" s="1265" t="str">
        <f t="shared" si="289"/>
        <v/>
      </c>
    </row>
    <row r="433" spans="2:22" x14ac:dyDescent="0.2">
      <c r="C433" s="1266" t="s">
        <v>1203</v>
      </c>
      <c r="D433" s="1363">
        <f t="shared" si="280"/>
        <v>2016</v>
      </c>
      <c r="E433" s="1265"/>
      <c r="F433" s="1314" t="str">
        <f t="shared" si="281"/>
        <v>Forecast</v>
      </c>
      <c r="G433" s="1311"/>
      <c r="H433" s="2" t="str">
        <f t="shared" si="282"/>
        <v/>
      </c>
      <c r="I433" s="1324"/>
      <c r="K433" s="1282" t="str">
        <f t="shared" si="283"/>
        <v>Forecast</v>
      </c>
      <c r="L433" s="1303"/>
      <c r="M433" s="1334"/>
      <c r="N433" s="1258" t="str">
        <f t="shared" si="284"/>
        <v/>
      </c>
      <c r="O433" s="1324"/>
      <c r="Q433" s="1385" t="str">
        <f t="shared" si="285"/>
        <v>Forecast</v>
      </c>
      <c r="R433" s="1329" t="str">
        <f t="shared" si="286"/>
        <v/>
      </c>
      <c r="S433" s="1309" t="str">
        <f t="shared" si="287"/>
        <v/>
      </c>
      <c r="T433" s="1309" t="str">
        <f t="shared" si="288"/>
        <v/>
      </c>
      <c r="U433" s="1265" t="str">
        <f t="shared" si="289"/>
        <v/>
      </c>
    </row>
    <row r="434" spans="2:22" ht="13.5" thickBot="1" x14ac:dyDescent="0.25">
      <c r="C434" s="1267" t="s">
        <v>1204</v>
      </c>
      <c r="D434" s="1364">
        <f>TestYear</f>
        <v>2017</v>
      </c>
      <c r="E434" s="1271"/>
      <c r="F434" s="1315" t="str">
        <f t="shared" si="281"/>
        <v>Forecast</v>
      </c>
      <c r="G434" s="1312"/>
      <c r="H434" s="1307" t="str">
        <f t="shared" si="282"/>
        <v/>
      </c>
      <c r="I434" s="1326"/>
      <c r="K434" s="1283" t="str">
        <f t="shared" si="283"/>
        <v>Forecast</v>
      </c>
      <c r="L434" s="1304"/>
      <c r="M434" s="1335"/>
      <c r="N434" s="1262" t="str">
        <f t="shared" si="284"/>
        <v/>
      </c>
      <c r="O434" s="1326"/>
      <c r="Q434" s="1319" t="str">
        <f t="shared" si="285"/>
        <v>Forecast</v>
      </c>
      <c r="R434" s="1310" t="str">
        <f t="shared" si="286"/>
        <v/>
      </c>
      <c r="S434" s="1310" t="str">
        <f t="shared" si="287"/>
        <v/>
      </c>
      <c r="T434" s="1310" t="str">
        <f t="shared" si="288"/>
        <v/>
      </c>
      <c r="U434" s="1271" t="str">
        <f t="shared" si="289"/>
        <v/>
      </c>
    </row>
    <row r="435" spans="2:22" ht="13.5" thickBot="1" x14ac:dyDescent="0.25">
      <c r="C435" s="1366"/>
      <c r="I435" s="1408">
        <f>SUM(I428:I433)</f>
        <v>0</v>
      </c>
      <c r="J435" s="1329"/>
      <c r="O435" s="1408">
        <f>SUM(O428:O433)</f>
        <v>0</v>
      </c>
      <c r="U435" s="1408">
        <f>SUM(U428:U433)</f>
        <v>0</v>
      </c>
    </row>
    <row r="436" spans="2:22" ht="39" thickBot="1" x14ac:dyDescent="0.25">
      <c r="C436" s="1400" t="s">
        <v>952</v>
      </c>
      <c r="D436" s="1399" t="s">
        <v>15</v>
      </c>
      <c r="E436" s="1435"/>
      <c r="F436" s="1435"/>
      <c r="G436" s="1435" t="s">
        <v>1222</v>
      </c>
      <c r="H436" s="1435"/>
      <c r="I436" s="1394" t="str">
        <f>I415</f>
        <v>Test Year Versus Board-approved</v>
      </c>
      <c r="J436" s="1407"/>
      <c r="K436" s="1395" t="s">
        <v>15</v>
      </c>
      <c r="L436" s="1874" t="s">
        <v>1222</v>
      </c>
      <c r="M436" s="1874"/>
      <c r="N436" s="1435"/>
      <c r="O436" s="1394" t="str">
        <f>I436</f>
        <v>Test Year Versus Board-approved</v>
      </c>
      <c r="P436" s="1380"/>
      <c r="Q436" s="1395" t="s">
        <v>15</v>
      </c>
      <c r="R436" s="1874" t="s">
        <v>1222</v>
      </c>
      <c r="S436" s="1874"/>
      <c r="T436" s="1435"/>
      <c r="U436" s="1394" t="str">
        <f>O436</f>
        <v>Test Year Versus Board-approved</v>
      </c>
    </row>
    <row r="437" spans="2:22" x14ac:dyDescent="0.2">
      <c r="C437" s="1265"/>
      <c r="D437" s="1402">
        <f t="shared" ref="D437:D443" si="290">D428</f>
        <v>2011</v>
      </c>
      <c r="E437" s="1345"/>
      <c r="F437" s="1329"/>
      <c r="G437" s="1372"/>
      <c r="H437" s="1329"/>
      <c r="I437" s="1378"/>
      <c r="J437" s="1265"/>
      <c r="K437" s="1363">
        <f>D437</f>
        <v>2011</v>
      </c>
      <c r="L437" s="1351"/>
      <c r="M437" s="1351"/>
      <c r="N437" s="1329"/>
      <c r="O437" s="1381"/>
      <c r="P437" s="1265"/>
      <c r="Q437" s="1363">
        <f>K437</f>
        <v>2011</v>
      </c>
      <c r="R437" s="1330"/>
      <c r="S437" s="1330"/>
      <c r="T437" s="1329"/>
      <c r="U437" s="1324"/>
    </row>
    <row r="438" spans="2:22" x14ac:dyDescent="0.2">
      <c r="C438" s="1265"/>
      <c r="D438" s="1365">
        <f t="shared" si="290"/>
        <v>2012</v>
      </c>
      <c r="E438" s="1329"/>
      <c r="F438" s="1329"/>
      <c r="G438" s="1373" t="str">
        <f t="shared" ref="G438:G443" si="291">IF(G428=0,"",G429/G428-1)</f>
        <v/>
      </c>
      <c r="H438" s="1329"/>
      <c r="I438" s="1378"/>
      <c r="J438" s="1265"/>
      <c r="K438" s="1363">
        <f t="shared" ref="K438:K444" si="292">D438</f>
        <v>2012</v>
      </c>
      <c r="L438" s="1353" t="str">
        <f t="shared" ref="L438:M441" si="293">IF(L428=0,"",L429/L428-1)</f>
        <v/>
      </c>
      <c r="M438" s="1353" t="str">
        <f t="shared" si="293"/>
        <v/>
      </c>
      <c r="N438" s="1329"/>
      <c r="O438" s="1381"/>
      <c r="P438" s="1265"/>
      <c r="Q438" s="1363">
        <f t="shared" ref="Q438:Q444" si="294">K438</f>
        <v>2012</v>
      </c>
      <c r="R438" s="1374" t="str">
        <f t="shared" ref="R438:S441" si="295">IF(R428="","",IF(R428=0,"",R429/R428-1))</f>
        <v/>
      </c>
      <c r="S438" s="1374" t="str">
        <f t="shared" si="295"/>
        <v/>
      </c>
      <c r="T438" s="1329"/>
      <c r="U438" s="1324"/>
    </row>
    <row r="439" spans="2:22" x14ac:dyDescent="0.2">
      <c r="C439" s="1265"/>
      <c r="D439" s="1401">
        <f t="shared" si="290"/>
        <v>2013</v>
      </c>
      <c r="E439" s="1329"/>
      <c r="F439" s="1329"/>
      <c r="G439" s="1373" t="str">
        <f t="shared" si="291"/>
        <v/>
      </c>
      <c r="H439" s="1329"/>
      <c r="I439" s="1378"/>
      <c r="J439" s="1265"/>
      <c r="K439" s="1363">
        <f t="shared" si="292"/>
        <v>2013</v>
      </c>
      <c r="L439" s="1353" t="str">
        <f t="shared" si="293"/>
        <v/>
      </c>
      <c r="M439" s="1353" t="str">
        <f t="shared" si="293"/>
        <v/>
      </c>
      <c r="N439" s="1329"/>
      <c r="O439" s="1381"/>
      <c r="P439" s="1265"/>
      <c r="Q439" s="1363">
        <f t="shared" si="294"/>
        <v>2013</v>
      </c>
      <c r="R439" s="1374" t="str">
        <f t="shared" si="295"/>
        <v/>
      </c>
      <c r="S439" s="1374" t="str">
        <f t="shared" si="295"/>
        <v/>
      </c>
      <c r="T439" s="1329"/>
      <c r="U439" s="1324"/>
    </row>
    <row r="440" spans="2:22" x14ac:dyDescent="0.2">
      <c r="C440" s="1265"/>
      <c r="D440" s="1365">
        <f t="shared" si="290"/>
        <v>2014</v>
      </c>
      <c r="E440" s="1329"/>
      <c r="F440" s="1329"/>
      <c r="G440" s="1373" t="str">
        <f t="shared" si="291"/>
        <v/>
      </c>
      <c r="H440" s="1329"/>
      <c r="I440" s="1378"/>
      <c r="J440" s="1265"/>
      <c r="K440" s="1363">
        <f t="shared" si="292"/>
        <v>2014</v>
      </c>
      <c r="L440" s="1353" t="str">
        <f t="shared" si="293"/>
        <v/>
      </c>
      <c r="M440" s="1353" t="str">
        <f t="shared" si="293"/>
        <v/>
      </c>
      <c r="N440" s="1329"/>
      <c r="O440" s="1381"/>
      <c r="P440" s="1265"/>
      <c r="Q440" s="1363">
        <f t="shared" si="294"/>
        <v>2014</v>
      </c>
      <c r="R440" s="1374" t="str">
        <f t="shared" si="295"/>
        <v/>
      </c>
      <c r="S440" s="1374" t="str">
        <f t="shared" si="295"/>
        <v/>
      </c>
      <c r="T440" s="1329"/>
      <c r="U440" s="1324"/>
    </row>
    <row r="441" spans="2:22" x14ac:dyDescent="0.2">
      <c r="C441" s="1265"/>
      <c r="D441" s="1365">
        <f t="shared" si="290"/>
        <v>2015</v>
      </c>
      <c r="E441" s="1329"/>
      <c r="F441" s="1329"/>
      <c r="G441" s="1373" t="str">
        <f t="shared" si="291"/>
        <v/>
      </c>
      <c r="H441" s="1329"/>
      <c r="I441" s="1378"/>
      <c r="J441" s="1265"/>
      <c r="K441" s="1363">
        <f t="shared" si="292"/>
        <v>2015</v>
      </c>
      <c r="L441" s="1353" t="str">
        <f t="shared" si="293"/>
        <v/>
      </c>
      <c r="M441" s="1353" t="str">
        <f t="shared" si="293"/>
        <v/>
      </c>
      <c r="N441" s="1329"/>
      <c r="O441" s="1381"/>
      <c r="P441" s="1265"/>
      <c r="Q441" s="1363">
        <f t="shared" si="294"/>
        <v>2015</v>
      </c>
      <c r="R441" s="1374" t="str">
        <f t="shared" si="295"/>
        <v/>
      </c>
      <c r="S441" s="1374" t="str">
        <f t="shared" si="295"/>
        <v/>
      </c>
      <c r="T441" s="1329"/>
      <c r="U441" s="1324"/>
    </row>
    <row r="442" spans="2:22" x14ac:dyDescent="0.2">
      <c r="C442" s="1265"/>
      <c r="D442" s="1365">
        <f t="shared" si="290"/>
        <v>2016</v>
      </c>
      <c r="E442" s="1329"/>
      <c r="F442" s="1329"/>
      <c r="G442" s="1373" t="str">
        <f t="shared" si="291"/>
        <v/>
      </c>
      <c r="H442" s="1329"/>
      <c r="I442" s="1378"/>
      <c r="J442" s="1265"/>
      <c r="K442" s="1363">
        <f t="shared" si="292"/>
        <v>2016</v>
      </c>
      <c r="L442" s="1353" t="str">
        <f>IF(K433="Forecast","",IF(L432=0,"",L433/L432-1))</f>
        <v/>
      </c>
      <c r="M442" s="1353" t="str">
        <f>IF(M432=0,"",M433/M432-1)</f>
        <v/>
      </c>
      <c r="N442" s="1329"/>
      <c r="O442" s="1381"/>
      <c r="P442" s="1265"/>
      <c r="Q442" s="1363">
        <f t="shared" si="294"/>
        <v>2016</v>
      </c>
      <c r="R442" s="1374" t="str">
        <f>IF(Q433="Forecast","",IF(R432=0,"",R433/R432-1))</f>
        <v/>
      </c>
      <c r="S442" s="1374" t="str">
        <f>IF(S432="","",IF(S432=0,"",S433/S432-1))</f>
        <v/>
      </c>
      <c r="T442" s="1329"/>
      <c r="U442" s="1324"/>
    </row>
    <row r="443" spans="2:22" x14ac:dyDescent="0.2">
      <c r="C443" s="1265"/>
      <c r="D443" s="1401">
        <f t="shared" si="290"/>
        <v>2017</v>
      </c>
      <c r="E443" s="1329"/>
      <c r="F443" s="1329"/>
      <c r="G443" s="1373" t="str">
        <f t="shared" si="291"/>
        <v/>
      </c>
      <c r="H443" s="1329"/>
      <c r="I443" s="1379" t="str">
        <f>IF(I435=0,"",G434/I435-1)</f>
        <v/>
      </c>
      <c r="J443" s="1265"/>
      <c r="K443" s="1363">
        <f t="shared" si="292"/>
        <v>2017</v>
      </c>
      <c r="L443" s="1353" t="str">
        <f>IF(K434="Forecast","",IF(L433=0,"",L434/L433-1))</f>
        <v/>
      </c>
      <c r="M443" s="1353" t="str">
        <f>IF(M433=0,"",M434/M433-1)</f>
        <v/>
      </c>
      <c r="N443" s="1329"/>
      <c r="O443" s="1382" t="str">
        <f>IF(O435=0,"",M434/O435-1)</f>
        <v/>
      </c>
      <c r="P443" s="1265"/>
      <c r="Q443" s="1363">
        <f t="shared" si="294"/>
        <v>2017</v>
      </c>
      <c r="R443" s="1374" t="str">
        <f>IF(Q434="Forecast","",IF(R433=0,"",R434/R433-1))</f>
        <v/>
      </c>
      <c r="S443" s="1374" t="str">
        <f>IF(S433="","",IF(S433=0,"",S434/S433-1))</f>
        <v/>
      </c>
      <c r="T443" s="1329"/>
      <c r="U443" s="1354" t="str">
        <f>IF(U435=0,"",S434/U435-1)</f>
        <v/>
      </c>
    </row>
    <row r="444" spans="2:22" ht="26.25" thickBot="1" x14ac:dyDescent="0.25">
      <c r="C444" s="1271"/>
      <c r="D444" s="1405" t="s">
        <v>1221</v>
      </c>
      <c r="E444" s="1355"/>
      <c r="F444" s="1355"/>
      <c r="G444" s="1375" t="str">
        <f>IF(G428=0,"",(G434/G428)^(1/($D434-$D428-1))-1)</f>
        <v/>
      </c>
      <c r="H444" s="1355"/>
      <c r="I444" s="1371" t="str">
        <f>IF(I435=0,"",(G434/I435)^(1/(TestYear-RebaseYear-1))-1)</f>
        <v/>
      </c>
      <c r="J444" s="1265"/>
      <c r="K444" s="1404" t="str">
        <f t="shared" si="292"/>
        <v>Geometric Mean</v>
      </c>
      <c r="L444" s="1358" t="str">
        <f>IF(L428=0,"",(L432/L428)^(1/($D432-$D428-1))-1)</f>
        <v/>
      </c>
      <c r="M444" s="1358" t="str">
        <f>IF(M428=0,"",(M434/M428)^(1/($D434-$D428-1))-1)</f>
        <v/>
      </c>
      <c r="N444" s="1355"/>
      <c r="O444" s="1371" t="str">
        <f>IF(O435=0,"",(M434/O435)^(1/(TestYear-RebaseYear-1))-1)</f>
        <v/>
      </c>
      <c r="P444" s="1271"/>
      <c r="Q444" s="1404" t="str">
        <f t="shared" si="294"/>
        <v>Geometric Mean</v>
      </c>
      <c r="R444" s="1376" t="str">
        <f>IF(R428="","",IF(R428=0,"",(R432/R428)^(1/($D432-$D428-1))-1))</f>
        <v/>
      </c>
      <c r="S444" s="1358" t="str">
        <f>IF(S428="","",IF(S428=0,"",(S434/S428)^(1/($D434-$D428-1))-1))</f>
        <v/>
      </c>
      <c r="T444" s="1355"/>
      <c r="U444" s="1371" t="str">
        <f>IF(U435=0,"",(S434/U435)^(1/(TestYear-RebaseYear-1))-1)</f>
        <v/>
      </c>
    </row>
    <row r="445" spans="2:22" ht="13.5" thickBot="1" x14ac:dyDescent="0.25"/>
    <row r="446" spans="2:22" ht="13.5" thickBot="1" x14ac:dyDescent="0.25">
      <c r="B446" s="1318">
        <f>B403+1</f>
        <v>10</v>
      </c>
      <c r="C446" s="3" t="s">
        <v>14</v>
      </c>
      <c r="D446" s="1880"/>
      <c r="E446" s="1881"/>
      <c r="F446" s="1882"/>
      <c r="G446" s="1291"/>
      <c r="H446" s="13" t="s">
        <v>1224</v>
      </c>
      <c r="N446" s="1317"/>
      <c r="O446" s="1316"/>
      <c r="P446" s="1316"/>
      <c r="Q446" s="1316"/>
      <c r="R446" s="1316"/>
      <c r="S446" s="1316"/>
      <c r="T446" s="1316"/>
      <c r="U446" s="1316"/>
    </row>
    <row r="447" spans="2:22" ht="13.5" thickBot="1" x14ac:dyDescent="0.25">
      <c r="Q447" s="1355"/>
      <c r="R447" s="1355"/>
      <c r="S447" s="1355"/>
      <c r="T447" s="1355"/>
      <c r="U447" s="1355"/>
    </row>
    <row r="448" spans="2:22" x14ac:dyDescent="0.2">
      <c r="C448" s="1264"/>
      <c r="D448" s="1268" t="s">
        <v>1205</v>
      </c>
      <c r="E448" s="1268"/>
      <c r="F448" s="1883" t="s">
        <v>1034</v>
      </c>
      <c r="G448" s="1884"/>
      <c r="H448" s="1884"/>
      <c r="I448" s="1885"/>
      <c r="J448" s="1268"/>
      <c r="K448" s="1859" t="s">
        <v>1213</v>
      </c>
      <c r="L448" s="1860"/>
      <c r="M448" s="1860"/>
      <c r="N448" s="1860"/>
      <c r="O448" s="1861"/>
      <c r="P448" s="1287"/>
      <c r="Q448" s="1869" t="str">
        <f>CONCATENATE("Consumption (kWh) per ",LEFT(F448,LEN(F448)-1))</f>
        <v>Consumption (kWh) per Customer</v>
      </c>
      <c r="R448" s="1879"/>
      <c r="S448" s="1879"/>
      <c r="T448" s="1879"/>
      <c r="U448" s="1870"/>
      <c r="V448" s="1308"/>
    </row>
    <row r="449" spans="2:22" ht="39" thickBot="1" x14ac:dyDescent="0.25">
      <c r="C449" s="1271"/>
      <c r="D449" s="1277" t="str">
        <f>CONCATENATE("(for ",TestYear," Cost of Service")</f>
        <v>(for 2017 Cost of Service</v>
      </c>
      <c r="E449" s="1266"/>
      <c r="F449" s="1872"/>
      <c r="G449" s="1873"/>
      <c r="H449" s="1875"/>
      <c r="I449" s="1296"/>
      <c r="J449" s="1266"/>
      <c r="K449" s="1284"/>
      <c r="L449" s="1433" t="s">
        <v>1226</v>
      </c>
      <c r="M449" s="1433" t="s">
        <v>1210</v>
      </c>
      <c r="N449" s="1305"/>
      <c r="O449" s="1306" t="s">
        <v>1210</v>
      </c>
      <c r="P449" s="1266"/>
      <c r="Q449" s="1389"/>
      <c r="R449" s="1390" t="str">
        <f>L449</f>
        <v>Actual (Weather actual)</v>
      </c>
      <c r="S449" s="1391" t="str">
        <f>M449</f>
        <v>Weather-normalized</v>
      </c>
      <c r="T449" s="1391"/>
      <c r="U449" s="1392" t="str">
        <f>O449</f>
        <v>Weather-normalized</v>
      </c>
      <c r="V449" s="1308"/>
    </row>
    <row r="450" spans="2:22" x14ac:dyDescent="0.2">
      <c r="C450" s="1266" t="s">
        <v>890</v>
      </c>
      <c r="D450" s="1363">
        <f t="shared" ref="D450:D455" si="296">D451-1</f>
        <v>2011</v>
      </c>
      <c r="E450" s="1265"/>
      <c r="F450" s="1313" t="str">
        <f>F407</f>
        <v>Actual</v>
      </c>
      <c r="G450" s="1301"/>
      <c r="H450" s="1297" t="str">
        <f t="shared" ref="H450:H456" si="297">IF(D450=RebaseYear,"Board-approved","")</f>
        <v/>
      </c>
      <c r="I450" s="1324"/>
      <c r="J450" s="1265"/>
      <c r="K450" s="1282" t="str">
        <f>F450</f>
        <v>Actual</v>
      </c>
      <c r="L450" s="1294"/>
      <c r="M450" s="1294"/>
      <c r="N450" s="1258" t="str">
        <f>H450</f>
        <v/>
      </c>
      <c r="O450" s="1324"/>
      <c r="P450" s="1265"/>
      <c r="Q450" s="1385" t="str">
        <f>K450</f>
        <v>Actual</v>
      </c>
      <c r="R450" s="1387" t="str">
        <f>IF(G450=0,"",L450/G450)</f>
        <v/>
      </c>
      <c r="S450" s="1329" t="str">
        <f>IF(G450=0,"",M450/G450)</f>
        <v/>
      </c>
      <c r="T450" s="1329" t="str">
        <f>N450</f>
        <v/>
      </c>
      <c r="U450" s="1329" t="str">
        <f>IF(T450="","",IF(I450=0,"",O450/I450))</f>
        <v/>
      </c>
      <c r="V450" s="1309"/>
    </row>
    <row r="451" spans="2:22" x14ac:dyDescent="0.2">
      <c r="C451" s="1266" t="s">
        <v>890</v>
      </c>
      <c r="D451" s="1363">
        <f t="shared" si="296"/>
        <v>2012</v>
      </c>
      <c r="E451" s="1265"/>
      <c r="F451" s="1314" t="str">
        <f t="shared" ref="F451:F456" si="298">F408</f>
        <v>Actual</v>
      </c>
      <c r="G451" s="1301"/>
      <c r="H451" s="1297" t="str">
        <f t="shared" si="297"/>
        <v>Board-approved</v>
      </c>
      <c r="I451" s="1324"/>
      <c r="J451" s="1265"/>
      <c r="K451" s="1282" t="str">
        <f t="shared" ref="K451:K456" si="299">F451</f>
        <v>Actual</v>
      </c>
      <c r="L451" s="1294"/>
      <c r="M451" s="1294"/>
      <c r="N451" s="1258" t="str">
        <f t="shared" ref="N451:N456" si="300">H451</f>
        <v>Board-approved</v>
      </c>
      <c r="O451" s="1324"/>
      <c r="P451" s="1265"/>
      <c r="Q451" s="1385" t="str">
        <f t="shared" ref="Q451:Q456" si="301">K451</f>
        <v>Actual</v>
      </c>
      <c r="R451" s="1387" t="str">
        <f t="shared" ref="R451:R456" si="302">IF(G451=0,"",L451/G451)</f>
        <v/>
      </c>
      <c r="S451" s="1329" t="str">
        <f t="shared" ref="S451:S456" si="303">IF(G451=0,"",M451/G451)</f>
        <v/>
      </c>
      <c r="T451" s="1329" t="str">
        <f t="shared" ref="T451:T456" si="304">N451</f>
        <v>Board-approved</v>
      </c>
      <c r="U451" s="1329" t="str">
        <f t="shared" ref="U451:U456" si="305">IF(T451="","",IF(I451=0,"",O451/I451))</f>
        <v/>
      </c>
      <c r="V451" s="1309"/>
    </row>
    <row r="452" spans="2:22" x14ac:dyDescent="0.2">
      <c r="C452" s="1266" t="s">
        <v>890</v>
      </c>
      <c r="D452" s="1363">
        <f t="shared" si="296"/>
        <v>2013</v>
      </c>
      <c r="E452" s="1265"/>
      <c r="F452" s="1314" t="str">
        <f t="shared" si="298"/>
        <v>Actual</v>
      </c>
      <c r="G452" s="1301"/>
      <c r="H452" s="1297" t="str">
        <f t="shared" si="297"/>
        <v/>
      </c>
      <c r="I452" s="1325"/>
      <c r="J452" s="1265"/>
      <c r="K452" s="1282" t="str">
        <f t="shared" si="299"/>
        <v>Actual</v>
      </c>
      <c r="L452" s="1294"/>
      <c r="M452" s="1294"/>
      <c r="N452" s="1258" t="str">
        <f t="shared" si="300"/>
        <v/>
      </c>
      <c r="O452" s="1325"/>
      <c r="P452" s="1265"/>
      <c r="Q452" s="1385" t="str">
        <f t="shared" si="301"/>
        <v>Actual</v>
      </c>
      <c r="R452" s="1387" t="str">
        <f t="shared" si="302"/>
        <v/>
      </c>
      <c r="S452" s="1329" t="str">
        <f t="shared" si="303"/>
        <v/>
      </c>
      <c r="T452" s="1329" t="str">
        <f t="shared" si="304"/>
        <v/>
      </c>
      <c r="U452" s="1329" t="str">
        <f t="shared" si="305"/>
        <v/>
      </c>
      <c r="V452" s="1309"/>
    </row>
    <row r="453" spans="2:22" x14ac:dyDescent="0.2">
      <c r="C453" s="1266" t="s">
        <v>890</v>
      </c>
      <c r="D453" s="1363">
        <f t="shared" si="296"/>
        <v>2014</v>
      </c>
      <c r="E453" s="1265"/>
      <c r="F453" s="1314" t="str">
        <f t="shared" si="298"/>
        <v>Actual</v>
      </c>
      <c r="G453" s="1301"/>
      <c r="H453" s="1297" t="str">
        <f t="shared" si="297"/>
        <v/>
      </c>
      <c r="I453" s="1324"/>
      <c r="J453" s="1265"/>
      <c r="K453" s="1282" t="str">
        <f t="shared" si="299"/>
        <v>Actual</v>
      </c>
      <c r="L453" s="1294"/>
      <c r="M453" s="1294"/>
      <c r="N453" s="1258" t="str">
        <f t="shared" si="300"/>
        <v/>
      </c>
      <c r="O453" s="1324"/>
      <c r="P453" s="1265"/>
      <c r="Q453" s="1385" t="str">
        <f t="shared" si="301"/>
        <v>Actual</v>
      </c>
      <c r="R453" s="1387" t="str">
        <f t="shared" si="302"/>
        <v/>
      </c>
      <c r="S453" s="1329" t="str">
        <f t="shared" si="303"/>
        <v/>
      </c>
      <c r="T453" s="1329" t="str">
        <f t="shared" si="304"/>
        <v/>
      </c>
      <c r="U453" s="1329" t="str">
        <f t="shared" si="305"/>
        <v/>
      </c>
      <c r="V453" s="1309"/>
    </row>
    <row r="454" spans="2:22" x14ac:dyDescent="0.2">
      <c r="C454" s="1266" t="s">
        <v>890</v>
      </c>
      <c r="D454" s="1363">
        <f t="shared" si="296"/>
        <v>2015</v>
      </c>
      <c r="E454" s="1265"/>
      <c r="F454" s="1314" t="str">
        <f t="shared" si="298"/>
        <v>Actual</v>
      </c>
      <c r="G454" s="1301"/>
      <c r="H454" s="1297" t="str">
        <f t="shared" si="297"/>
        <v/>
      </c>
      <c r="I454" s="1324"/>
      <c r="J454" s="1265"/>
      <c r="K454" s="1282" t="str">
        <f t="shared" si="299"/>
        <v>Actual</v>
      </c>
      <c r="L454" s="1294"/>
      <c r="M454" s="1294"/>
      <c r="N454" s="1258" t="str">
        <f t="shared" si="300"/>
        <v/>
      </c>
      <c r="O454" s="1324"/>
      <c r="P454" s="1265"/>
      <c r="Q454" s="1385" t="str">
        <f t="shared" si="301"/>
        <v>Actual</v>
      </c>
      <c r="R454" s="1387" t="str">
        <f t="shared" si="302"/>
        <v/>
      </c>
      <c r="S454" s="1329" t="str">
        <f t="shared" si="303"/>
        <v/>
      </c>
      <c r="T454" s="1329" t="str">
        <f t="shared" si="304"/>
        <v/>
      </c>
      <c r="U454" s="1329" t="str">
        <f t="shared" si="305"/>
        <v/>
      </c>
      <c r="V454" s="1309"/>
    </row>
    <row r="455" spans="2:22" x14ac:dyDescent="0.2">
      <c r="C455" s="1266" t="s">
        <v>313</v>
      </c>
      <c r="D455" s="1363">
        <f t="shared" si="296"/>
        <v>2016</v>
      </c>
      <c r="E455" s="1265"/>
      <c r="F455" s="1314" t="str">
        <f t="shared" si="298"/>
        <v>Forecast</v>
      </c>
      <c r="G455" s="1301"/>
      <c r="H455" s="1297" t="str">
        <f t="shared" si="297"/>
        <v/>
      </c>
      <c r="I455" s="1324"/>
      <c r="J455" s="1265"/>
      <c r="K455" s="1282" t="str">
        <f t="shared" si="299"/>
        <v>Forecast</v>
      </c>
      <c r="L455" s="1303"/>
      <c r="M455" s="1332"/>
      <c r="N455" s="1258" t="str">
        <f t="shared" si="300"/>
        <v/>
      </c>
      <c r="O455" s="1324"/>
      <c r="P455" s="1265"/>
      <c r="Q455" s="1385" t="str">
        <f t="shared" si="301"/>
        <v>Forecast</v>
      </c>
      <c r="R455" s="1387" t="str">
        <f t="shared" si="302"/>
        <v/>
      </c>
      <c r="S455" s="1329" t="str">
        <f t="shared" si="303"/>
        <v/>
      </c>
      <c r="T455" s="1329" t="str">
        <f t="shared" si="304"/>
        <v/>
      </c>
      <c r="U455" s="1329" t="str">
        <f t="shared" si="305"/>
        <v/>
      </c>
      <c r="V455" s="1309"/>
    </row>
    <row r="456" spans="2:22" ht="13.5" thickBot="1" x14ac:dyDescent="0.25">
      <c r="C456" s="1267" t="s">
        <v>314</v>
      </c>
      <c r="D456" s="1364">
        <f>TestYear</f>
        <v>2017</v>
      </c>
      <c r="E456" s="1271"/>
      <c r="F456" s="1315" t="str">
        <f t="shared" si="298"/>
        <v>Forecast</v>
      </c>
      <c r="G456" s="1302"/>
      <c r="H456" s="1298" t="str">
        <f t="shared" si="297"/>
        <v/>
      </c>
      <c r="I456" s="1326"/>
      <c r="J456" s="1271"/>
      <c r="K456" s="1283" t="str">
        <f t="shared" si="299"/>
        <v>Forecast</v>
      </c>
      <c r="L456" s="1304"/>
      <c r="M456" s="1333"/>
      <c r="N456" s="1262" t="str">
        <f t="shared" si="300"/>
        <v/>
      </c>
      <c r="O456" s="1326"/>
      <c r="P456" s="1271"/>
      <c r="Q456" s="1386" t="str">
        <f t="shared" si="301"/>
        <v>Forecast</v>
      </c>
      <c r="R456" s="1388" t="str">
        <f t="shared" si="302"/>
        <v/>
      </c>
      <c r="S456" s="1355" t="str">
        <f t="shared" si="303"/>
        <v/>
      </c>
      <c r="T456" s="1355" t="str">
        <f t="shared" si="304"/>
        <v/>
      </c>
      <c r="U456" s="1355" t="str">
        <f t="shared" si="305"/>
        <v/>
      </c>
      <c r="V456" s="1309"/>
    </row>
    <row r="457" spans="2:22" ht="13.5" thickBot="1" x14ac:dyDescent="0.25">
      <c r="B457" s="1329"/>
      <c r="C457" s="1366"/>
      <c r="I457" s="1408">
        <f>SUM(I450:I455)</f>
        <v>0</v>
      </c>
      <c r="O457" s="1408">
        <f>SUM(O450:O455)</f>
        <v>0</v>
      </c>
      <c r="U457" s="1408">
        <f>SUM(U450:U455)</f>
        <v>0</v>
      </c>
    </row>
    <row r="458" spans="2:22" ht="39" thickBot="1" x14ac:dyDescent="0.25">
      <c r="C458" s="1400" t="s">
        <v>952</v>
      </c>
      <c r="D458" s="1399" t="s">
        <v>15</v>
      </c>
      <c r="E458" s="1361"/>
      <c r="F458" s="1361"/>
      <c r="G458" s="1435" t="s">
        <v>1222</v>
      </c>
      <c r="H458" s="1361"/>
      <c r="I458" s="1394" t="s">
        <v>1235</v>
      </c>
      <c r="J458" s="1396"/>
      <c r="K458" s="1395" t="s">
        <v>15</v>
      </c>
      <c r="L458" s="1874" t="s">
        <v>1222</v>
      </c>
      <c r="M458" s="1874"/>
      <c r="N458" s="1361"/>
      <c r="O458" s="1394" t="str">
        <f>I458</f>
        <v>Test Year Versus Board-approved</v>
      </c>
      <c r="P458" s="1397"/>
      <c r="Q458" s="1395" t="s">
        <v>15</v>
      </c>
      <c r="R458" s="1874" t="s">
        <v>1222</v>
      </c>
      <c r="S458" s="1874"/>
      <c r="T458" s="1361"/>
      <c r="U458" s="1394" t="str">
        <f>O458</f>
        <v>Test Year Versus Board-approved</v>
      </c>
    </row>
    <row r="459" spans="2:22" x14ac:dyDescent="0.2">
      <c r="C459" s="1265"/>
      <c r="D459" s="1377">
        <f t="shared" ref="D459:D465" si="306">D450</f>
        <v>2011</v>
      </c>
      <c r="E459" s="1329"/>
      <c r="F459" s="1329"/>
      <c r="G459" s="1372"/>
      <c r="H459" s="1329"/>
      <c r="I459" s="1378"/>
      <c r="J459" s="1384"/>
      <c r="K459" s="1363">
        <f>D459</f>
        <v>2011</v>
      </c>
      <c r="L459" s="1351"/>
      <c r="M459" s="1351"/>
      <c r="N459" s="1329"/>
      <c r="O459" s="1324"/>
      <c r="P459" s="1265"/>
      <c r="Q459" s="1363">
        <f>K459</f>
        <v>2011</v>
      </c>
      <c r="R459" s="1330"/>
      <c r="S459" s="1330"/>
      <c r="T459" s="1329"/>
      <c r="U459" s="1324"/>
    </row>
    <row r="460" spans="2:22" x14ac:dyDescent="0.2">
      <c r="C460" s="1265"/>
      <c r="D460" s="1365">
        <f t="shared" si="306"/>
        <v>2012</v>
      </c>
      <c r="E460" s="1329"/>
      <c r="F460" s="1329"/>
      <c r="G460" s="1373" t="str">
        <f t="shared" ref="G460:G465" si="307">IF(G450=0,"",G451/G450-1)</f>
        <v/>
      </c>
      <c r="H460" s="1329"/>
      <c r="I460" s="1378"/>
      <c r="J460" s="1384"/>
      <c r="K460" s="1363">
        <f t="shared" ref="K460:K466" si="308">D460</f>
        <v>2012</v>
      </c>
      <c r="L460" s="1353" t="str">
        <f t="shared" ref="L460:M463" si="309">IF(L450=0,"",L451/L450-1)</f>
        <v/>
      </c>
      <c r="M460" s="1353" t="str">
        <f t="shared" si="309"/>
        <v/>
      </c>
      <c r="N460" s="1329"/>
      <c r="O460" s="1324"/>
      <c r="P460" s="1265"/>
      <c r="Q460" s="1363">
        <f t="shared" ref="Q460:Q466" si="310">K460</f>
        <v>2012</v>
      </c>
      <c r="R460" s="1374" t="str">
        <f t="shared" ref="R460:S463" si="311">IF(R450="","",IF(R450=0,"",R451/R450-1))</f>
        <v/>
      </c>
      <c r="S460" s="1374" t="str">
        <f t="shared" si="311"/>
        <v/>
      </c>
      <c r="T460" s="1329"/>
      <c r="U460" s="1324"/>
    </row>
    <row r="461" spans="2:22" x14ac:dyDescent="0.2">
      <c r="C461" s="1265"/>
      <c r="D461" s="1365">
        <f t="shared" si="306"/>
        <v>2013</v>
      </c>
      <c r="E461" s="1329"/>
      <c r="F461" s="1329"/>
      <c r="G461" s="1373" t="str">
        <f t="shared" si="307"/>
        <v/>
      </c>
      <c r="H461" s="1329"/>
      <c r="I461" s="1378"/>
      <c r="J461" s="1384"/>
      <c r="K461" s="1363">
        <f t="shared" si="308"/>
        <v>2013</v>
      </c>
      <c r="L461" s="1353" t="str">
        <f t="shared" si="309"/>
        <v/>
      </c>
      <c r="M461" s="1353" t="str">
        <f t="shared" si="309"/>
        <v/>
      </c>
      <c r="N461" s="1329"/>
      <c r="O461" s="1324"/>
      <c r="P461" s="1265"/>
      <c r="Q461" s="1363">
        <f t="shared" si="310"/>
        <v>2013</v>
      </c>
      <c r="R461" s="1374" t="str">
        <f t="shared" si="311"/>
        <v/>
      </c>
      <c r="S461" s="1374" t="str">
        <f t="shared" si="311"/>
        <v/>
      </c>
      <c r="T461" s="1329"/>
      <c r="U461" s="1324"/>
    </row>
    <row r="462" spans="2:22" x14ac:dyDescent="0.2">
      <c r="C462" s="1265"/>
      <c r="D462" s="1365">
        <f t="shared" si="306"/>
        <v>2014</v>
      </c>
      <c r="E462" s="1329"/>
      <c r="F462" s="1329"/>
      <c r="G462" s="1373" t="str">
        <f t="shared" si="307"/>
        <v/>
      </c>
      <c r="H462" s="1329"/>
      <c r="I462" s="1378"/>
      <c r="J462" s="1384"/>
      <c r="K462" s="1363">
        <f t="shared" si="308"/>
        <v>2014</v>
      </c>
      <c r="L462" s="1353" t="str">
        <f t="shared" si="309"/>
        <v/>
      </c>
      <c r="M462" s="1353" t="str">
        <f t="shared" si="309"/>
        <v/>
      </c>
      <c r="N462" s="1329"/>
      <c r="O462" s="1324"/>
      <c r="P462" s="1265"/>
      <c r="Q462" s="1363">
        <f t="shared" si="310"/>
        <v>2014</v>
      </c>
      <c r="R462" s="1374" t="str">
        <f t="shared" si="311"/>
        <v/>
      </c>
      <c r="S462" s="1374" t="str">
        <f t="shared" si="311"/>
        <v/>
      </c>
      <c r="T462" s="1329"/>
      <c r="U462" s="1324"/>
    </row>
    <row r="463" spans="2:22" x14ac:dyDescent="0.2">
      <c r="C463" s="1265"/>
      <c r="D463" s="1365">
        <f t="shared" si="306"/>
        <v>2015</v>
      </c>
      <c r="E463" s="1329"/>
      <c r="F463" s="1329"/>
      <c r="G463" s="1373" t="str">
        <f t="shared" si="307"/>
        <v/>
      </c>
      <c r="H463" s="1329"/>
      <c r="I463" s="1378"/>
      <c r="J463" s="1384"/>
      <c r="K463" s="1363">
        <f t="shared" si="308"/>
        <v>2015</v>
      </c>
      <c r="L463" s="1353" t="str">
        <f t="shared" si="309"/>
        <v/>
      </c>
      <c r="M463" s="1353" t="str">
        <f t="shared" si="309"/>
        <v/>
      </c>
      <c r="N463" s="1329"/>
      <c r="O463" s="1324"/>
      <c r="P463" s="1265"/>
      <c r="Q463" s="1363">
        <f t="shared" si="310"/>
        <v>2015</v>
      </c>
      <c r="R463" s="1374" t="str">
        <f t="shared" si="311"/>
        <v/>
      </c>
      <c r="S463" s="1374" t="str">
        <f t="shared" si="311"/>
        <v/>
      </c>
      <c r="T463" s="1329"/>
      <c r="U463" s="1324"/>
    </row>
    <row r="464" spans="2:22" x14ac:dyDescent="0.2">
      <c r="C464" s="1265"/>
      <c r="D464" s="1365">
        <f t="shared" si="306"/>
        <v>2016</v>
      </c>
      <c r="E464" s="1329"/>
      <c r="F464" s="1329"/>
      <c r="G464" s="1373" t="str">
        <f t="shared" si="307"/>
        <v/>
      </c>
      <c r="H464" s="1329"/>
      <c r="I464" s="1378"/>
      <c r="J464" s="1384"/>
      <c r="K464" s="1363">
        <f t="shared" si="308"/>
        <v>2016</v>
      </c>
      <c r="L464" s="1353" t="str">
        <f>IF(K455="Forecast","",IF(L454=0,"",L455/L454-1))</f>
        <v/>
      </c>
      <c r="M464" s="1353" t="str">
        <f>IF(M454=0,"",M455/M454-1)</f>
        <v/>
      </c>
      <c r="N464" s="1329"/>
      <c r="O464" s="1324"/>
      <c r="P464" s="1265"/>
      <c r="Q464" s="1363">
        <f t="shared" si="310"/>
        <v>2016</v>
      </c>
      <c r="R464" s="1374" t="str">
        <f>IF(Q455="Forecast","",IF(R454=0,"",R455/R454-1))</f>
        <v/>
      </c>
      <c r="S464" s="1374" t="str">
        <f>IF(S454="","",IF(S454=0,"",S455/S454-1))</f>
        <v/>
      </c>
      <c r="T464" s="1329"/>
      <c r="U464" s="1324"/>
    </row>
    <row r="465" spans="3:21" x14ac:dyDescent="0.2">
      <c r="C465" s="1265"/>
      <c r="D465" s="1365">
        <f t="shared" si="306"/>
        <v>2017</v>
      </c>
      <c r="E465" s="1329"/>
      <c r="F465" s="1329"/>
      <c r="G465" s="1373" t="str">
        <f t="shared" si="307"/>
        <v/>
      </c>
      <c r="H465" s="1329"/>
      <c r="I465" s="1379" t="str">
        <f>IF(I457=0,"",G456/I457-1)</f>
        <v/>
      </c>
      <c r="J465" s="1384"/>
      <c r="K465" s="1363">
        <f t="shared" si="308"/>
        <v>2017</v>
      </c>
      <c r="L465" s="1353" t="str">
        <f>IF(K456="Forecast","",IF(L455=0,"",L456/L455-1))</f>
        <v/>
      </c>
      <c r="M465" s="1353" t="str">
        <f>IF(M455=0,"",M456/M455-1)</f>
        <v/>
      </c>
      <c r="N465" s="1329"/>
      <c r="O465" s="1354" t="str">
        <f>IF(O457=0,"",M456/O457-1)</f>
        <v/>
      </c>
      <c r="P465" s="1265"/>
      <c r="Q465" s="1363">
        <f t="shared" si="310"/>
        <v>2017</v>
      </c>
      <c r="R465" s="1374" t="str">
        <f>IF(Q456="Forecast","",IF(R455=0,"",R456/R455-1))</f>
        <v/>
      </c>
      <c r="S465" s="1374" t="str">
        <f>IF(S455="","",IF(S455=0,"",S456/S455-1))</f>
        <v/>
      </c>
      <c r="T465" s="1329"/>
      <c r="U465" s="1354" t="str">
        <f>IF(U457=0,"",S456/U457-1)</f>
        <v/>
      </c>
    </row>
    <row r="466" spans="3:21" ht="26.25" thickBot="1" x14ac:dyDescent="0.25">
      <c r="C466" s="1271"/>
      <c r="D466" s="1405" t="s">
        <v>1221</v>
      </c>
      <c r="E466" s="1355"/>
      <c r="F466" s="1355"/>
      <c r="G466" s="1375" t="str">
        <f>IF(G450=0,"",(G456/G450)^(1/($D456-$D450-1))-1)</f>
        <v/>
      </c>
      <c r="H466" s="1355"/>
      <c r="I466" s="1406" t="str">
        <f>IF(I457=0,"",(G456/I457)^(1/(TestYear-RebaseYear-1))-1)</f>
        <v/>
      </c>
      <c r="J466" s="1360"/>
      <c r="K466" s="1404" t="str">
        <f t="shared" si="308"/>
        <v>Geometric Mean</v>
      </c>
      <c r="L466" s="1358" t="str">
        <f>IF(L450=0,"",(L454/L450)^(1/($D454-$D450-1))-1)</f>
        <v/>
      </c>
      <c r="M466" s="1358" t="str">
        <f>IF(M450=0,"",(M456/M450)^(1/($D456-$D450-1))-1)</f>
        <v/>
      </c>
      <c r="N466" s="1355"/>
      <c r="O466" s="1371" t="str">
        <f>IF(O457=0,"",(M456/O457)^(1/(TestYear-RebaseYear-1))-1)</f>
        <v/>
      </c>
      <c r="P466" s="1271"/>
      <c r="Q466" s="1404" t="str">
        <f t="shared" si="310"/>
        <v>Geometric Mean</v>
      </c>
      <c r="R466" s="1376" t="str">
        <f>IF(R450="","",IF(R450=0,"",(R454/R450)^(1/($D454-$D450-1))-1))</f>
        <v/>
      </c>
      <c r="S466" s="1358" t="str">
        <f>IF(S450="","",IF(S450=0,"",(S456/S450)^(1/($D456-$D450-1))-1))</f>
        <v/>
      </c>
      <c r="T466" s="1355"/>
      <c r="U466" s="1371" t="str">
        <f>IF(U457=0,"",(S456/U457)^(1/(TestYear-RebaseYear-1))-1)</f>
        <v/>
      </c>
    </row>
    <row r="468" spans="3:21" ht="13.5" thickBot="1" x14ac:dyDescent="0.25">
      <c r="Q468" s="1355"/>
      <c r="R468" s="1355"/>
      <c r="S468" s="1355"/>
      <c r="T468" s="1355"/>
      <c r="U468" s="1355"/>
    </row>
    <row r="469" spans="3:21" x14ac:dyDescent="0.2">
      <c r="C469" s="1264"/>
      <c r="D469" s="1268" t="s">
        <v>1205</v>
      </c>
      <c r="E469" s="1268"/>
      <c r="F469" s="1876" t="s">
        <v>1198</v>
      </c>
      <c r="G469" s="1877"/>
      <c r="H469" s="1877"/>
      <c r="I469" s="1878"/>
      <c r="K469" s="1859" t="str">
        <f>IF(ISBLANK(N446),"",CONCATENATE("Demand (",N446,")"))</f>
        <v/>
      </c>
      <c r="L469" s="1860"/>
      <c r="M469" s="1860"/>
      <c r="N469" s="1860"/>
      <c r="O469" s="1861"/>
      <c r="Q469" s="1869" t="str">
        <f>CONCATENATE("Demand (",N446,") per ",LEFT(F448,LEN(F448)-1))</f>
        <v>Demand () per Customer</v>
      </c>
      <c r="R469" s="1879"/>
      <c r="S469" s="1879"/>
      <c r="T469" s="1879"/>
      <c r="U469" s="1870"/>
    </row>
    <row r="470" spans="3:21" ht="39" thickBot="1" x14ac:dyDescent="0.25">
      <c r="C470" s="1271"/>
      <c r="D470" s="1277" t="str">
        <f>CONCATENATE("(for ",TestYear," Cost of Service")</f>
        <v>(for 2017 Cost of Service</v>
      </c>
      <c r="E470" s="1266"/>
      <c r="F470" s="1872"/>
      <c r="G470" s="1873"/>
      <c r="H470" s="1873"/>
      <c r="I470" s="1296"/>
      <c r="K470" s="1284"/>
      <c r="L470" s="1433" t="s">
        <v>1226</v>
      </c>
      <c r="M470" s="1433" t="s">
        <v>1210</v>
      </c>
      <c r="N470" s="1305"/>
      <c r="O470" s="1306" t="str">
        <f>M470</f>
        <v>Weather-normalized</v>
      </c>
      <c r="Q470" s="1403"/>
      <c r="R470" s="1433" t="str">
        <f>L470</f>
        <v>Actual (Weather actual)</v>
      </c>
      <c r="S470" s="1433" t="str">
        <f>M470</f>
        <v>Weather-normalized</v>
      </c>
      <c r="T470" s="1433"/>
      <c r="U470" s="1434" t="str">
        <f>O470</f>
        <v>Weather-normalized</v>
      </c>
    </row>
    <row r="471" spans="3:21" x14ac:dyDescent="0.2">
      <c r="C471" s="1266" t="s">
        <v>890</v>
      </c>
      <c r="D471" s="1363">
        <f t="shared" ref="D471:D476" si="312">D472-1</f>
        <v>2011</v>
      </c>
      <c r="E471" s="1265"/>
      <c r="F471" s="1313" t="str">
        <f t="shared" ref="F471:F477" si="313">F450</f>
        <v>Actual</v>
      </c>
      <c r="G471" s="1311"/>
      <c r="H471" s="2" t="str">
        <f t="shared" ref="H471:H477" si="314">IF(D471=RebaseYear,"Board-approved","")</f>
        <v/>
      </c>
      <c r="I471" s="1383"/>
      <c r="K471" s="1282" t="str">
        <f t="shared" ref="K471:K477" si="315">K450</f>
        <v>Actual</v>
      </c>
      <c r="L471" s="1294"/>
      <c r="M471" s="1294"/>
      <c r="N471" s="1258" t="str">
        <f t="shared" ref="N471:N477" si="316">N450</f>
        <v/>
      </c>
      <c r="O471" s="1324"/>
      <c r="Q471" s="1385" t="str">
        <f>K471</f>
        <v>Actual</v>
      </c>
      <c r="R471" s="1329" t="str">
        <f>IF(G471=0,"",L471/G471)</f>
        <v/>
      </c>
      <c r="S471" s="1309" t="str">
        <f>IF(G471=0,"",M471/G471)</f>
        <v/>
      </c>
      <c r="T471" s="1309" t="str">
        <f>N471</f>
        <v/>
      </c>
      <c r="U471" s="1265" t="str">
        <f>IF(T471="","",IF(I471=0,"",O471/I471))</f>
        <v/>
      </c>
    </row>
    <row r="472" spans="3:21" x14ac:dyDescent="0.2">
      <c r="C472" s="1266" t="s">
        <v>890</v>
      </c>
      <c r="D472" s="1363">
        <f t="shared" si="312"/>
        <v>2012</v>
      </c>
      <c r="E472" s="1265"/>
      <c r="F472" s="1314" t="str">
        <f t="shared" si="313"/>
        <v>Actual</v>
      </c>
      <c r="G472" s="1311"/>
      <c r="H472" s="2" t="str">
        <f t="shared" si="314"/>
        <v>Board-approved</v>
      </c>
      <c r="I472" s="1324"/>
      <c r="K472" s="1282" t="str">
        <f t="shared" si="315"/>
        <v>Actual</v>
      </c>
      <c r="L472" s="1294"/>
      <c r="M472" s="1294"/>
      <c r="N472" s="1258" t="str">
        <f t="shared" si="316"/>
        <v>Board-approved</v>
      </c>
      <c r="O472" s="1324"/>
      <c r="Q472" s="1385" t="str">
        <f t="shared" ref="Q472:Q477" si="317">K472</f>
        <v>Actual</v>
      </c>
      <c r="R472" s="1329" t="str">
        <f t="shared" ref="R472:R477" si="318">IF(G472=0,"",L472/G472)</f>
        <v/>
      </c>
      <c r="S472" s="1309" t="str">
        <f t="shared" ref="S472:S477" si="319">IF(G472=0,"",M472/G472)</f>
        <v/>
      </c>
      <c r="T472" s="1309" t="str">
        <f t="shared" ref="T472:T477" si="320">N472</f>
        <v>Board-approved</v>
      </c>
      <c r="U472" s="1265" t="str">
        <f t="shared" ref="U472:U477" si="321">IF(T472="","",IF(I472=0,"",O472/I472))</f>
        <v/>
      </c>
    </row>
    <row r="473" spans="3:21" x14ac:dyDescent="0.2">
      <c r="C473" s="1266" t="s">
        <v>890</v>
      </c>
      <c r="D473" s="1363">
        <f t="shared" si="312"/>
        <v>2013</v>
      </c>
      <c r="E473" s="1265"/>
      <c r="F473" s="1314" t="str">
        <f t="shared" si="313"/>
        <v>Actual</v>
      </c>
      <c r="G473" s="1311"/>
      <c r="H473" s="2" t="str">
        <f t="shared" si="314"/>
        <v/>
      </c>
      <c r="I473" s="1328"/>
      <c r="K473" s="1282" t="str">
        <f t="shared" si="315"/>
        <v>Actual</v>
      </c>
      <c r="L473" s="1294"/>
      <c r="M473" s="1294"/>
      <c r="N473" s="1258" t="str">
        <f t="shared" si="316"/>
        <v/>
      </c>
      <c r="O473" s="1325"/>
      <c r="Q473" s="1385" t="str">
        <f t="shared" si="317"/>
        <v>Actual</v>
      </c>
      <c r="R473" s="1329" t="str">
        <f t="shared" si="318"/>
        <v/>
      </c>
      <c r="S473" s="1309" t="str">
        <f t="shared" si="319"/>
        <v/>
      </c>
      <c r="T473" s="1309" t="str">
        <f t="shared" si="320"/>
        <v/>
      </c>
      <c r="U473" s="1265" t="str">
        <f t="shared" si="321"/>
        <v/>
      </c>
    </row>
    <row r="474" spans="3:21" x14ac:dyDescent="0.2">
      <c r="C474" s="1266" t="s">
        <v>890</v>
      </c>
      <c r="D474" s="1363">
        <f t="shared" si="312"/>
        <v>2014</v>
      </c>
      <c r="E474" s="1265"/>
      <c r="F474" s="1314" t="str">
        <f t="shared" si="313"/>
        <v>Actual</v>
      </c>
      <c r="G474" s="1311"/>
      <c r="H474" s="2" t="str">
        <f t="shared" si="314"/>
        <v/>
      </c>
      <c r="I474" s="1324"/>
      <c r="K474" s="1282" t="str">
        <f t="shared" si="315"/>
        <v>Actual</v>
      </c>
      <c r="L474" s="1294"/>
      <c r="M474" s="1294"/>
      <c r="N474" s="1258" t="str">
        <f t="shared" si="316"/>
        <v/>
      </c>
      <c r="O474" s="1324"/>
      <c r="Q474" s="1385" t="str">
        <f t="shared" si="317"/>
        <v>Actual</v>
      </c>
      <c r="R474" s="1329" t="str">
        <f t="shared" si="318"/>
        <v/>
      </c>
      <c r="S474" s="1309" t="str">
        <f t="shared" si="319"/>
        <v/>
      </c>
      <c r="T474" s="1309" t="str">
        <f t="shared" si="320"/>
        <v/>
      </c>
      <c r="U474" s="1265" t="str">
        <f t="shared" si="321"/>
        <v/>
      </c>
    </row>
    <row r="475" spans="3:21" x14ac:dyDescent="0.2">
      <c r="C475" s="1266" t="s">
        <v>890</v>
      </c>
      <c r="D475" s="1363">
        <f t="shared" si="312"/>
        <v>2015</v>
      </c>
      <c r="E475" s="1265"/>
      <c r="F475" s="1314" t="str">
        <f t="shared" si="313"/>
        <v>Actual</v>
      </c>
      <c r="G475" s="1311"/>
      <c r="H475" s="2" t="str">
        <f t="shared" si="314"/>
        <v/>
      </c>
      <c r="I475" s="1324"/>
      <c r="K475" s="1282" t="str">
        <f t="shared" si="315"/>
        <v>Actual</v>
      </c>
      <c r="L475" s="1294"/>
      <c r="M475" s="1294"/>
      <c r="N475" s="1258" t="str">
        <f t="shared" si="316"/>
        <v/>
      </c>
      <c r="O475" s="1324"/>
      <c r="Q475" s="1385" t="str">
        <f t="shared" si="317"/>
        <v>Actual</v>
      </c>
      <c r="R475" s="1329" t="str">
        <f t="shared" si="318"/>
        <v/>
      </c>
      <c r="S475" s="1309" t="str">
        <f t="shared" si="319"/>
        <v/>
      </c>
      <c r="T475" s="1309" t="str">
        <f t="shared" si="320"/>
        <v/>
      </c>
      <c r="U475" s="1265" t="str">
        <f t="shared" si="321"/>
        <v/>
      </c>
    </row>
    <row r="476" spans="3:21" x14ac:dyDescent="0.2">
      <c r="C476" s="1266" t="s">
        <v>1203</v>
      </c>
      <c r="D476" s="1363">
        <f t="shared" si="312"/>
        <v>2016</v>
      </c>
      <c r="E476" s="1265"/>
      <c r="F476" s="1314" t="str">
        <f t="shared" si="313"/>
        <v>Forecast</v>
      </c>
      <c r="G476" s="1311"/>
      <c r="H476" s="2" t="str">
        <f t="shared" si="314"/>
        <v/>
      </c>
      <c r="I476" s="1324"/>
      <c r="K476" s="1282" t="str">
        <f t="shared" si="315"/>
        <v>Forecast</v>
      </c>
      <c r="L476" s="1303"/>
      <c r="M476" s="1334"/>
      <c r="N476" s="1258" t="str">
        <f t="shared" si="316"/>
        <v/>
      </c>
      <c r="O476" s="1324"/>
      <c r="Q476" s="1385" t="str">
        <f t="shared" si="317"/>
        <v>Forecast</v>
      </c>
      <c r="R476" s="1329" t="str">
        <f t="shared" si="318"/>
        <v/>
      </c>
      <c r="S476" s="1309" t="str">
        <f t="shared" si="319"/>
        <v/>
      </c>
      <c r="T476" s="1309" t="str">
        <f t="shared" si="320"/>
        <v/>
      </c>
      <c r="U476" s="1265" t="str">
        <f t="shared" si="321"/>
        <v/>
      </c>
    </row>
    <row r="477" spans="3:21" ht="13.5" thickBot="1" x14ac:dyDescent="0.25">
      <c r="C477" s="1267" t="s">
        <v>1204</v>
      </c>
      <c r="D477" s="1364">
        <f>TestYear</f>
        <v>2017</v>
      </c>
      <c r="E477" s="1271"/>
      <c r="F477" s="1315" t="str">
        <f t="shared" si="313"/>
        <v>Forecast</v>
      </c>
      <c r="G477" s="1312"/>
      <c r="H477" s="1307" t="str">
        <f t="shared" si="314"/>
        <v/>
      </c>
      <c r="I477" s="1326"/>
      <c r="K477" s="1283" t="str">
        <f t="shared" si="315"/>
        <v>Forecast</v>
      </c>
      <c r="L477" s="1304"/>
      <c r="M477" s="1335"/>
      <c r="N477" s="1262" t="str">
        <f t="shared" si="316"/>
        <v/>
      </c>
      <c r="O477" s="1326"/>
      <c r="Q477" s="1319" t="str">
        <f t="shared" si="317"/>
        <v>Forecast</v>
      </c>
      <c r="R477" s="1310" t="str">
        <f t="shared" si="318"/>
        <v/>
      </c>
      <c r="S477" s="1310" t="str">
        <f t="shared" si="319"/>
        <v/>
      </c>
      <c r="T477" s="1310" t="str">
        <f t="shared" si="320"/>
        <v/>
      </c>
      <c r="U477" s="1271" t="str">
        <f t="shared" si="321"/>
        <v/>
      </c>
    </row>
    <row r="478" spans="3:21" ht="13.5" thickBot="1" x14ac:dyDescent="0.25">
      <c r="C478" s="1366"/>
      <c r="I478" s="1408">
        <f>SUM(I471:I476)</f>
        <v>0</v>
      </c>
      <c r="J478" s="1329"/>
      <c r="O478" s="1408">
        <f>SUM(O471:O476)</f>
        <v>0</v>
      </c>
      <c r="U478" s="1408">
        <f>SUM(U471:U476)</f>
        <v>0</v>
      </c>
    </row>
    <row r="479" spans="3:21" ht="39" thickBot="1" x14ac:dyDescent="0.25">
      <c r="C479" s="1400" t="s">
        <v>952</v>
      </c>
      <c r="D479" s="1399" t="s">
        <v>15</v>
      </c>
      <c r="E479" s="1435"/>
      <c r="F479" s="1435"/>
      <c r="G479" s="1435" t="s">
        <v>1222</v>
      </c>
      <c r="H479" s="1435"/>
      <c r="I479" s="1394" t="str">
        <f>I458</f>
        <v>Test Year Versus Board-approved</v>
      </c>
      <c r="J479" s="1407"/>
      <c r="K479" s="1395" t="s">
        <v>15</v>
      </c>
      <c r="L479" s="1874" t="s">
        <v>1222</v>
      </c>
      <c r="M479" s="1874"/>
      <c r="N479" s="1435"/>
      <c r="O479" s="1394" t="str">
        <f>I479</f>
        <v>Test Year Versus Board-approved</v>
      </c>
      <c r="P479" s="1380"/>
      <c r="Q479" s="1395" t="s">
        <v>15</v>
      </c>
      <c r="R479" s="1874" t="s">
        <v>1222</v>
      </c>
      <c r="S479" s="1874"/>
      <c r="T479" s="1435"/>
      <c r="U479" s="1394" t="str">
        <f>O479</f>
        <v>Test Year Versus Board-approved</v>
      </c>
    </row>
    <row r="480" spans="3:21" x14ac:dyDescent="0.2">
      <c r="C480" s="1265"/>
      <c r="D480" s="1402">
        <f t="shared" ref="D480:D486" si="322">D471</f>
        <v>2011</v>
      </c>
      <c r="E480" s="1345"/>
      <c r="F480" s="1329"/>
      <c r="G480" s="1372"/>
      <c r="H480" s="1329"/>
      <c r="I480" s="1378"/>
      <c r="J480" s="1265"/>
      <c r="K480" s="1363">
        <f>D480</f>
        <v>2011</v>
      </c>
      <c r="L480" s="1351"/>
      <c r="M480" s="1351"/>
      <c r="N480" s="1329"/>
      <c r="O480" s="1381"/>
      <c r="P480" s="1265"/>
      <c r="Q480" s="1363">
        <f>K480</f>
        <v>2011</v>
      </c>
      <c r="R480" s="1330"/>
      <c r="S480" s="1330"/>
      <c r="T480" s="1329"/>
      <c r="U480" s="1324"/>
    </row>
    <row r="481" spans="2:21" x14ac:dyDescent="0.2">
      <c r="C481" s="1265"/>
      <c r="D481" s="1365">
        <f t="shared" si="322"/>
        <v>2012</v>
      </c>
      <c r="E481" s="1329"/>
      <c r="F481" s="1329"/>
      <c r="G481" s="1373" t="str">
        <f t="shared" ref="G481:G486" si="323">IF(G471=0,"",G472/G471-1)</f>
        <v/>
      </c>
      <c r="H481" s="1329"/>
      <c r="I481" s="1378"/>
      <c r="J481" s="1265"/>
      <c r="K481" s="1363">
        <f t="shared" ref="K481:K487" si="324">D481</f>
        <v>2012</v>
      </c>
      <c r="L481" s="1353" t="str">
        <f t="shared" ref="L481:M484" si="325">IF(L471=0,"",L472/L471-1)</f>
        <v/>
      </c>
      <c r="M481" s="1353" t="str">
        <f t="shared" si="325"/>
        <v/>
      </c>
      <c r="N481" s="1329"/>
      <c r="O481" s="1381"/>
      <c r="P481" s="1265"/>
      <c r="Q481" s="1363">
        <f t="shared" ref="Q481:Q487" si="326">K481</f>
        <v>2012</v>
      </c>
      <c r="R481" s="1374" t="str">
        <f t="shared" ref="R481:S484" si="327">IF(R471="","",IF(R471=0,"",R472/R471-1))</f>
        <v/>
      </c>
      <c r="S481" s="1374" t="str">
        <f t="shared" si="327"/>
        <v/>
      </c>
      <c r="T481" s="1329"/>
      <c r="U481" s="1324"/>
    </row>
    <row r="482" spans="2:21" x14ac:dyDescent="0.2">
      <c r="C482" s="1265"/>
      <c r="D482" s="1401">
        <f t="shared" si="322"/>
        <v>2013</v>
      </c>
      <c r="E482" s="1329"/>
      <c r="F482" s="1329"/>
      <c r="G482" s="1373" t="str">
        <f t="shared" si="323"/>
        <v/>
      </c>
      <c r="H482" s="1329"/>
      <c r="I482" s="1378"/>
      <c r="J482" s="1265"/>
      <c r="K482" s="1363">
        <f t="shared" si="324"/>
        <v>2013</v>
      </c>
      <c r="L482" s="1353" t="str">
        <f t="shared" si="325"/>
        <v/>
      </c>
      <c r="M482" s="1353" t="str">
        <f t="shared" si="325"/>
        <v/>
      </c>
      <c r="N482" s="1329"/>
      <c r="O482" s="1381"/>
      <c r="P482" s="1265"/>
      <c r="Q482" s="1363">
        <f t="shared" si="326"/>
        <v>2013</v>
      </c>
      <c r="R482" s="1374" t="str">
        <f t="shared" si="327"/>
        <v/>
      </c>
      <c r="S482" s="1374" t="str">
        <f t="shared" si="327"/>
        <v/>
      </c>
      <c r="T482" s="1329"/>
      <c r="U482" s="1324"/>
    </row>
    <row r="483" spans="2:21" x14ac:dyDescent="0.2">
      <c r="C483" s="1265"/>
      <c r="D483" s="1365">
        <f t="shared" si="322"/>
        <v>2014</v>
      </c>
      <c r="E483" s="1329"/>
      <c r="F483" s="1329"/>
      <c r="G483" s="1373" t="str">
        <f t="shared" si="323"/>
        <v/>
      </c>
      <c r="H483" s="1329"/>
      <c r="I483" s="1378"/>
      <c r="J483" s="1265"/>
      <c r="K483" s="1363">
        <f t="shared" si="324"/>
        <v>2014</v>
      </c>
      <c r="L483" s="1353" t="str">
        <f t="shared" si="325"/>
        <v/>
      </c>
      <c r="M483" s="1353" t="str">
        <f t="shared" si="325"/>
        <v/>
      </c>
      <c r="N483" s="1329"/>
      <c r="O483" s="1381"/>
      <c r="P483" s="1265"/>
      <c r="Q483" s="1363">
        <f t="shared" si="326"/>
        <v>2014</v>
      </c>
      <c r="R483" s="1374" t="str">
        <f t="shared" si="327"/>
        <v/>
      </c>
      <c r="S483" s="1374" t="str">
        <f t="shared" si="327"/>
        <v/>
      </c>
      <c r="T483" s="1329"/>
      <c r="U483" s="1324"/>
    </row>
    <row r="484" spans="2:21" x14ac:dyDescent="0.2">
      <c r="C484" s="1265"/>
      <c r="D484" s="1365">
        <f t="shared" si="322"/>
        <v>2015</v>
      </c>
      <c r="E484" s="1329"/>
      <c r="F484" s="1329"/>
      <c r="G484" s="1373" t="str">
        <f t="shared" si="323"/>
        <v/>
      </c>
      <c r="H484" s="1329"/>
      <c r="I484" s="1378"/>
      <c r="J484" s="1265"/>
      <c r="K484" s="1363">
        <f t="shared" si="324"/>
        <v>2015</v>
      </c>
      <c r="L484" s="1353" t="str">
        <f t="shared" si="325"/>
        <v/>
      </c>
      <c r="M484" s="1353" t="str">
        <f t="shared" si="325"/>
        <v/>
      </c>
      <c r="N484" s="1329"/>
      <c r="O484" s="1381"/>
      <c r="P484" s="1265"/>
      <c r="Q484" s="1363">
        <f t="shared" si="326"/>
        <v>2015</v>
      </c>
      <c r="R484" s="1374" t="str">
        <f t="shared" si="327"/>
        <v/>
      </c>
      <c r="S484" s="1374" t="str">
        <f t="shared" si="327"/>
        <v/>
      </c>
      <c r="T484" s="1329"/>
      <c r="U484" s="1324"/>
    </row>
    <row r="485" spans="2:21" x14ac:dyDescent="0.2">
      <c r="C485" s="1265"/>
      <c r="D485" s="1365">
        <f t="shared" si="322"/>
        <v>2016</v>
      </c>
      <c r="E485" s="1329"/>
      <c r="F485" s="1329"/>
      <c r="G485" s="1373" t="str">
        <f t="shared" si="323"/>
        <v/>
      </c>
      <c r="H485" s="1329"/>
      <c r="I485" s="1378"/>
      <c r="J485" s="1265"/>
      <c r="K485" s="1363">
        <f t="shared" si="324"/>
        <v>2016</v>
      </c>
      <c r="L485" s="1353" t="str">
        <f>IF(K476="Forecast","",IF(L475=0,"",L476/L475-1))</f>
        <v/>
      </c>
      <c r="M485" s="1353" t="str">
        <f>IF(M475=0,"",M476/M475-1)</f>
        <v/>
      </c>
      <c r="N485" s="1329"/>
      <c r="O485" s="1381"/>
      <c r="P485" s="1265"/>
      <c r="Q485" s="1363">
        <f t="shared" si="326"/>
        <v>2016</v>
      </c>
      <c r="R485" s="1374" t="str">
        <f>IF(Q476="Forecast","",IF(R475=0,"",R476/R475-1))</f>
        <v/>
      </c>
      <c r="S485" s="1374" t="str">
        <f>IF(S475="","",IF(S475=0,"",S476/S475-1))</f>
        <v/>
      </c>
      <c r="T485" s="1329"/>
      <c r="U485" s="1324"/>
    </row>
    <row r="486" spans="2:21" x14ac:dyDescent="0.2">
      <c r="C486" s="1265"/>
      <c r="D486" s="1401">
        <f t="shared" si="322"/>
        <v>2017</v>
      </c>
      <c r="E486" s="1329"/>
      <c r="F486" s="1329"/>
      <c r="G486" s="1373" t="str">
        <f t="shared" si="323"/>
        <v/>
      </c>
      <c r="H486" s="1329"/>
      <c r="I486" s="1379" t="str">
        <f>IF(I478=0,"",G477/I478-1)</f>
        <v/>
      </c>
      <c r="J486" s="1265"/>
      <c r="K486" s="1363">
        <f t="shared" si="324"/>
        <v>2017</v>
      </c>
      <c r="L486" s="1353" t="str">
        <f>IF(K477="Forecast","",IF(L476=0,"",L477/L476-1))</f>
        <v/>
      </c>
      <c r="M486" s="1353" t="str">
        <f>IF(M476=0,"",M477/M476-1)</f>
        <v/>
      </c>
      <c r="N486" s="1329"/>
      <c r="O486" s="1382" t="str">
        <f>IF(O478=0,"",M477/O478-1)</f>
        <v/>
      </c>
      <c r="P486" s="1265"/>
      <c r="Q486" s="1363">
        <f t="shared" si="326"/>
        <v>2017</v>
      </c>
      <c r="R486" s="1374" t="str">
        <f>IF(Q477="Forecast","",IF(R476=0,"",R477/R476-1))</f>
        <v/>
      </c>
      <c r="S486" s="1374" t="str">
        <f>IF(S476="","",IF(S476=0,"",S477/S476-1))</f>
        <v/>
      </c>
      <c r="T486" s="1329"/>
      <c r="U486" s="1354" t="str">
        <f>IF(U478=0,"",S477/U478-1)</f>
        <v/>
      </c>
    </row>
    <row r="487" spans="2:21" ht="26.25" thickBot="1" x14ac:dyDescent="0.25">
      <c r="C487" s="1271"/>
      <c r="D487" s="1405" t="s">
        <v>1221</v>
      </c>
      <c r="E487" s="1355"/>
      <c r="F487" s="1355"/>
      <c r="G487" s="1375" t="str">
        <f>IF(G471=0,"",(G477/G471)^(1/($D477-$D471-1))-1)</f>
        <v/>
      </c>
      <c r="H487" s="1355"/>
      <c r="I487" s="1371" t="str">
        <f>IF(I478=0,"",(G477/I478)^(1/(TestYear-RebaseYear-1))-1)</f>
        <v/>
      </c>
      <c r="J487" s="1265"/>
      <c r="K487" s="1404" t="str">
        <f t="shared" si="324"/>
        <v>Geometric Mean</v>
      </c>
      <c r="L487" s="1358" t="str">
        <f>IF(L471=0,"",(L475/L471)^(1/($D475-$D471-1))-1)</f>
        <v/>
      </c>
      <c r="M487" s="1358" t="str">
        <f>IF(M471=0,"",(M477/M471)^(1/($D477-$D471-1))-1)</f>
        <v/>
      </c>
      <c r="N487" s="1355"/>
      <c r="O487" s="1371" t="str">
        <f>IF(O478=0,"",(M477/O478)^(1/(TestYear-RebaseYear-1))-1)</f>
        <v/>
      </c>
      <c r="P487" s="1271"/>
      <c r="Q487" s="1404" t="str">
        <f t="shared" si="326"/>
        <v>Geometric Mean</v>
      </c>
      <c r="R487" s="1376" t="str">
        <f>IF(R471="","",IF(R471=0,"",(R475/R471)^(1/($D475-$D471-1))-1))</f>
        <v/>
      </c>
      <c r="S487" s="1358" t="str">
        <f>IF(S471="","",IF(S471=0,"",(S477/S471)^(1/($D477-$D471-1))-1))</f>
        <v/>
      </c>
      <c r="T487" s="1355"/>
      <c r="U487" s="1371" t="str">
        <f>IF(U478=0,"",(S477/U478)^(1/(TestYear-RebaseYear-1))-1)</f>
        <v/>
      </c>
    </row>
    <row r="489" spans="2:21" x14ac:dyDescent="0.2">
      <c r="B489" s="13" t="s">
        <v>1293</v>
      </c>
    </row>
  </sheetData>
  <mergeCells count="141">
    <mergeCell ref="F212:H212"/>
    <mergeCell ref="L221:M221"/>
    <mergeCell ref="R221:S221"/>
    <mergeCell ref="F191:H191"/>
    <mergeCell ref="L200:M200"/>
    <mergeCell ref="R200:S200"/>
    <mergeCell ref="F211:I211"/>
    <mergeCell ref="K211:O211"/>
    <mergeCell ref="Q211:U211"/>
    <mergeCell ref="F168:I168"/>
    <mergeCell ref="K168:O168"/>
    <mergeCell ref="Q168:U168"/>
    <mergeCell ref="F169:H169"/>
    <mergeCell ref="L178:M178"/>
    <mergeCell ref="R178:S178"/>
    <mergeCell ref="D188:F188"/>
    <mergeCell ref="F190:I190"/>
    <mergeCell ref="K190:O190"/>
    <mergeCell ref="Q190:U190"/>
    <mergeCell ref="L135:M135"/>
    <mergeCell ref="R135:S135"/>
    <mergeCell ref="D145:F145"/>
    <mergeCell ref="F147:I147"/>
    <mergeCell ref="K147:O147"/>
    <mergeCell ref="Q147:U147"/>
    <mergeCell ref="F148:H148"/>
    <mergeCell ref="L157:M157"/>
    <mergeCell ref="R157:S157"/>
    <mergeCell ref="L92:M92"/>
    <mergeCell ref="F82:I82"/>
    <mergeCell ref="F83:H83"/>
    <mergeCell ref="R71:S71"/>
    <mergeCell ref="Q82:U82"/>
    <mergeCell ref="R92:S92"/>
    <mergeCell ref="F126:H126"/>
    <mergeCell ref="L47:M47"/>
    <mergeCell ref="D102:F102"/>
    <mergeCell ref="F104:I104"/>
    <mergeCell ref="K104:O104"/>
    <mergeCell ref="L114:M114"/>
    <mergeCell ref="R114:S114"/>
    <mergeCell ref="F125:I125"/>
    <mergeCell ref="K125:O125"/>
    <mergeCell ref="Q125:U125"/>
    <mergeCell ref="D231:F231"/>
    <mergeCell ref="F233:I233"/>
    <mergeCell ref="K233:O233"/>
    <mergeCell ref="Q233:U233"/>
    <mergeCell ref="F234:H234"/>
    <mergeCell ref="B25:V25"/>
    <mergeCell ref="B9:V9"/>
    <mergeCell ref="B10:V10"/>
    <mergeCell ref="B19:V19"/>
    <mergeCell ref="B21:V21"/>
    <mergeCell ref="B23:V23"/>
    <mergeCell ref="B27:V27"/>
    <mergeCell ref="K61:O61"/>
    <mergeCell ref="Q61:U61"/>
    <mergeCell ref="K37:O37"/>
    <mergeCell ref="F38:H38"/>
    <mergeCell ref="B29:V29"/>
    <mergeCell ref="D59:F59"/>
    <mergeCell ref="F62:H62"/>
    <mergeCell ref="F61:I61"/>
    <mergeCell ref="Q104:U104"/>
    <mergeCell ref="F105:H105"/>
    <mergeCell ref="L71:M71"/>
    <mergeCell ref="K82:O82"/>
    <mergeCell ref="F255:H255"/>
    <mergeCell ref="L264:M264"/>
    <mergeCell ref="R264:S264"/>
    <mergeCell ref="D274:F274"/>
    <mergeCell ref="F276:I276"/>
    <mergeCell ref="K276:O276"/>
    <mergeCell ref="Q276:U276"/>
    <mergeCell ref="L243:M243"/>
    <mergeCell ref="R243:S243"/>
    <mergeCell ref="F254:I254"/>
    <mergeCell ref="K254:O254"/>
    <mergeCell ref="Q254:U254"/>
    <mergeCell ref="F298:H298"/>
    <mergeCell ref="L307:M307"/>
    <mergeCell ref="R307:S307"/>
    <mergeCell ref="D317:F317"/>
    <mergeCell ref="F319:I319"/>
    <mergeCell ref="K319:O319"/>
    <mergeCell ref="Q319:U319"/>
    <mergeCell ref="F277:H277"/>
    <mergeCell ref="L286:M286"/>
    <mergeCell ref="R286:S286"/>
    <mergeCell ref="F297:I297"/>
    <mergeCell ref="K297:O297"/>
    <mergeCell ref="Q297:U297"/>
    <mergeCell ref="F341:H341"/>
    <mergeCell ref="L350:M350"/>
    <mergeCell ref="R350:S350"/>
    <mergeCell ref="D360:F360"/>
    <mergeCell ref="F362:I362"/>
    <mergeCell ref="K362:O362"/>
    <mergeCell ref="Q362:U362"/>
    <mergeCell ref="F320:H320"/>
    <mergeCell ref="L329:M329"/>
    <mergeCell ref="R329:S329"/>
    <mergeCell ref="F340:I340"/>
    <mergeCell ref="K340:O340"/>
    <mergeCell ref="Q340:U340"/>
    <mergeCell ref="F384:H384"/>
    <mergeCell ref="L393:M393"/>
    <mergeCell ref="R393:S393"/>
    <mergeCell ref="D403:F403"/>
    <mergeCell ref="F405:I405"/>
    <mergeCell ref="K405:O405"/>
    <mergeCell ref="Q405:U405"/>
    <mergeCell ref="F363:H363"/>
    <mergeCell ref="L372:M372"/>
    <mergeCell ref="R372:S372"/>
    <mergeCell ref="F383:I383"/>
    <mergeCell ref="K383:O383"/>
    <mergeCell ref="Q383:U383"/>
    <mergeCell ref="F427:H427"/>
    <mergeCell ref="L436:M436"/>
    <mergeCell ref="R436:S436"/>
    <mergeCell ref="D446:F446"/>
    <mergeCell ref="F448:I448"/>
    <mergeCell ref="K448:O448"/>
    <mergeCell ref="Q448:U448"/>
    <mergeCell ref="F406:H406"/>
    <mergeCell ref="L415:M415"/>
    <mergeCell ref="R415:S415"/>
    <mergeCell ref="F426:I426"/>
    <mergeCell ref="K426:O426"/>
    <mergeCell ref="Q426:U426"/>
    <mergeCell ref="F470:H470"/>
    <mergeCell ref="L479:M479"/>
    <mergeCell ref="R479:S479"/>
    <mergeCell ref="F449:H449"/>
    <mergeCell ref="L458:M458"/>
    <mergeCell ref="R458:S458"/>
    <mergeCell ref="F469:I469"/>
    <mergeCell ref="K469:O469"/>
    <mergeCell ref="Q469:U469"/>
  </mergeCells>
  <conditionalFormatting sqref="I63">
    <cfRule type="expression" dxfId="393" priority="670">
      <formula>$H$63="Board-approved"</formula>
    </cfRule>
  </conditionalFormatting>
  <conditionalFormatting sqref="I64">
    <cfRule type="expression" dxfId="392" priority="669">
      <formula>$H$64="Board-approved"</formula>
    </cfRule>
  </conditionalFormatting>
  <conditionalFormatting sqref="I65">
    <cfRule type="expression" dxfId="391" priority="668">
      <formula>$H$65="Board-approved"</formula>
    </cfRule>
  </conditionalFormatting>
  <conditionalFormatting sqref="I66">
    <cfRule type="expression" dxfId="390" priority="667">
      <formula>$H$66="Board-approved"</formula>
    </cfRule>
  </conditionalFormatting>
  <conditionalFormatting sqref="I67">
    <cfRule type="expression" dxfId="389" priority="666">
      <formula>$H$67="Board-approved"</formula>
    </cfRule>
  </conditionalFormatting>
  <conditionalFormatting sqref="L84">
    <cfRule type="expression" dxfId="388" priority="653">
      <formula>$K$63="Forecastl"</formula>
    </cfRule>
  </conditionalFormatting>
  <conditionalFormatting sqref="L85">
    <cfRule type="expression" dxfId="387" priority="652">
      <formula>$K$64="Forecast"</formula>
    </cfRule>
  </conditionalFormatting>
  <conditionalFormatting sqref="L86">
    <cfRule type="expression" dxfId="386" priority="651">
      <formula>$K$65="Forecast"</formula>
    </cfRule>
  </conditionalFormatting>
  <conditionalFormatting sqref="L87">
    <cfRule type="expression" dxfId="385" priority="650">
      <formula>$K$66="Forecast"</formula>
    </cfRule>
  </conditionalFormatting>
  <conditionalFormatting sqref="L88">
    <cfRule type="expression" dxfId="384" priority="649">
      <formula>$K$67="Forecast"</formula>
    </cfRule>
  </conditionalFormatting>
  <conditionalFormatting sqref="L89">
    <cfRule type="expression" dxfId="383" priority="648">
      <formula>$K$68="Forecast"</formula>
    </cfRule>
  </conditionalFormatting>
  <conditionalFormatting sqref="L90">
    <cfRule type="expression" dxfId="382" priority="647">
      <formula>$K$69="Forecast"</formula>
    </cfRule>
  </conditionalFormatting>
  <conditionalFormatting sqref="O84">
    <cfRule type="expression" dxfId="381" priority="646">
      <formula>$H$63="Board-approved"</formula>
    </cfRule>
  </conditionalFormatting>
  <conditionalFormatting sqref="O85">
    <cfRule type="expression" dxfId="380" priority="645">
      <formula>$H$64="Board-approved"</formula>
    </cfRule>
  </conditionalFormatting>
  <conditionalFormatting sqref="O86">
    <cfRule type="expression" dxfId="379" priority="644">
      <formula>$H$65="Board-approved"</formula>
    </cfRule>
  </conditionalFormatting>
  <conditionalFormatting sqref="O87">
    <cfRule type="expression" dxfId="378" priority="643">
      <formula>$H$66="Board-approved"</formula>
    </cfRule>
  </conditionalFormatting>
  <conditionalFormatting sqref="O88">
    <cfRule type="expression" dxfId="377" priority="642">
      <formula>$H$67="Board-approved"</formula>
    </cfRule>
  </conditionalFormatting>
  <conditionalFormatting sqref="I84">
    <cfRule type="expression" dxfId="376" priority="641">
      <formula>$H$63="Board-approved"</formula>
    </cfRule>
  </conditionalFormatting>
  <conditionalFormatting sqref="I86">
    <cfRule type="expression" dxfId="375" priority="639">
      <formula>$H$65="Board-approved"</formula>
    </cfRule>
  </conditionalFormatting>
  <conditionalFormatting sqref="I87">
    <cfRule type="expression" dxfId="374" priority="638">
      <formula>$H$66="Board-approved"</formula>
    </cfRule>
  </conditionalFormatting>
  <conditionalFormatting sqref="I88">
    <cfRule type="expression" dxfId="373" priority="637">
      <formula>$H$67="Board-approved"</formula>
    </cfRule>
  </conditionalFormatting>
  <conditionalFormatting sqref="K82:U100">
    <cfRule type="expression" dxfId="372" priority="636">
      <formula>$N$59="kWh"</formula>
    </cfRule>
  </conditionalFormatting>
  <conditionalFormatting sqref="L39:L43">
    <cfRule type="expression" dxfId="371" priority="630">
      <formula>$K$63="Forecastl"</formula>
    </cfRule>
  </conditionalFormatting>
  <conditionalFormatting sqref="L44">
    <cfRule type="expression" dxfId="370" priority="625">
      <formula>$K$68="Forecast"</formula>
    </cfRule>
  </conditionalFormatting>
  <conditionalFormatting sqref="L45">
    <cfRule type="expression" dxfId="369" priority="624">
      <formula>$K$69="Forecast"</formula>
    </cfRule>
  </conditionalFormatting>
  <conditionalFormatting sqref="O39">
    <cfRule type="expression" dxfId="368" priority="618">
      <formula>$H$63="Board-approved"</formula>
    </cfRule>
  </conditionalFormatting>
  <conditionalFormatting sqref="O41">
    <cfRule type="expression" dxfId="367" priority="616">
      <formula>$H$65="Board-approved"</formula>
    </cfRule>
  </conditionalFormatting>
  <conditionalFormatting sqref="O42">
    <cfRule type="expression" dxfId="366" priority="615">
      <formula>$H$66="Board-approved"</formula>
    </cfRule>
  </conditionalFormatting>
  <conditionalFormatting sqref="O43">
    <cfRule type="expression" dxfId="365" priority="614">
      <formula>$H$67="Board-approved"</formula>
    </cfRule>
  </conditionalFormatting>
  <conditionalFormatting sqref="L127">
    <cfRule type="expression" dxfId="364" priority="491">
      <formula>$K$63="Forecastl"</formula>
    </cfRule>
  </conditionalFormatting>
  <conditionalFormatting sqref="L128">
    <cfRule type="expression" dxfId="363" priority="490">
      <formula>$K$64="Forecast"</formula>
    </cfRule>
  </conditionalFormatting>
  <conditionalFormatting sqref="L129">
    <cfRule type="expression" dxfId="362" priority="489">
      <formula>$K$65="Forecast"</formula>
    </cfRule>
  </conditionalFormatting>
  <conditionalFormatting sqref="L130">
    <cfRule type="expression" dxfId="361" priority="488">
      <formula>$K$66="Forecast"</formula>
    </cfRule>
  </conditionalFormatting>
  <conditionalFormatting sqref="L131">
    <cfRule type="expression" dxfId="360" priority="487">
      <formula>$K$67="Forecast"</formula>
    </cfRule>
  </conditionalFormatting>
  <conditionalFormatting sqref="L132">
    <cfRule type="expression" dxfId="359" priority="486">
      <formula>$K$68="Forecast"</formula>
    </cfRule>
  </conditionalFormatting>
  <conditionalFormatting sqref="L133">
    <cfRule type="expression" dxfId="358" priority="485">
      <formula>$K$69="Forecast"</formula>
    </cfRule>
  </conditionalFormatting>
  <conditionalFormatting sqref="O127">
    <cfRule type="expression" dxfId="357" priority="484">
      <formula>$H$63="Board-approved"</formula>
    </cfRule>
  </conditionalFormatting>
  <conditionalFormatting sqref="O128">
    <cfRule type="expression" dxfId="356" priority="483">
      <formula>$H$64="Board-approved"</formula>
    </cfRule>
  </conditionalFormatting>
  <conditionalFormatting sqref="O129">
    <cfRule type="expression" dxfId="355" priority="482">
      <formula>$H$65="Board-approved"</formula>
    </cfRule>
  </conditionalFormatting>
  <conditionalFormatting sqref="O130">
    <cfRule type="expression" dxfId="354" priority="481">
      <formula>$H$66="Board-approved"</formula>
    </cfRule>
  </conditionalFormatting>
  <conditionalFormatting sqref="O131">
    <cfRule type="expression" dxfId="353" priority="480">
      <formula>$H$67="Board-approved"</formula>
    </cfRule>
  </conditionalFormatting>
  <conditionalFormatting sqref="K125:U143">
    <cfRule type="expression" dxfId="352" priority="474">
      <formula>$N$102="kWh"</formula>
    </cfRule>
  </conditionalFormatting>
  <conditionalFormatting sqref="L170">
    <cfRule type="expression" dxfId="351" priority="386">
      <formula>$K$63="Forecastl"</formula>
    </cfRule>
  </conditionalFormatting>
  <conditionalFormatting sqref="L171">
    <cfRule type="expression" dxfId="350" priority="385">
      <formula>$K$64="Forecast"</formula>
    </cfRule>
  </conditionalFormatting>
  <conditionalFormatting sqref="L172">
    <cfRule type="expression" dxfId="349" priority="384">
      <formula>$K$65="Forecast"</formula>
    </cfRule>
  </conditionalFormatting>
  <conditionalFormatting sqref="L173">
    <cfRule type="expression" dxfId="348" priority="383">
      <formula>$K$66="Forecast"</formula>
    </cfRule>
  </conditionalFormatting>
  <conditionalFormatting sqref="L174">
    <cfRule type="expression" dxfId="347" priority="382">
      <formula>$K$67="Forecast"</formula>
    </cfRule>
  </conditionalFormatting>
  <conditionalFormatting sqref="L175">
    <cfRule type="expression" dxfId="346" priority="381">
      <formula>$K$68="Forecast"</formula>
    </cfRule>
  </conditionalFormatting>
  <conditionalFormatting sqref="L176">
    <cfRule type="expression" dxfId="345" priority="380">
      <formula>$K$69="Forecast"</formula>
    </cfRule>
  </conditionalFormatting>
  <conditionalFormatting sqref="O170">
    <cfRule type="expression" dxfId="344" priority="379">
      <formula>$H$63="Board-approved"</formula>
    </cfRule>
  </conditionalFormatting>
  <conditionalFormatting sqref="O171">
    <cfRule type="expression" dxfId="343" priority="378">
      <formula>$H$64="Board-approved"</formula>
    </cfRule>
  </conditionalFormatting>
  <conditionalFormatting sqref="O172">
    <cfRule type="expression" dxfId="342" priority="377">
      <formula>$H$65="Board-approved"</formula>
    </cfRule>
  </conditionalFormatting>
  <conditionalFormatting sqref="O173">
    <cfRule type="expression" dxfId="341" priority="376">
      <formula>$H$66="Board-approved"</formula>
    </cfRule>
  </conditionalFormatting>
  <conditionalFormatting sqref="O174">
    <cfRule type="expression" dxfId="340" priority="375">
      <formula>$H$67="Board-approved"</formula>
    </cfRule>
  </conditionalFormatting>
  <conditionalFormatting sqref="K168:U186">
    <cfRule type="expression" dxfId="339" priority="369">
      <formula>$N$145="kWh"</formula>
    </cfRule>
  </conditionalFormatting>
  <conditionalFormatting sqref="L213:L217">
    <cfRule type="expression" dxfId="338" priority="351">
      <formula>$K$63="Forecastl"</formula>
    </cfRule>
  </conditionalFormatting>
  <conditionalFormatting sqref="L214">
    <cfRule type="expression" dxfId="337" priority="350">
      <formula>$K$64="Forecast"</formula>
    </cfRule>
  </conditionalFormatting>
  <conditionalFormatting sqref="L215">
    <cfRule type="expression" dxfId="336" priority="349">
      <formula>$K$65="Forecast"</formula>
    </cfRule>
  </conditionalFormatting>
  <conditionalFormatting sqref="L216">
    <cfRule type="expression" dxfId="335" priority="348">
      <formula>$K$66="Forecast"</formula>
    </cfRule>
  </conditionalFormatting>
  <conditionalFormatting sqref="L217">
    <cfRule type="expression" dxfId="334" priority="347">
      <formula>$K$67="Forecast"</formula>
    </cfRule>
  </conditionalFormatting>
  <conditionalFormatting sqref="L218">
    <cfRule type="expression" dxfId="333" priority="346">
      <formula>$K$68="Forecast"</formula>
    </cfRule>
  </conditionalFormatting>
  <conditionalFormatting sqref="L219">
    <cfRule type="expression" dxfId="332" priority="345">
      <formula>$K$69="Forecast"</formula>
    </cfRule>
  </conditionalFormatting>
  <conditionalFormatting sqref="O213">
    <cfRule type="expression" dxfId="331" priority="344">
      <formula>$H$63="Board-approved"</formula>
    </cfRule>
  </conditionalFormatting>
  <conditionalFormatting sqref="O214">
    <cfRule type="expression" dxfId="330" priority="343">
      <formula>$H$64="Board-approved"</formula>
    </cfRule>
  </conditionalFormatting>
  <conditionalFormatting sqref="O215">
    <cfRule type="expression" dxfId="329" priority="342">
      <formula>$H$65="Board-approved"</formula>
    </cfRule>
  </conditionalFormatting>
  <conditionalFormatting sqref="O216">
    <cfRule type="expression" dxfId="328" priority="341">
      <formula>$H$66="Board-approved"</formula>
    </cfRule>
  </conditionalFormatting>
  <conditionalFormatting sqref="O217">
    <cfRule type="expression" dxfId="327" priority="340">
      <formula>$H$67="Board-approved"</formula>
    </cfRule>
  </conditionalFormatting>
  <conditionalFormatting sqref="K220:U229 K211:P219">
    <cfRule type="expression" dxfId="326" priority="334">
      <formula>$N$188="kWh"</formula>
    </cfRule>
  </conditionalFormatting>
  <conditionalFormatting sqref="L256">
    <cfRule type="expression" dxfId="325" priority="316">
      <formula>$K$63="Forecastl"</formula>
    </cfRule>
  </conditionalFormatting>
  <conditionalFormatting sqref="L257">
    <cfRule type="expression" dxfId="324" priority="315">
      <formula>$K$64="Forecast"</formula>
    </cfRule>
  </conditionalFormatting>
  <conditionalFormatting sqref="L258">
    <cfRule type="expression" dxfId="323" priority="314">
      <formula>$K$65="Forecast"</formula>
    </cfRule>
  </conditionalFormatting>
  <conditionalFormatting sqref="L259">
    <cfRule type="expression" dxfId="322" priority="313">
      <formula>$K$66="Forecast"</formula>
    </cfRule>
  </conditionalFormatting>
  <conditionalFormatting sqref="L260">
    <cfRule type="expression" dxfId="321" priority="312">
      <formula>$K$67="Forecast"</formula>
    </cfRule>
  </conditionalFormatting>
  <conditionalFormatting sqref="L261">
    <cfRule type="expression" dxfId="320" priority="311">
      <formula>$K$68="Forecast"</formula>
    </cfRule>
  </conditionalFormatting>
  <conditionalFormatting sqref="L262">
    <cfRule type="expression" dxfId="319" priority="310">
      <formula>$K$69="Forecast"</formula>
    </cfRule>
  </conditionalFormatting>
  <conditionalFormatting sqref="O256">
    <cfRule type="expression" dxfId="318" priority="309">
      <formula>$H$63="Board-approved"</formula>
    </cfRule>
  </conditionalFormatting>
  <conditionalFormatting sqref="O257">
    <cfRule type="expression" dxfId="317" priority="308">
      <formula>$H$64="Board-approved"</formula>
    </cfRule>
  </conditionalFormatting>
  <conditionalFormatting sqref="O258">
    <cfRule type="expression" dxfId="316" priority="307">
      <formula>$H$65="Board-approved"</formula>
    </cfRule>
  </conditionalFormatting>
  <conditionalFormatting sqref="O259">
    <cfRule type="expression" dxfId="315" priority="306">
      <formula>$H$66="Board-approved"</formula>
    </cfRule>
  </conditionalFormatting>
  <conditionalFormatting sqref="O260">
    <cfRule type="expression" dxfId="314" priority="305">
      <formula>$H$67="Board-approved"</formula>
    </cfRule>
  </conditionalFormatting>
  <conditionalFormatting sqref="K254:U272">
    <cfRule type="expression" dxfId="313" priority="299">
      <formula>$N$231="kWh"</formula>
    </cfRule>
  </conditionalFormatting>
  <conditionalFormatting sqref="L299:L303">
    <cfRule type="expression" dxfId="312" priority="281">
      <formula>$K$63="Forecastl"</formula>
    </cfRule>
  </conditionalFormatting>
  <conditionalFormatting sqref="L300">
    <cfRule type="expression" dxfId="311" priority="280">
      <formula>$K$64="Forecast"</formula>
    </cfRule>
  </conditionalFormatting>
  <conditionalFormatting sqref="L301">
    <cfRule type="expression" dxfId="310" priority="279">
      <formula>$K$65="Forecast"</formula>
    </cfRule>
  </conditionalFormatting>
  <conditionalFormatting sqref="L302">
    <cfRule type="expression" dxfId="309" priority="278">
      <formula>$K$66="Forecast"</formula>
    </cfRule>
  </conditionalFormatting>
  <conditionalFormatting sqref="L303">
    <cfRule type="expression" dxfId="308" priority="277">
      <formula>$K$67="Forecast"</formula>
    </cfRule>
  </conditionalFormatting>
  <conditionalFormatting sqref="L304">
    <cfRule type="expression" dxfId="307" priority="276">
      <formula>$K$68="Forecast"</formula>
    </cfRule>
  </conditionalFormatting>
  <conditionalFormatting sqref="L305">
    <cfRule type="expression" dxfId="306" priority="275">
      <formula>$K$69="Forecast"</formula>
    </cfRule>
  </conditionalFormatting>
  <conditionalFormatting sqref="O299">
    <cfRule type="expression" dxfId="305" priority="274">
      <formula>$H$63="Board-approved"</formula>
    </cfRule>
  </conditionalFormatting>
  <conditionalFormatting sqref="O300">
    <cfRule type="expression" dxfId="304" priority="273">
      <formula>$H$64="Board-approved"</formula>
    </cfRule>
  </conditionalFormatting>
  <conditionalFormatting sqref="O301">
    <cfRule type="expression" dxfId="303" priority="272">
      <formula>$H$65="Board-approved"</formula>
    </cfRule>
  </conditionalFormatting>
  <conditionalFormatting sqref="O302">
    <cfRule type="expression" dxfId="302" priority="271">
      <formula>$H$66="Board-approved"</formula>
    </cfRule>
  </conditionalFormatting>
  <conditionalFormatting sqref="O303">
    <cfRule type="expression" dxfId="301" priority="270">
      <formula>$H$67="Board-approved"</formula>
    </cfRule>
  </conditionalFormatting>
  <conditionalFormatting sqref="K306:U315 K297:P305">
    <cfRule type="expression" dxfId="300" priority="264">
      <formula>$N$274="kWh"</formula>
    </cfRule>
  </conditionalFormatting>
  <conditionalFormatting sqref="L342:L346">
    <cfRule type="expression" dxfId="299" priority="246">
      <formula>$K$63="Forecastl"</formula>
    </cfRule>
  </conditionalFormatting>
  <conditionalFormatting sqref="L343">
    <cfRule type="expression" dxfId="298" priority="245">
      <formula>$K$64="Forecast"</formula>
    </cfRule>
  </conditionalFormatting>
  <conditionalFormatting sqref="L344">
    <cfRule type="expression" dxfId="297" priority="244">
      <formula>$K$65="Forecast"</formula>
    </cfRule>
  </conditionalFormatting>
  <conditionalFormatting sqref="L345">
    <cfRule type="expression" dxfId="296" priority="243">
      <formula>$K$66="Forecast"</formula>
    </cfRule>
  </conditionalFormatting>
  <conditionalFormatting sqref="L346">
    <cfRule type="expression" dxfId="295" priority="242">
      <formula>$K$67="Forecast"</formula>
    </cfRule>
  </conditionalFormatting>
  <conditionalFormatting sqref="L347">
    <cfRule type="expression" dxfId="294" priority="241">
      <formula>$K$68="Forecast"</formula>
    </cfRule>
  </conditionalFormatting>
  <conditionalFormatting sqref="L348">
    <cfRule type="expression" dxfId="293" priority="240">
      <formula>$K$69="Forecast"</formula>
    </cfRule>
  </conditionalFormatting>
  <conditionalFormatting sqref="O342">
    <cfRule type="expression" dxfId="292" priority="239">
      <formula>$H$63="Board-approved"</formula>
    </cfRule>
  </conditionalFormatting>
  <conditionalFormatting sqref="O343">
    <cfRule type="expression" dxfId="291" priority="238">
      <formula>$H$64="Board-approved"</formula>
    </cfRule>
  </conditionalFormatting>
  <conditionalFormatting sqref="O344">
    <cfRule type="expression" dxfId="290" priority="237">
      <formula>$H$65="Board-approved"</formula>
    </cfRule>
  </conditionalFormatting>
  <conditionalFormatting sqref="O345">
    <cfRule type="expression" dxfId="289" priority="236">
      <formula>$H$66="Board-approved"</formula>
    </cfRule>
  </conditionalFormatting>
  <conditionalFormatting sqref="O346">
    <cfRule type="expression" dxfId="288" priority="235">
      <formula>$H$67="Board-approved"</formula>
    </cfRule>
  </conditionalFormatting>
  <conditionalFormatting sqref="K349:U358 K340:P348">
    <cfRule type="expression" dxfId="287" priority="229">
      <formula>$N$317="kWh"</formula>
    </cfRule>
  </conditionalFormatting>
  <conditionalFormatting sqref="I364">
    <cfRule type="expression" dxfId="286" priority="228">
      <formula>$H$63="Board-approved"</formula>
    </cfRule>
  </conditionalFormatting>
  <conditionalFormatting sqref="I365">
    <cfRule type="expression" dxfId="285" priority="227">
      <formula>$H$64="Board-approved"</formula>
    </cfRule>
  </conditionalFormatting>
  <conditionalFormatting sqref="I366">
    <cfRule type="expression" dxfId="284" priority="226">
      <formula>$H$65="Board-approved"</formula>
    </cfRule>
  </conditionalFormatting>
  <conditionalFormatting sqref="I367">
    <cfRule type="expression" dxfId="283" priority="225">
      <formula>$H$66="Board-approved"</formula>
    </cfRule>
  </conditionalFormatting>
  <conditionalFormatting sqref="I368">
    <cfRule type="expression" dxfId="282" priority="224">
      <formula>$H$67="Board-approved"</formula>
    </cfRule>
  </conditionalFormatting>
  <conditionalFormatting sqref="L364">
    <cfRule type="expression" dxfId="281" priority="223">
      <formula>$K$63="Forecastl"</formula>
    </cfRule>
  </conditionalFormatting>
  <conditionalFormatting sqref="L365">
    <cfRule type="expression" dxfId="280" priority="222">
      <formula>$K$64="Forecast"</formula>
    </cfRule>
  </conditionalFormatting>
  <conditionalFormatting sqref="L366">
    <cfRule type="expression" dxfId="279" priority="221">
      <formula>$K$65="Forecast"</formula>
    </cfRule>
  </conditionalFormatting>
  <conditionalFormatting sqref="L367">
    <cfRule type="expression" dxfId="278" priority="220">
      <formula>$K$66="Forecast"</formula>
    </cfRule>
  </conditionalFormatting>
  <conditionalFormatting sqref="L368">
    <cfRule type="expression" dxfId="277" priority="219">
      <formula>$K$67="Forecast"</formula>
    </cfRule>
  </conditionalFormatting>
  <conditionalFormatting sqref="L369">
    <cfRule type="expression" dxfId="276" priority="218">
      <formula>$K$68="Forecast"</formula>
    </cfRule>
  </conditionalFormatting>
  <conditionalFormatting sqref="L370">
    <cfRule type="expression" dxfId="275" priority="217">
      <formula>$K$69="Forecast"</formula>
    </cfRule>
  </conditionalFormatting>
  <conditionalFormatting sqref="O364">
    <cfRule type="expression" dxfId="274" priority="216">
      <formula>$H$63="Board-approved"</formula>
    </cfRule>
  </conditionalFormatting>
  <conditionalFormatting sqref="O365">
    <cfRule type="expression" dxfId="273" priority="215">
      <formula>$H$64="Board-approved"</formula>
    </cfRule>
  </conditionalFormatting>
  <conditionalFormatting sqref="O366">
    <cfRule type="expression" dxfId="272" priority="214">
      <formula>$H$65="Board-approved"</formula>
    </cfRule>
  </conditionalFormatting>
  <conditionalFormatting sqref="O367">
    <cfRule type="expression" dxfId="271" priority="213">
      <formula>$H$66="Board-approved"</formula>
    </cfRule>
  </conditionalFormatting>
  <conditionalFormatting sqref="O368">
    <cfRule type="expression" dxfId="270" priority="212">
      <formula>$H$67="Board-approved"</formula>
    </cfRule>
  </conditionalFormatting>
  <conditionalFormatting sqref="L385">
    <cfRule type="expression" dxfId="269" priority="211">
      <formula>$K$63="Forecastl"</formula>
    </cfRule>
  </conditionalFormatting>
  <conditionalFormatting sqref="L386">
    <cfRule type="expression" dxfId="268" priority="210">
      <formula>$K$64="Forecast"</formula>
    </cfRule>
  </conditionalFormatting>
  <conditionalFormatting sqref="L387">
    <cfRule type="expression" dxfId="267" priority="209">
      <formula>$K$65="Forecast"</formula>
    </cfRule>
  </conditionalFormatting>
  <conditionalFormatting sqref="L388">
    <cfRule type="expression" dxfId="266" priority="208">
      <formula>$K$66="Forecast"</formula>
    </cfRule>
  </conditionalFormatting>
  <conditionalFormatting sqref="L389">
    <cfRule type="expression" dxfId="265" priority="207">
      <formula>$K$67="Forecast"</formula>
    </cfRule>
  </conditionalFormatting>
  <conditionalFormatting sqref="L390">
    <cfRule type="expression" dxfId="264" priority="206">
      <formula>$K$68="Forecast"</formula>
    </cfRule>
  </conditionalFormatting>
  <conditionalFormatting sqref="L391">
    <cfRule type="expression" dxfId="263" priority="205">
      <formula>$K$69="Forecast"</formula>
    </cfRule>
  </conditionalFormatting>
  <conditionalFormatting sqref="O385">
    <cfRule type="expression" dxfId="262" priority="204">
      <formula>$H$63="Board-approved"</formula>
    </cfRule>
  </conditionalFormatting>
  <conditionalFormatting sqref="O386">
    <cfRule type="expression" dxfId="261" priority="203">
      <formula>$H$64="Board-approved"</formula>
    </cfRule>
  </conditionalFormatting>
  <conditionalFormatting sqref="O387">
    <cfRule type="expression" dxfId="260" priority="202">
      <formula>$H$65="Board-approved"</formula>
    </cfRule>
  </conditionalFormatting>
  <conditionalFormatting sqref="O388">
    <cfRule type="expression" dxfId="259" priority="201">
      <formula>$H$66="Board-approved"</formula>
    </cfRule>
  </conditionalFormatting>
  <conditionalFormatting sqref="O389">
    <cfRule type="expression" dxfId="258" priority="200">
      <formula>$H$67="Board-approved"</formula>
    </cfRule>
  </conditionalFormatting>
  <conditionalFormatting sqref="I385">
    <cfRule type="expression" dxfId="257" priority="199">
      <formula>$H$63="Board-approved"</formula>
    </cfRule>
  </conditionalFormatting>
  <conditionalFormatting sqref="I386">
    <cfRule type="expression" dxfId="256" priority="198">
      <formula>$H$64="Board-approved"</formula>
    </cfRule>
  </conditionalFormatting>
  <conditionalFormatting sqref="I387">
    <cfRule type="expression" dxfId="255" priority="197">
      <formula>$H$65="Board-approved"</formula>
    </cfRule>
  </conditionalFormatting>
  <conditionalFormatting sqref="I388">
    <cfRule type="expression" dxfId="254" priority="196">
      <formula>$H$66="Board-approved"</formula>
    </cfRule>
  </conditionalFormatting>
  <conditionalFormatting sqref="I389">
    <cfRule type="expression" dxfId="253" priority="195">
      <formula>$H$67="Board-approved"</formula>
    </cfRule>
  </conditionalFormatting>
  <conditionalFormatting sqref="K383:U401">
    <cfRule type="expression" dxfId="252" priority="194">
      <formula>$N$360="kWh"</formula>
    </cfRule>
  </conditionalFormatting>
  <conditionalFormatting sqref="I407">
    <cfRule type="expression" dxfId="251" priority="193">
      <formula>$H$63="Board-approved"</formula>
    </cfRule>
  </conditionalFormatting>
  <conditionalFormatting sqref="I408">
    <cfRule type="expression" dxfId="250" priority="192">
      <formula>$H$64="Board-approved"</formula>
    </cfRule>
  </conditionalFormatting>
  <conditionalFormatting sqref="I409">
    <cfRule type="expression" dxfId="249" priority="191">
      <formula>$H$65="Board-approved"</formula>
    </cfRule>
  </conditionalFormatting>
  <conditionalFormatting sqref="I410">
    <cfRule type="expression" dxfId="248" priority="190">
      <formula>$H$66="Board-approved"</formula>
    </cfRule>
  </conditionalFormatting>
  <conditionalFormatting sqref="I411">
    <cfRule type="expression" dxfId="247" priority="189">
      <formula>$H$67="Board-approved"</formula>
    </cfRule>
  </conditionalFormatting>
  <conditionalFormatting sqref="L407">
    <cfRule type="expression" dxfId="246" priority="188">
      <formula>$K$63="Forecastl"</formula>
    </cfRule>
  </conditionalFormatting>
  <conditionalFormatting sqref="L408">
    <cfRule type="expression" dxfId="245" priority="187">
      <formula>$K$64="Forecast"</formula>
    </cfRule>
  </conditionalFormatting>
  <conditionalFormatting sqref="L409">
    <cfRule type="expression" dxfId="244" priority="186">
      <formula>$K$65="Forecast"</formula>
    </cfRule>
  </conditionalFormatting>
  <conditionalFormatting sqref="L410">
    <cfRule type="expression" dxfId="243" priority="185">
      <formula>$K$66="Forecast"</formula>
    </cfRule>
  </conditionalFormatting>
  <conditionalFormatting sqref="L411">
    <cfRule type="expression" dxfId="242" priority="184">
      <formula>$K$67="Forecast"</formula>
    </cfRule>
  </conditionalFormatting>
  <conditionalFormatting sqref="L412">
    <cfRule type="expression" dxfId="241" priority="183">
      <formula>$K$68="Forecast"</formula>
    </cfRule>
  </conditionalFormatting>
  <conditionalFormatting sqref="L413">
    <cfRule type="expression" dxfId="240" priority="182">
      <formula>$K$69="Forecast"</formula>
    </cfRule>
  </conditionalFormatting>
  <conditionalFormatting sqref="O407">
    <cfRule type="expression" dxfId="239" priority="181">
      <formula>$H$63="Board-approved"</formula>
    </cfRule>
  </conditionalFormatting>
  <conditionalFormatting sqref="O408">
    <cfRule type="expression" dxfId="238" priority="180">
      <formula>$H$64="Board-approved"</formula>
    </cfRule>
  </conditionalFormatting>
  <conditionalFormatting sqref="O409">
    <cfRule type="expression" dxfId="237" priority="179">
      <formula>$H$65="Board-approved"</formula>
    </cfRule>
  </conditionalFormatting>
  <conditionalFormatting sqref="O410">
    <cfRule type="expression" dxfId="236" priority="178">
      <formula>$H$66="Board-approved"</formula>
    </cfRule>
  </conditionalFormatting>
  <conditionalFormatting sqref="O411">
    <cfRule type="expression" dxfId="235" priority="177">
      <formula>$H$67="Board-approved"</formula>
    </cfRule>
  </conditionalFormatting>
  <conditionalFormatting sqref="L428">
    <cfRule type="expression" dxfId="234" priority="176">
      <formula>$K$63="Forecastl"</formula>
    </cfRule>
  </conditionalFormatting>
  <conditionalFormatting sqref="L429">
    <cfRule type="expression" dxfId="233" priority="175">
      <formula>$K$64="Forecast"</formula>
    </cfRule>
  </conditionalFormatting>
  <conditionalFormatting sqref="L430">
    <cfRule type="expression" dxfId="232" priority="174">
      <formula>$K$65="Forecast"</formula>
    </cfRule>
  </conditionalFormatting>
  <conditionalFormatting sqref="L431">
    <cfRule type="expression" dxfId="231" priority="173">
      <formula>$K$66="Forecast"</formula>
    </cfRule>
  </conditionalFormatting>
  <conditionalFormatting sqref="L432">
    <cfRule type="expression" dxfId="230" priority="172">
      <formula>$K$67="Forecast"</formula>
    </cfRule>
  </conditionalFormatting>
  <conditionalFormatting sqref="L433">
    <cfRule type="expression" dxfId="229" priority="171">
      <formula>$K$68="Forecast"</formula>
    </cfRule>
  </conditionalFormatting>
  <conditionalFormatting sqref="L434">
    <cfRule type="expression" dxfId="228" priority="170">
      <formula>$K$69="Forecast"</formula>
    </cfRule>
  </conditionalFormatting>
  <conditionalFormatting sqref="O428">
    <cfRule type="expression" dxfId="227" priority="169">
      <formula>$H$63="Board-approved"</formula>
    </cfRule>
  </conditionalFormatting>
  <conditionalFormatting sqref="O429">
    <cfRule type="expression" dxfId="226" priority="168">
      <formula>$H$64="Board-approved"</formula>
    </cfRule>
  </conditionalFormatting>
  <conditionalFormatting sqref="O430">
    <cfRule type="expression" dxfId="225" priority="167">
      <formula>$H$65="Board-approved"</formula>
    </cfRule>
  </conditionalFormatting>
  <conditionalFormatting sqref="O431">
    <cfRule type="expression" dxfId="224" priority="166">
      <formula>$H$66="Board-approved"</formula>
    </cfRule>
  </conditionalFormatting>
  <conditionalFormatting sqref="O432">
    <cfRule type="expression" dxfId="223" priority="165">
      <formula>$H$67="Board-approved"</formula>
    </cfRule>
  </conditionalFormatting>
  <conditionalFormatting sqref="I428">
    <cfRule type="expression" dxfId="222" priority="164">
      <formula>$H$63="Board-approved"</formula>
    </cfRule>
  </conditionalFormatting>
  <conditionalFormatting sqref="I429">
    <cfRule type="expression" dxfId="221" priority="163">
      <formula>$H$64="Board-approved"</formula>
    </cfRule>
  </conditionalFormatting>
  <conditionalFormatting sqref="I430">
    <cfRule type="expression" dxfId="220" priority="162">
      <formula>$H$65="Board-approved"</formula>
    </cfRule>
  </conditionalFormatting>
  <conditionalFormatting sqref="I431">
    <cfRule type="expression" dxfId="219" priority="161">
      <formula>$H$66="Board-approved"</formula>
    </cfRule>
  </conditionalFormatting>
  <conditionalFormatting sqref="I432">
    <cfRule type="expression" dxfId="218" priority="160">
      <formula>$H$67="Board-approved"</formula>
    </cfRule>
  </conditionalFormatting>
  <conditionalFormatting sqref="K426:U444">
    <cfRule type="expression" dxfId="217" priority="159">
      <formula>$N$403="kWh"</formula>
    </cfRule>
  </conditionalFormatting>
  <conditionalFormatting sqref="I450">
    <cfRule type="expression" dxfId="216" priority="158">
      <formula>$H$63="Board-approved"</formula>
    </cfRule>
  </conditionalFormatting>
  <conditionalFormatting sqref="I451">
    <cfRule type="expression" dxfId="215" priority="157">
      <formula>$H$64="Board-approved"</formula>
    </cfRule>
  </conditionalFormatting>
  <conditionalFormatting sqref="I452">
    <cfRule type="expression" dxfId="214" priority="156">
      <formula>$H$65="Board-approved"</formula>
    </cfRule>
  </conditionalFormatting>
  <conditionalFormatting sqref="I453">
    <cfRule type="expression" dxfId="213" priority="155">
      <formula>$H$66="Board-approved"</formula>
    </cfRule>
  </conditionalFormatting>
  <conditionalFormatting sqref="I454">
    <cfRule type="expression" dxfId="212" priority="154">
      <formula>$H$67="Board-approved"</formula>
    </cfRule>
  </conditionalFormatting>
  <conditionalFormatting sqref="L450">
    <cfRule type="expression" dxfId="211" priority="153">
      <formula>$K$63="Forecastl"</formula>
    </cfRule>
  </conditionalFormatting>
  <conditionalFormatting sqref="L451">
    <cfRule type="expression" dxfId="210" priority="152">
      <formula>$K$64="Forecast"</formula>
    </cfRule>
  </conditionalFormatting>
  <conditionalFormatting sqref="L452">
    <cfRule type="expression" dxfId="209" priority="151">
      <formula>$K$65="Forecast"</formula>
    </cfRule>
  </conditionalFormatting>
  <conditionalFormatting sqref="L453">
    <cfRule type="expression" dxfId="208" priority="150">
      <formula>$K$66="Forecast"</formula>
    </cfRule>
  </conditionalFormatting>
  <conditionalFormatting sqref="L454">
    <cfRule type="expression" dxfId="207" priority="149">
      <formula>$K$67="Forecast"</formula>
    </cfRule>
  </conditionalFormatting>
  <conditionalFormatting sqref="L455">
    <cfRule type="expression" dxfId="206" priority="148">
      <formula>$K$68="Forecast"</formula>
    </cfRule>
  </conditionalFormatting>
  <conditionalFormatting sqref="L456">
    <cfRule type="expression" dxfId="205" priority="147">
      <formula>$K$69="Forecast"</formula>
    </cfRule>
  </conditionalFormatting>
  <conditionalFormatting sqref="O450">
    <cfRule type="expression" dxfId="204" priority="146">
      <formula>$H$63="Board-approved"</formula>
    </cfRule>
  </conditionalFormatting>
  <conditionalFormatting sqref="O451">
    <cfRule type="expression" dxfId="203" priority="145">
      <formula>$H$64="Board-approved"</formula>
    </cfRule>
  </conditionalFormatting>
  <conditionalFormatting sqref="O452">
    <cfRule type="expression" dxfId="202" priority="144">
      <formula>$H$65="Board-approved"</formula>
    </cfRule>
  </conditionalFormatting>
  <conditionalFormatting sqref="O453">
    <cfRule type="expression" dxfId="201" priority="143">
      <formula>$H$66="Board-approved"</formula>
    </cfRule>
  </conditionalFormatting>
  <conditionalFormatting sqref="O454">
    <cfRule type="expression" dxfId="200" priority="142">
      <formula>$H$67="Board-approved"</formula>
    </cfRule>
  </conditionalFormatting>
  <conditionalFormatting sqref="L471">
    <cfRule type="expression" dxfId="199" priority="141">
      <formula>$K$63="Forecastl"</formula>
    </cfRule>
  </conditionalFormatting>
  <conditionalFormatting sqref="L472">
    <cfRule type="expression" dxfId="198" priority="140">
      <formula>$K$64="Forecast"</formula>
    </cfRule>
  </conditionalFormatting>
  <conditionalFormatting sqref="L473">
    <cfRule type="expression" dxfId="197" priority="139">
      <formula>$K$65="Forecast"</formula>
    </cfRule>
  </conditionalFormatting>
  <conditionalFormatting sqref="L474">
    <cfRule type="expression" dxfId="196" priority="138">
      <formula>$K$66="Forecast"</formula>
    </cfRule>
  </conditionalFormatting>
  <conditionalFormatting sqref="L475">
    <cfRule type="expression" dxfId="195" priority="137">
      <formula>$K$67="Forecast"</formula>
    </cfRule>
  </conditionalFormatting>
  <conditionalFormatting sqref="L476">
    <cfRule type="expression" dxfId="194" priority="136">
      <formula>$K$68="Forecast"</formula>
    </cfRule>
  </conditionalFormatting>
  <conditionalFormatting sqref="L477">
    <cfRule type="expression" dxfId="193" priority="135">
      <formula>$K$69="Forecast"</formula>
    </cfRule>
  </conditionalFormatting>
  <conditionalFormatting sqref="O471">
    <cfRule type="expression" dxfId="192" priority="134">
      <formula>$H$63="Board-approved"</formula>
    </cfRule>
  </conditionalFormatting>
  <conditionalFormatting sqref="O472">
    <cfRule type="expression" dxfId="191" priority="133">
      <formula>$H$64="Board-approved"</formula>
    </cfRule>
  </conditionalFormatting>
  <conditionalFormatting sqref="O473">
    <cfRule type="expression" dxfId="190" priority="132">
      <formula>$H$65="Board-approved"</formula>
    </cfRule>
  </conditionalFormatting>
  <conditionalFormatting sqref="O474">
    <cfRule type="expression" dxfId="189" priority="131">
      <formula>$H$66="Board-approved"</formula>
    </cfRule>
  </conditionalFormatting>
  <conditionalFormatting sqref="O475">
    <cfRule type="expression" dxfId="188" priority="130">
      <formula>$H$67="Board-approved"</formula>
    </cfRule>
  </conditionalFormatting>
  <conditionalFormatting sqref="I471">
    <cfRule type="expression" dxfId="187" priority="129">
      <formula>$H$63="Board-approved"</formula>
    </cfRule>
  </conditionalFormatting>
  <conditionalFormatting sqref="I472">
    <cfRule type="expression" dxfId="186" priority="128">
      <formula>$H$64="Board-approved"</formula>
    </cfRule>
  </conditionalFormatting>
  <conditionalFormatting sqref="I473">
    <cfRule type="expression" dxfId="185" priority="127">
      <formula>$H$65="Board-approved"</formula>
    </cfRule>
  </conditionalFormatting>
  <conditionalFormatting sqref="I474">
    <cfRule type="expression" dxfId="184" priority="126">
      <formula>$H$66="Board-approved"</formula>
    </cfRule>
  </conditionalFormatting>
  <conditionalFormatting sqref="I475">
    <cfRule type="expression" dxfId="183" priority="125">
      <formula>$H$67="Board-approved"</formula>
    </cfRule>
  </conditionalFormatting>
  <conditionalFormatting sqref="K469:U487">
    <cfRule type="expression" dxfId="182" priority="124">
      <formula>$N$446="kWh"</formula>
    </cfRule>
  </conditionalFormatting>
  <conditionalFormatting sqref="M39:M45">
    <cfRule type="expression" dxfId="181" priority="123">
      <formula>$K$63="Forecastl"</formula>
    </cfRule>
  </conditionalFormatting>
  <conditionalFormatting sqref="O40">
    <cfRule type="expression" dxfId="180" priority="122">
      <formula>$K$63="Forecastl"</formula>
    </cfRule>
  </conditionalFormatting>
  <conditionalFormatting sqref="I106">
    <cfRule type="expression" dxfId="179" priority="121">
      <formula>$H$63="Board-approved"</formula>
    </cfRule>
  </conditionalFormatting>
  <conditionalFormatting sqref="I107">
    <cfRule type="expression" dxfId="178" priority="120">
      <formula>$H$64="Board-approved"</formula>
    </cfRule>
  </conditionalFormatting>
  <conditionalFormatting sqref="I108">
    <cfRule type="expression" dxfId="177" priority="119">
      <formula>$H$65="Board-approved"</formula>
    </cfRule>
  </conditionalFormatting>
  <conditionalFormatting sqref="I109">
    <cfRule type="expression" dxfId="176" priority="118">
      <formula>$H$66="Board-approved"</formula>
    </cfRule>
  </conditionalFormatting>
  <conditionalFormatting sqref="I110">
    <cfRule type="expression" dxfId="175" priority="117">
      <formula>$H$67="Board-approved"</formula>
    </cfRule>
  </conditionalFormatting>
  <conditionalFormatting sqref="I149">
    <cfRule type="expression" dxfId="174" priority="116">
      <formula>$H$63="Board-approved"</formula>
    </cfRule>
  </conditionalFormatting>
  <conditionalFormatting sqref="I150">
    <cfRule type="expression" dxfId="173" priority="115">
      <formula>$H$64="Board-approved"</formula>
    </cfRule>
  </conditionalFormatting>
  <conditionalFormatting sqref="I151">
    <cfRule type="expression" dxfId="172" priority="114">
      <formula>$H$65="Board-approved"</formula>
    </cfRule>
  </conditionalFormatting>
  <conditionalFormatting sqref="I152">
    <cfRule type="expression" dxfId="171" priority="113">
      <formula>$H$66="Board-approved"</formula>
    </cfRule>
  </conditionalFormatting>
  <conditionalFormatting sqref="I153">
    <cfRule type="expression" dxfId="170" priority="112">
      <formula>$H$67="Board-approved"</formula>
    </cfRule>
  </conditionalFormatting>
  <conditionalFormatting sqref="I192">
    <cfRule type="expression" dxfId="169" priority="111">
      <formula>$H$63="Board-approved"</formula>
    </cfRule>
  </conditionalFormatting>
  <conditionalFormatting sqref="I193">
    <cfRule type="expression" dxfId="168" priority="110">
      <formula>$H$64="Board-approved"</formula>
    </cfRule>
  </conditionalFormatting>
  <conditionalFormatting sqref="I194">
    <cfRule type="expression" dxfId="167" priority="109">
      <formula>$H$65="Board-approved"</formula>
    </cfRule>
  </conditionalFormatting>
  <conditionalFormatting sqref="I195">
    <cfRule type="expression" dxfId="166" priority="108">
      <formula>$H$66="Board-approved"</formula>
    </cfRule>
  </conditionalFormatting>
  <conditionalFormatting sqref="I196">
    <cfRule type="expression" dxfId="165" priority="107">
      <formula>$H$67="Board-approved"</formula>
    </cfRule>
  </conditionalFormatting>
  <conditionalFormatting sqref="I235">
    <cfRule type="expression" dxfId="164" priority="106">
      <formula>$H$63="Board-approved"</formula>
    </cfRule>
  </conditionalFormatting>
  <conditionalFormatting sqref="I236">
    <cfRule type="expression" dxfId="163" priority="105">
      <formula>$H$64="Board-approved"</formula>
    </cfRule>
  </conditionalFormatting>
  <conditionalFormatting sqref="I237">
    <cfRule type="expression" dxfId="162" priority="104">
      <formula>$H$65="Board-approved"</formula>
    </cfRule>
  </conditionalFormatting>
  <conditionalFormatting sqref="I238">
    <cfRule type="expression" dxfId="161" priority="103">
      <formula>$H$66="Board-approved"</formula>
    </cfRule>
  </conditionalFormatting>
  <conditionalFormatting sqref="I239">
    <cfRule type="expression" dxfId="160" priority="102">
      <formula>$H$67="Board-approved"</formula>
    </cfRule>
  </conditionalFormatting>
  <conditionalFormatting sqref="I278">
    <cfRule type="expression" dxfId="159" priority="101">
      <formula>$H$63="Board-approved"</formula>
    </cfRule>
  </conditionalFormatting>
  <conditionalFormatting sqref="I279">
    <cfRule type="expression" dxfId="158" priority="100">
      <formula>$H$64="Board-approved"</formula>
    </cfRule>
  </conditionalFormatting>
  <conditionalFormatting sqref="I280">
    <cfRule type="expression" dxfId="157" priority="99">
      <formula>$H$65="Board-approved"</formula>
    </cfRule>
  </conditionalFormatting>
  <conditionalFormatting sqref="I281">
    <cfRule type="expression" dxfId="156" priority="98">
      <formula>$H$66="Board-approved"</formula>
    </cfRule>
  </conditionalFormatting>
  <conditionalFormatting sqref="I282">
    <cfRule type="expression" dxfId="155" priority="97">
      <formula>$H$67="Board-approved"</formula>
    </cfRule>
  </conditionalFormatting>
  <conditionalFormatting sqref="I321">
    <cfRule type="expression" dxfId="154" priority="96">
      <formula>$H$63="Board-approved"</formula>
    </cfRule>
  </conditionalFormatting>
  <conditionalFormatting sqref="I322">
    <cfRule type="expression" dxfId="153" priority="95">
      <formula>$H$64="Board-approved"</formula>
    </cfRule>
  </conditionalFormatting>
  <conditionalFormatting sqref="I323">
    <cfRule type="expression" dxfId="152" priority="94">
      <formula>$H$65="Board-approved"</formula>
    </cfRule>
  </conditionalFormatting>
  <conditionalFormatting sqref="I324">
    <cfRule type="expression" dxfId="151" priority="93">
      <formula>$H$66="Board-approved"</formula>
    </cfRule>
  </conditionalFormatting>
  <conditionalFormatting sqref="I325">
    <cfRule type="expression" dxfId="150" priority="92">
      <formula>$H$67="Board-approved"</formula>
    </cfRule>
  </conditionalFormatting>
  <conditionalFormatting sqref="L63:L67">
    <cfRule type="expression" dxfId="149" priority="91">
      <formula>$K$63="Forecastl"</formula>
    </cfRule>
  </conditionalFormatting>
  <conditionalFormatting sqref="L68">
    <cfRule type="expression" dxfId="148" priority="90">
      <formula>$K$68="Forecast"</formula>
    </cfRule>
  </conditionalFormatting>
  <conditionalFormatting sqref="L69">
    <cfRule type="expression" dxfId="147" priority="89">
      <formula>$K$69="Forecast"</formula>
    </cfRule>
  </conditionalFormatting>
  <conditionalFormatting sqref="O63">
    <cfRule type="expression" dxfId="146" priority="88">
      <formula>$H$63="Board-approved"</formula>
    </cfRule>
  </conditionalFormatting>
  <conditionalFormatting sqref="O65">
    <cfRule type="expression" dxfId="145" priority="87">
      <formula>$H$65="Board-approved"</formula>
    </cfRule>
  </conditionalFormatting>
  <conditionalFormatting sqref="O66">
    <cfRule type="expression" dxfId="144" priority="86">
      <formula>$H$66="Board-approved"</formula>
    </cfRule>
  </conditionalFormatting>
  <conditionalFormatting sqref="O67">
    <cfRule type="expression" dxfId="143" priority="85">
      <formula>$H$67="Board-approved"</formula>
    </cfRule>
  </conditionalFormatting>
  <conditionalFormatting sqref="M63:M69">
    <cfRule type="expression" dxfId="142" priority="84">
      <formula>$K$63="Forecastl"</formula>
    </cfRule>
  </conditionalFormatting>
  <conditionalFormatting sqref="O64">
    <cfRule type="expression" dxfId="141" priority="83">
      <formula>$K$63="Forecastl"</formula>
    </cfRule>
  </conditionalFormatting>
  <conditionalFormatting sqref="O322">
    <cfRule type="expression" dxfId="140" priority="29">
      <formula>$K$63="Forecastl"</formula>
    </cfRule>
  </conditionalFormatting>
  <conditionalFormatting sqref="L106:L110">
    <cfRule type="expression" dxfId="139" priority="82">
      <formula>$K$63="Forecastl"</formula>
    </cfRule>
  </conditionalFormatting>
  <conditionalFormatting sqref="L111">
    <cfRule type="expression" dxfId="138" priority="81">
      <formula>$K$68="Forecast"</formula>
    </cfRule>
  </conditionalFormatting>
  <conditionalFormatting sqref="L112">
    <cfRule type="expression" dxfId="137" priority="80">
      <formula>$K$69="Forecast"</formula>
    </cfRule>
  </conditionalFormatting>
  <conditionalFormatting sqref="O106">
    <cfRule type="expression" dxfId="136" priority="79">
      <formula>$H$63="Board-approved"</formula>
    </cfRule>
  </conditionalFormatting>
  <conditionalFormatting sqref="O108">
    <cfRule type="expression" dxfId="135" priority="78">
      <formula>$H$65="Board-approved"</formula>
    </cfRule>
  </conditionalFormatting>
  <conditionalFormatting sqref="O109">
    <cfRule type="expression" dxfId="134" priority="77">
      <formula>$H$66="Board-approved"</formula>
    </cfRule>
  </conditionalFormatting>
  <conditionalFormatting sqref="O110">
    <cfRule type="expression" dxfId="133" priority="76">
      <formula>$H$67="Board-approved"</formula>
    </cfRule>
  </conditionalFormatting>
  <conditionalFormatting sqref="M106:M112">
    <cfRule type="expression" dxfId="132" priority="75">
      <formula>$K$63="Forecastl"</formula>
    </cfRule>
  </conditionalFormatting>
  <conditionalFormatting sqref="O107">
    <cfRule type="expression" dxfId="131" priority="74">
      <formula>$K$63="Forecastl"</formula>
    </cfRule>
  </conditionalFormatting>
  <conditionalFormatting sqref="L149:L153">
    <cfRule type="expression" dxfId="130" priority="73">
      <formula>$K$63="Forecastl"</formula>
    </cfRule>
  </conditionalFormatting>
  <conditionalFormatting sqref="L154">
    <cfRule type="expression" dxfId="129" priority="72">
      <formula>$K$68="Forecast"</formula>
    </cfRule>
  </conditionalFormatting>
  <conditionalFormatting sqref="L155">
    <cfRule type="expression" dxfId="128" priority="71">
      <formula>$K$69="Forecast"</formula>
    </cfRule>
  </conditionalFormatting>
  <conditionalFormatting sqref="O149">
    <cfRule type="expression" dxfId="127" priority="70">
      <formula>$H$63="Board-approved"</formula>
    </cfRule>
  </conditionalFormatting>
  <conditionalFormatting sqref="O151">
    <cfRule type="expression" dxfId="126" priority="69">
      <formula>$H$65="Board-approved"</formula>
    </cfRule>
  </conditionalFormatting>
  <conditionalFormatting sqref="O152">
    <cfRule type="expression" dxfId="125" priority="68">
      <formula>$H$66="Board-approved"</formula>
    </cfRule>
  </conditionalFormatting>
  <conditionalFormatting sqref="O153">
    <cfRule type="expression" dxfId="124" priority="67">
      <formula>$H$67="Board-approved"</formula>
    </cfRule>
  </conditionalFormatting>
  <conditionalFormatting sqref="M149:M155">
    <cfRule type="expression" dxfId="123" priority="66">
      <formula>$K$63="Forecastl"</formula>
    </cfRule>
  </conditionalFormatting>
  <conditionalFormatting sqref="O150">
    <cfRule type="expression" dxfId="122" priority="65">
      <formula>$K$63="Forecastl"</formula>
    </cfRule>
  </conditionalFormatting>
  <conditionalFormatting sqref="L192:L196">
    <cfRule type="expression" dxfId="121" priority="64">
      <formula>$K$63="Forecastl"</formula>
    </cfRule>
  </conditionalFormatting>
  <conditionalFormatting sqref="L197">
    <cfRule type="expression" dxfId="120" priority="63">
      <formula>$K$68="Forecast"</formula>
    </cfRule>
  </conditionalFormatting>
  <conditionalFormatting sqref="L198">
    <cfRule type="expression" dxfId="119" priority="62">
      <formula>$K$69="Forecast"</formula>
    </cfRule>
  </conditionalFormatting>
  <conditionalFormatting sqref="O192">
    <cfRule type="expression" dxfId="118" priority="61">
      <formula>$H$63="Board-approved"</formula>
    </cfRule>
  </conditionalFormatting>
  <conditionalFormatting sqref="O194">
    <cfRule type="expression" dxfId="117" priority="60">
      <formula>$H$65="Board-approved"</formula>
    </cfRule>
  </conditionalFormatting>
  <conditionalFormatting sqref="O195">
    <cfRule type="expression" dxfId="116" priority="59">
      <formula>$H$66="Board-approved"</formula>
    </cfRule>
  </conditionalFormatting>
  <conditionalFormatting sqref="O196">
    <cfRule type="expression" dxfId="115" priority="58">
      <formula>$H$67="Board-approved"</formula>
    </cfRule>
  </conditionalFormatting>
  <conditionalFormatting sqref="M192:M198">
    <cfRule type="expression" dxfId="114" priority="57">
      <formula>$K$63="Forecastl"</formula>
    </cfRule>
  </conditionalFormatting>
  <conditionalFormatting sqref="O193">
    <cfRule type="expression" dxfId="113" priority="56">
      <formula>$K$63="Forecastl"</formula>
    </cfRule>
  </conditionalFormatting>
  <conditionalFormatting sqref="L235:L239">
    <cfRule type="expression" dxfId="112" priority="55">
      <formula>$K$63="Forecastl"</formula>
    </cfRule>
  </conditionalFormatting>
  <conditionalFormatting sqref="L240">
    <cfRule type="expression" dxfId="111" priority="54">
      <formula>$K$68="Forecast"</formula>
    </cfRule>
  </conditionalFormatting>
  <conditionalFormatting sqref="L241">
    <cfRule type="expression" dxfId="110" priority="53">
      <formula>$K$69="Forecast"</formula>
    </cfRule>
  </conditionalFormatting>
  <conditionalFormatting sqref="O235">
    <cfRule type="expression" dxfId="109" priority="52">
      <formula>$H$63="Board-approved"</formula>
    </cfRule>
  </conditionalFormatting>
  <conditionalFormatting sqref="O237">
    <cfRule type="expression" dxfId="108" priority="51">
      <formula>$H$65="Board-approved"</formula>
    </cfRule>
  </conditionalFormatting>
  <conditionalFormatting sqref="O238">
    <cfRule type="expression" dxfId="107" priority="50">
      <formula>$H$66="Board-approved"</formula>
    </cfRule>
  </conditionalFormatting>
  <conditionalFormatting sqref="O239">
    <cfRule type="expression" dxfId="106" priority="49">
      <formula>$H$67="Board-approved"</formula>
    </cfRule>
  </conditionalFormatting>
  <conditionalFormatting sqref="M235:M241">
    <cfRule type="expression" dxfId="105" priority="48">
      <formula>$K$63="Forecastl"</formula>
    </cfRule>
  </conditionalFormatting>
  <conditionalFormatting sqref="O236">
    <cfRule type="expression" dxfId="104" priority="47">
      <formula>$K$63="Forecastl"</formula>
    </cfRule>
  </conditionalFormatting>
  <conditionalFormatting sqref="L278:L282">
    <cfRule type="expression" dxfId="103" priority="46">
      <formula>$K$63="Forecastl"</formula>
    </cfRule>
  </conditionalFormatting>
  <conditionalFormatting sqref="L283">
    <cfRule type="expression" dxfId="102" priority="45">
      <formula>$K$68="Forecast"</formula>
    </cfRule>
  </conditionalFormatting>
  <conditionalFormatting sqref="L284">
    <cfRule type="expression" dxfId="101" priority="44">
      <formula>$K$69="Forecast"</formula>
    </cfRule>
  </conditionalFormatting>
  <conditionalFormatting sqref="O278">
    <cfRule type="expression" dxfId="100" priority="43">
      <formula>$H$63="Board-approved"</formula>
    </cfRule>
  </conditionalFormatting>
  <conditionalFormatting sqref="O280">
    <cfRule type="expression" dxfId="99" priority="42">
      <formula>$H$65="Board-approved"</formula>
    </cfRule>
  </conditionalFormatting>
  <conditionalFormatting sqref="O281">
    <cfRule type="expression" dxfId="98" priority="41">
      <formula>$H$66="Board-approved"</formula>
    </cfRule>
  </conditionalFormatting>
  <conditionalFormatting sqref="O282">
    <cfRule type="expression" dxfId="97" priority="40">
      <formula>$H$67="Board-approved"</formula>
    </cfRule>
  </conditionalFormatting>
  <conditionalFormatting sqref="M278:M284">
    <cfRule type="expression" dxfId="96" priority="39">
      <formula>$K$63="Forecastl"</formula>
    </cfRule>
  </conditionalFormatting>
  <conditionalFormatting sqref="O279">
    <cfRule type="expression" dxfId="95" priority="38">
      <formula>$K$63="Forecastl"</formula>
    </cfRule>
  </conditionalFormatting>
  <conditionalFormatting sqref="L321:L325">
    <cfRule type="expression" dxfId="94" priority="37">
      <formula>$K$63="Forecastl"</formula>
    </cfRule>
  </conditionalFormatting>
  <conditionalFormatting sqref="L326">
    <cfRule type="expression" dxfId="93" priority="36">
      <formula>$K$68="Forecast"</formula>
    </cfRule>
  </conditionalFormatting>
  <conditionalFormatting sqref="L327">
    <cfRule type="expression" dxfId="92" priority="35">
      <formula>$K$69="Forecast"</formula>
    </cfRule>
  </conditionalFormatting>
  <conditionalFormatting sqref="O321">
    <cfRule type="expression" dxfId="91" priority="34">
      <formula>$H$63="Board-approved"</formula>
    </cfRule>
  </conditionalFormatting>
  <conditionalFormatting sqref="O323">
    <cfRule type="expression" dxfId="90" priority="33">
      <formula>$H$65="Board-approved"</formula>
    </cfRule>
  </conditionalFormatting>
  <conditionalFormatting sqref="O324">
    <cfRule type="expression" dxfId="89" priority="32">
      <formula>$H$66="Board-approved"</formula>
    </cfRule>
  </conditionalFormatting>
  <conditionalFormatting sqref="O325">
    <cfRule type="expression" dxfId="88" priority="31">
      <formula>$H$67="Board-approved"</formula>
    </cfRule>
  </conditionalFormatting>
  <conditionalFormatting sqref="M321:M327">
    <cfRule type="expression" dxfId="87" priority="30">
      <formula>$K$63="Forecastl"</formula>
    </cfRule>
  </conditionalFormatting>
  <conditionalFormatting sqref="I127">
    <cfRule type="expression" dxfId="86" priority="28">
      <formula>$H$63="Board-approved"</formula>
    </cfRule>
  </conditionalFormatting>
  <conditionalFormatting sqref="I129">
    <cfRule type="expression" dxfId="85" priority="27">
      <formula>$H$65="Board-approved"</formula>
    </cfRule>
  </conditionalFormatting>
  <conditionalFormatting sqref="I130">
    <cfRule type="expression" dxfId="84" priority="26">
      <formula>$H$66="Board-approved"</formula>
    </cfRule>
  </conditionalFormatting>
  <conditionalFormatting sqref="I131">
    <cfRule type="expression" dxfId="83" priority="25">
      <formula>$H$67="Board-approved"</formula>
    </cfRule>
  </conditionalFormatting>
  <conditionalFormatting sqref="I170">
    <cfRule type="expression" dxfId="82" priority="24">
      <formula>$H$63="Board-approved"</formula>
    </cfRule>
  </conditionalFormatting>
  <conditionalFormatting sqref="I172">
    <cfRule type="expression" dxfId="81" priority="23">
      <formula>$H$65="Board-approved"</formula>
    </cfRule>
  </conditionalFormatting>
  <conditionalFormatting sqref="I173">
    <cfRule type="expression" dxfId="80" priority="22">
      <formula>$H$66="Board-approved"</formula>
    </cfRule>
  </conditionalFormatting>
  <conditionalFormatting sqref="I174">
    <cfRule type="expression" dxfId="79" priority="21">
      <formula>$H$67="Board-approved"</formula>
    </cfRule>
  </conditionalFormatting>
  <conditionalFormatting sqref="I213">
    <cfRule type="expression" dxfId="78" priority="20">
      <formula>$H$63="Board-approved"</formula>
    </cfRule>
  </conditionalFormatting>
  <conditionalFormatting sqref="I215">
    <cfRule type="expression" dxfId="77" priority="19">
      <formula>$H$65="Board-approved"</formula>
    </cfRule>
  </conditionalFormatting>
  <conditionalFormatting sqref="I216">
    <cfRule type="expression" dxfId="76" priority="18">
      <formula>$H$66="Board-approved"</formula>
    </cfRule>
  </conditionalFormatting>
  <conditionalFormatting sqref="I217">
    <cfRule type="expression" dxfId="75" priority="17">
      <formula>$H$67="Board-approved"</formula>
    </cfRule>
  </conditionalFormatting>
  <conditionalFormatting sqref="I256">
    <cfRule type="expression" dxfId="74" priority="16">
      <formula>$H$63="Board-approved"</formula>
    </cfRule>
  </conditionalFormatting>
  <conditionalFormatting sqref="I258">
    <cfRule type="expression" dxfId="73" priority="15">
      <formula>$H$65="Board-approved"</formula>
    </cfRule>
  </conditionalFormatting>
  <conditionalFormatting sqref="I259">
    <cfRule type="expression" dxfId="72" priority="14">
      <formula>$H$66="Board-approved"</formula>
    </cfRule>
  </conditionalFormatting>
  <conditionalFormatting sqref="I260">
    <cfRule type="expression" dxfId="71" priority="13">
      <formula>$H$67="Board-approved"</formula>
    </cfRule>
  </conditionalFormatting>
  <conditionalFormatting sqref="I299">
    <cfRule type="expression" dxfId="70" priority="12">
      <formula>$H$63="Board-approved"</formula>
    </cfRule>
  </conditionalFormatting>
  <conditionalFormatting sqref="I301">
    <cfRule type="expression" dxfId="69" priority="11">
      <formula>$H$65="Board-approved"</formula>
    </cfRule>
  </conditionalFormatting>
  <conditionalFormatting sqref="I302">
    <cfRule type="expression" dxfId="68" priority="10">
      <formula>$H$66="Board-approved"</formula>
    </cfRule>
  </conditionalFormatting>
  <conditionalFormatting sqref="I303">
    <cfRule type="expression" dxfId="67" priority="9">
      <formula>$H$67="Board-approved"</formula>
    </cfRule>
  </conditionalFormatting>
  <conditionalFormatting sqref="I342">
    <cfRule type="expression" dxfId="66" priority="8">
      <formula>$H$63="Board-approved"</formula>
    </cfRule>
  </conditionalFormatting>
  <conditionalFormatting sqref="I344">
    <cfRule type="expression" dxfId="65" priority="7">
      <formula>$H$65="Board-approved"</formula>
    </cfRule>
  </conditionalFormatting>
  <conditionalFormatting sqref="I345">
    <cfRule type="expression" dxfId="64" priority="6">
      <formula>$H$66="Board-approved"</formula>
    </cfRule>
  </conditionalFormatting>
  <conditionalFormatting sqref="I346">
    <cfRule type="expression" dxfId="63" priority="5">
      <formula>$H$67="Board-approved"</formula>
    </cfRule>
  </conditionalFormatting>
  <conditionalFormatting sqref="Q211:U219">
    <cfRule type="expression" dxfId="62" priority="3">
      <formula>$N$145="kWh"</formula>
    </cfRule>
  </conditionalFormatting>
  <conditionalFormatting sqref="Q297:U305">
    <cfRule type="expression" dxfId="61" priority="2">
      <formula>$N$145="kWh"</formula>
    </cfRule>
  </conditionalFormatting>
  <conditionalFormatting sqref="Q340:U348">
    <cfRule type="expression" dxfId="60" priority="1">
      <formula>$N$145="kWh"</formula>
    </cfRule>
  </conditionalFormatting>
  <dataValidations count="3">
    <dataValidation type="list" allowBlank="1" showInputMessage="1" showErrorMessage="1" sqref="K39:K45">
      <formula1>"Actual, Forecast"</formula1>
    </dataValidation>
    <dataValidation type="list" allowBlank="1" showInputMessage="1" showErrorMessage="1" sqref="F61:I61 F147:I147 F104:I104 F190:I190 F233:I233 F276:I276 F319:I319 F362:I362 F405:I405 F448:I448">
      <formula1>"Customers, Connections"</formula1>
    </dataValidation>
    <dataValidation type="list" allowBlank="1" showInputMessage="1" showErrorMessage="1" sqref="N59 N102 N145 N188 N231 N274 N317 N360 N403 N446">
      <formula1>"kWh, kW, kVA"</formula1>
    </dataValidation>
  </dataValidations>
  <pageMargins left="0.7" right="0.7" top="0.75" bottom="0.75" header="0.3" footer="0.3"/>
  <pageSetup scale="53" fitToHeight="0" orientation="landscape" r:id="rId1"/>
  <rowBreaks count="5" manualBreakCount="5">
    <brk id="56" max="16383" man="1"/>
    <brk id="100" max="16383" man="1"/>
    <brk id="143" max="16383" man="1"/>
    <brk id="186" max="16383" man="1"/>
    <brk id="229" max="16383" man="1"/>
  </rowBreaks>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8">
    <tabColor theme="7" tint="0.39997558519241921"/>
    <pageSetUpPr fitToPage="1"/>
  </sheetPr>
  <dimension ref="A1:M134"/>
  <sheetViews>
    <sheetView showGridLines="0" zoomScaleNormal="100" workbookViewId="0">
      <selection activeCell="A40" sqref="A40:M54"/>
    </sheetView>
  </sheetViews>
  <sheetFormatPr defaultRowHeight="12.75" x14ac:dyDescent="0.2"/>
  <cols>
    <col min="1" max="1" width="29" style="43" customWidth="1"/>
    <col min="2" max="2" width="17.28515625" style="43" customWidth="1"/>
    <col min="3" max="4" width="15" style="43" customWidth="1"/>
    <col min="5" max="5" width="13.28515625" style="43" bestFit="1" customWidth="1"/>
    <col min="6" max="6" width="12.7109375" style="43" bestFit="1" customWidth="1"/>
    <col min="7" max="8" width="12.7109375" style="43" customWidth="1"/>
    <col min="9" max="9" width="13.28515625" style="43" bestFit="1" customWidth="1"/>
    <col min="10" max="10" width="11.140625" style="43" bestFit="1" customWidth="1"/>
    <col min="11" max="11" width="13.28515625" style="43" bestFit="1" customWidth="1"/>
    <col min="12" max="12" width="12.7109375" style="43" bestFit="1" customWidth="1"/>
    <col min="13" max="13" width="10.85546875" style="43" bestFit="1" customWidth="1"/>
    <col min="14" max="16384" width="9.140625" style="43"/>
  </cols>
  <sheetData>
    <row r="1" spans="1:13" x14ac:dyDescent="0.2">
      <c r="L1" s="562" t="s">
        <v>301</v>
      </c>
      <c r="M1" s="61" t="str">
        <f>EBNUMBER</f>
        <v>EB-2016-0066</v>
      </c>
    </row>
    <row r="2" spans="1:13" x14ac:dyDescent="0.2">
      <c r="L2" s="562" t="s">
        <v>302</v>
      </c>
      <c r="M2" s="62"/>
    </row>
    <row r="3" spans="1:13" x14ac:dyDescent="0.2">
      <c r="L3" s="562" t="s">
        <v>303</v>
      </c>
      <c r="M3" s="62"/>
    </row>
    <row r="4" spans="1:13" x14ac:dyDescent="0.2">
      <c r="L4" s="562" t="s">
        <v>304</v>
      </c>
      <c r="M4" s="62"/>
    </row>
    <row r="5" spans="1:13" x14ac:dyDescent="0.2">
      <c r="L5" s="562" t="s">
        <v>305</v>
      </c>
      <c r="M5" s="63"/>
    </row>
    <row r="6" spans="1:13" x14ac:dyDescent="0.2">
      <c r="L6" s="562"/>
      <c r="M6" s="61"/>
    </row>
    <row r="7" spans="1:13" x14ac:dyDescent="0.2">
      <c r="L7" s="562" t="s">
        <v>306</v>
      </c>
      <c r="M7" s="63"/>
    </row>
    <row r="9" spans="1:13" ht="18" x14ac:dyDescent="0.2">
      <c r="A9" s="1547" t="s">
        <v>870</v>
      </c>
      <c r="B9" s="1547"/>
      <c r="C9" s="1547"/>
      <c r="D9" s="1547"/>
      <c r="E9" s="1547"/>
      <c r="F9" s="1547"/>
      <c r="G9" s="1547"/>
      <c r="H9" s="1547"/>
    </row>
    <row r="10" spans="1:13" ht="18" x14ac:dyDescent="0.2">
      <c r="A10" s="1547" t="s">
        <v>80</v>
      </c>
      <c r="B10" s="1547"/>
      <c r="C10" s="1547"/>
      <c r="D10" s="1547"/>
      <c r="E10" s="1547"/>
      <c r="F10" s="1547"/>
      <c r="G10" s="1547"/>
      <c r="H10" s="1547"/>
    </row>
    <row r="12" spans="1:13" ht="13.5" thickBot="1" x14ac:dyDescent="0.25">
      <c r="I12" s="121"/>
      <c r="J12" s="121"/>
    </row>
    <row r="13" spans="1:13" ht="39" thickBot="1" x14ac:dyDescent="0.25">
      <c r="A13" s="683"/>
      <c r="B13" s="684" t="str">
        <f>"Last Rebasing Year (" &amp; RebaseYear &amp; " Board-Approved)"</f>
        <v>Last Rebasing Year (2012 Board-Approved)</v>
      </c>
      <c r="C13" s="684" t="str">
        <f>"Last Rebasing Year (" &amp; RebaseYear &amp; " Actuals)"</f>
        <v>Last Rebasing Year (2012 Actuals)</v>
      </c>
      <c r="D13" s="684" t="s">
        <v>1306</v>
      </c>
      <c r="E13" s="684" t="str">
        <f>BridgeYear -2 &amp; " Actuals"</f>
        <v>2014 Actuals</v>
      </c>
      <c r="F13" s="684" t="str">
        <f>BridgeYear -1 &amp; " Actuals"</f>
        <v>2015 Actuals</v>
      </c>
      <c r="G13" s="684" t="str">
        <f>BridgeYear &amp; " Bridge Year"</f>
        <v>2016 Bridge Year</v>
      </c>
      <c r="H13" s="685" t="str">
        <f>TestYear &amp; " Test Year"</f>
        <v>2017 Test Year</v>
      </c>
      <c r="I13" s="1890"/>
      <c r="J13" s="1890"/>
      <c r="K13" s="686"/>
      <c r="L13" s="686"/>
    </row>
    <row r="14" spans="1:13" ht="13.5" thickBot="1" x14ac:dyDescent="0.25">
      <c r="A14" s="687" t="s">
        <v>103</v>
      </c>
      <c r="B14" s="688" t="s">
        <v>104</v>
      </c>
      <c r="C14" s="688" t="s">
        <v>104</v>
      </c>
      <c r="D14" s="688" t="s">
        <v>104</v>
      </c>
      <c r="E14" s="688" t="s">
        <v>104</v>
      </c>
      <c r="F14" s="688" t="s">
        <v>105</v>
      </c>
      <c r="G14" s="688" t="s">
        <v>105</v>
      </c>
      <c r="H14" s="689" t="s">
        <v>105</v>
      </c>
      <c r="I14" s="1079"/>
      <c r="J14" s="1079"/>
      <c r="K14" s="686"/>
      <c r="L14" s="686"/>
    </row>
    <row r="15" spans="1:13" x14ac:dyDescent="0.2">
      <c r="A15" s="690" t="s">
        <v>114</v>
      </c>
      <c r="B15" s="691">
        <v>291000</v>
      </c>
      <c r="C15" s="691">
        <v>272543</v>
      </c>
      <c r="D15" s="691">
        <v>233391</v>
      </c>
      <c r="E15" s="691">
        <v>260055</v>
      </c>
      <c r="F15" s="691">
        <v>263090</v>
      </c>
      <c r="G15" s="691">
        <v>365280</v>
      </c>
      <c r="H15" s="692">
        <v>642274</v>
      </c>
      <c r="I15" s="693"/>
      <c r="J15" s="693"/>
      <c r="K15" s="686"/>
      <c r="L15" s="686"/>
    </row>
    <row r="16" spans="1:13" x14ac:dyDescent="0.2">
      <c r="A16" s="694" t="s">
        <v>115</v>
      </c>
      <c r="B16" s="695">
        <v>455000</v>
      </c>
      <c r="C16" s="695">
        <v>604288</v>
      </c>
      <c r="D16" s="695">
        <v>491922</v>
      </c>
      <c r="E16" s="695">
        <v>546411</v>
      </c>
      <c r="F16" s="695">
        <v>939207</v>
      </c>
      <c r="G16" s="695">
        <v>918809</v>
      </c>
      <c r="H16" s="696">
        <v>900026</v>
      </c>
      <c r="I16" s="693"/>
      <c r="J16" s="693"/>
      <c r="K16" s="686"/>
      <c r="L16" s="686"/>
    </row>
    <row r="17" spans="1:12" x14ac:dyDescent="0.2">
      <c r="A17" s="697" t="s">
        <v>428</v>
      </c>
      <c r="B17" s="698">
        <f>SUM(B15:B16)</f>
        <v>746000</v>
      </c>
      <c r="C17" s="698">
        <f t="shared" ref="C17:H17" si="0">SUM(C15:C16)</f>
        <v>876831</v>
      </c>
      <c r="D17" s="698">
        <f t="shared" si="0"/>
        <v>725313</v>
      </c>
      <c r="E17" s="698">
        <f>SUM(E15:E16)</f>
        <v>806466</v>
      </c>
      <c r="F17" s="698">
        <f t="shared" si="0"/>
        <v>1202297</v>
      </c>
      <c r="G17" s="698">
        <f t="shared" si="0"/>
        <v>1284089</v>
      </c>
      <c r="H17" s="699">
        <f t="shared" si="0"/>
        <v>1542300</v>
      </c>
      <c r="I17" s="700"/>
      <c r="J17" s="700"/>
      <c r="K17" s="686"/>
      <c r="L17" s="686"/>
    </row>
    <row r="18" spans="1:12" x14ac:dyDescent="0.2">
      <c r="A18" s="694" t="s">
        <v>429</v>
      </c>
      <c r="B18" s="701"/>
      <c r="C18" s="701"/>
      <c r="D18" s="701"/>
      <c r="E18" s="702">
        <f>IF(ISERROR((E17-C17)/C17), "", (E17-C17)/C17)</f>
        <v>-8.0249215641326546E-2</v>
      </c>
      <c r="F18" s="702">
        <f>IF(ISERROR((F17-E17)/E17), "", (F17-E17)/E17)</f>
        <v>0.49082168374116208</v>
      </c>
      <c r="G18" s="702">
        <f>IF(ISERROR((G17-F17)/F17), "", (G17-F17)/F17)</f>
        <v>6.8029779663427589E-2</v>
      </c>
      <c r="H18" s="703">
        <f>IF(ISERROR((H17-G17)/G17), "", (H17-G17)/G17)</f>
        <v>0.20108497152455942</v>
      </c>
      <c r="I18" s="704"/>
      <c r="J18" s="704"/>
      <c r="K18" s="686"/>
      <c r="L18" s="686"/>
    </row>
    <row r="19" spans="1:12" ht="24" x14ac:dyDescent="0.2">
      <c r="A19" s="694" t="s">
        <v>430</v>
      </c>
      <c r="B19" s="705"/>
      <c r="C19" s="706"/>
      <c r="D19" s="706"/>
      <c r="E19" s="706"/>
      <c r="F19" s="706"/>
      <c r="G19" s="707"/>
      <c r="H19" s="703">
        <f>IF(ISERROR((H17-C17)/C17), "", (H17-C17)/C17)</f>
        <v>0.75894784741871579</v>
      </c>
      <c r="I19" s="704"/>
      <c r="J19" s="704"/>
      <c r="K19" s="686"/>
      <c r="L19" s="686"/>
    </row>
    <row r="20" spans="1:12" x14ac:dyDescent="0.2">
      <c r="A20" s="694" t="s">
        <v>100</v>
      </c>
      <c r="B20" s="695">
        <v>775064</v>
      </c>
      <c r="C20" s="695">
        <v>564380</v>
      </c>
      <c r="D20" s="695">
        <v>582646</v>
      </c>
      <c r="E20" s="695">
        <v>587255</v>
      </c>
      <c r="F20" s="695">
        <v>527861</v>
      </c>
      <c r="G20" s="695">
        <v>554193</v>
      </c>
      <c r="H20" s="696">
        <v>598394</v>
      </c>
      <c r="I20" s="693"/>
      <c r="J20" s="693"/>
      <c r="K20" s="686"/>
      <c r="L20" s="686"/>
    </row>
    <row r="21" spans="1:12" x14ac:dyDescent="0.2">
      <c r="A21" s="694" t="s">
        <v>116</v>
      </c>
      <c r="B21" s="695">
        <v>10000</v>
      </c>
      <c r="C21" s="695">
        <v>20659</v>
      </c>
      <c r="D21" s="695">
        <v>10391</v>
      </c>
      <c r="E21" s="695">
        <v>5499</v>
      </c>
      <c r="F21" s="695">
        <v>-12807</v>
      </c>
      <c r="G21" s="695">
        <v>-3654</v>
      </c>
      <c r="H21" s="696">
        <v>11822</v>
      </c>
      <c r="I21" s="693"/>
      <c r="J21" s="693"/>
      <c r="K21" s="686"/>
      <c r="L21" s="686"/>
    </row>
    <row r="22" spans="1:12" x14ac:dyDescent="0.2">
      <c r="A22" s="694" t="s">
        <v>168</v>
      </c>
      <c r="B22" s="695">
        <v>917946</v>
      </c>
      <c r="C22" s="695">
        <v>724931</v>
      </c>
      <c r="D22" s="695">
        <v>836495</v>
      </c>
      <c r="E22" s="695">
        <v>823367</v>
      </c>
      <c r="F22" s="695">
        <v>876245</v>
      </c>
      <c r="G22" s="695">
        <v>1126226</v>
      </c>
      <c r="H22" s="696">
        <v>1356881</v>
      </c>
      <c r="I22" s="693"/>
      <c r="J22" s="693"/>
      <c r="K22" s="686"/>
      <c r="L22" s="686"/>
    </row>
    <row r="23" spans="1:12" x14ac:dyDescent="0.2">
      <c r="A23" s="697" t="s">
        <v>428</v>
      </c>
      <c r="B23" s="698">
        <f>SUM(B20:B22)</f>
        <v>1703010</v>
      </c>
      <c r="C23" s="698">
        <f t="shared" ref="C23:H23" si="1">SUM(C20:C22)</f>
        <v>1309970</v>
      </c>
      <c r="D23" s="698">
        <f t="shared" si="1"/>
        <v>1429532</v>
      </c>
      <c r="E23" s="698">
        <f>SUM(E20:E22)</f>
        <v>1416121</v>
      </c>
      <c r="F23" s="698">
        <f>SUM(F20:F22)</f>
        <v>1391299</v>
      </c>
      <c r="G23" s="698">
        <f t="shared" si="1"/>
        <v>1676765</v>
      </c>
      <c r="H23" s="699">
        <f t="shared" si="1"/>
        <v>1967097</v>
      </c>
      <c r="I23" s="700"/>
      <c r="J23" s="700"/>
      <c r="K23" s="686"/>
      <c r="L23" s="686"/>
    </row>
    <row r="24" spans="1:12" x14ac:dyDescent="0.2">
      <c r="A24" s="694" t="s">
        <v>429</v>
      </c>
      <c r="B24" s="701"/>
      <c r="C24" s="701"/>
      <c r="D24" s="701"/>
      <c r="E24" s="702">
        <f>IF(ISERROR((E23-C23)/C23), "", (E23-C23)/C23)</f>
        <v>8.1033153430994598E-2</v>
      </c>
      <c r="F24" s="702">
        <f>IF(ISERROR((F23-E23)/E23), "", (F23-E23)/E23)</f>
        <v>-1.7528163200743439E-2</v>
      </c>
      <c r="G24" s="702">
        <f>IF(ISERROR((G23-F23)/F23), "", (G23-F23)/F23)</f>
        <v>0.20517947615861148</v>
      </c>
      <c r="H24" s="703">
        <f>IF(ISERROR((H23-G23)/G23), "", (H23-G23)/G23)</f>
        <v>0.1731500836432058</v>
      </c>
      <c r="I24" s="704"/>
      <c r="J24" s="704"/>
      <c r="K24" s="686"/>
      <c r="L24" s="686"/>
    </row>
    <row r="25" spans="1:12" ht="24" x14ac:dyDescent="0.2">
      <c r="A25" s="694" t="s">
        <v>430</v>
      </c>
      <c r="B25" s="705"/>
      <c r="C25" s="706"/>
      <c r="D25" s="706"/>
      <c r="E25" s="706"/>
      <c r="F25" s="706"/>
      <c r="G25" s="707"/>
      <c r="H25" s="703">
        <f>IF(ISERROR((H23-C23)/C23), "", (H23-C23)/C23)</f>
        <v>0.50163515195004471</v>
      </c>
      <c r="I25" s="704"/>
      <c r="J25" s="704"/>
      <c r="K25" s="686"/>
      <c r="L25" s="686"/>
    </row>
    <row r="26" spans="1:12" x14ac:dyDescent="0.2">
      <c r="A26" s="697" t="s">
        <v>295</v>
      </c>
      <c r="B26" s="698">
        <f>SUM(B23,B17)</f>
        <v>2449010</v>
      </c>
      <c r="C26" s="698">
        <f t="shared" ref="C26:H26" si="2">SUM(C23,C17)</f>
        <v>2186801</v>
      </c>
      <c r="D26" s="698">
        <f t="shared" si="2"/>
        <v>2154845</v>
      </c>
      <c r="E26" s="698">
        <f t="shared" si="2"/>
        <v>2222587</v>
      </c>
      <c r="F26" s="698">
        <f t="shared" si="2"/>
        <v>2593596</v>
      </c>
      <c r="G26" s="698">
        <f t="shared" si="2"/>
        <v>2960854</v>
      </c>
      <c r="H26" s="699">
        <f t="shared" si="2"/>
        <v>3509397</v>
      </c>
      <c r="I26" s="700"/>
      <c r="J26" s="700"/>
      <c r="K26" s="686"/>
      <c r="L26" s="686"/>
    </row>
    <row r="27" spans="1:12" ht="13.5" thickBot="1" x14ac:dyDescent="0.25">
      <c r="A27" s="708" t="s">
        <v>429</v>
      </c>
      <c r="B27" s="709"/>
      <c r="C27" s="710"/>
      <c r="D27" s="710"/>
      <c r="E27" s="711">
        <f>IF(ISERROR((E26-C26)/C26), "", (E26-C26)/C26)</f>
        <v>1.6364543458686914E-2</v>
      </c>
      <c r="F27" s="711">
        <f>IF(ISERROR((F26-E26)/E26), "", (F26-E26)/E26)</f>
        <v>0.16692664899056819</v>
      </c>
      <c r="G27" s="711">
        <f>IF(ISERROR((G26-F26)/F26), "", (G26-F26)/F26)</f>
        <v>0.14160185317990928</v>
      </c>
      <c r="H27" s="712">
        <f>IF(ISERROR((H26-G26)/G26), "", (H26-G26)/G26)</f>
        <v>0.18526512958761221</v>
      </c>
      <c r="I27" s="704"/>
      <c r="J27" s="704"/>
      <c r="K27" s="686"/>
      <c r="L27" s="686"/>
    </row>
    <row r="28" spans="1:12" x14ac:dyDescent="0.2">
      <c r="A28" s="58"/>
      <c r="B28" s="713"/>
      <c r="C28" s="713"/>
      <c r="D28" s="713"/>
      <c r="E28" s="714"/>
      <c r="F28" s="714"/>
      <c r="G28" s="714"/>
      <c r="H28" s="713"/>
      <c r="I28" s="715"/>
      <c r="J28" s="715"/>
      <c r="K28" s="686"/>
      <c r="L28" s="686"/>
    </row>
    <row r="29" spans="1:12" ht="13.5" thickBot="1" x14ac:dyDescent="0.25">
      <c r="A29" s="58"/>
      <c r="B29" s="58"/>
      <c r="C29" s="58"/>
      <c r="D29" s="58"/>
      <c r="E29" s="58"/>
      <c r="F29" s="58"/>
      <c r="G29" s="58"/>
      <c r="H29" s="58"/>
      <c r="I29" s="686"/>
      <c r="J29" s="686"/>
      <c r="K29" s="686"/>
      <c r="L29" s="686"/>
    </row>
    <row r="30" spans="1:12" ht="36" x14ac:dyDescent="0.2">
      <c r="A30" s="716"/>
      <c r="B30" s="717" t="str">
        <f>B13</f>
        <v>Last Rebasing Year (2012 Board-Approved)</v>
      </c>
      <c r="C30" s="717" t="str">
        <f t="shared" ref="C30:H30" si="3">C13</f>
        <v>Last Rebasing Year (2012 Actuals)</v>
      </c>
      <c r="D30" s="717"/>
      <c r="E30" s="717" t="str">
        <f t="shared" si="3"/>
        <v>2014 Actuals</v>
      </c>
      <c r="F30" s="717" t="str">
        <f t="shared" si="3"/>
        <v>2015 Actuals</v>
      </c>
      <c r="G30" s="717" t="str">
        <f t="shared" si="3"/>
        <v>2016 Bridge Year</v>
      </c>
      <c r="H30" s="718" t="str">
        <f t="shared" si="3"/>
        <v>2017 Test Year</v>
      </c>
      <c r="I30" s="686"/>
      <c r="J30" s="686"/>
      <c r="K30" s="686"/>
      <c r="L30" s="686"/>
    </row>
    <row r="31" spans="1:12" x14ac:dyDescent="0.2">
      <c r="A31" s="694" t="s">
        <v>114</v>
      </c>
      <c r="B31" s="719">
        <f>B15</f>
        <v>291000</v>
      </c>
      <c r="C31" s="719">
        <f t="shared" ref="C31:H31" si="4">C15</f>
        <v>272543</v>
      </c>
      <c r="D31" s="719"/>
      <c r="E31" s="719">
        <f t="shared" si="4"/>
        <v>260055</v>
      </c>
      <c r="F31" s="719">
        <f t="shared" si="4"/>
        <v>263090</v>
      </c>
      <c r="G31" s="719">
        <f t="shared" si="4"/>
        <v>365280</v>
      </c>
      <c r="H31" s="720">
        <f t="shared" si="4"/>
        <v>642274</v>
      </c>
      <c r="I31" s="686"/>
      <c r="J31" s="686"/>
      <c r="K31" s="686"/>
      <c r="L31" s="686"/>
    </row>
    <row r="32" spans="1:12" x14ac:dyDescent="0.2">
      <c r="A32" s="694" t="s">
        <v>115</v>
      </c>
      <c r="B32" s="719">
        <f>B16</f>
        <v>455000</v>
      </c>
      <c r="C32" s="719">
        <f t="shared" ref="C32:H32" si="5">C16</f>
        <v>604288</v>
      </c>
      <c r="D32" s="719"/>
      <c r="E32" s="719">
        <f t="shared" si="5"/>
        <v>546411</v>
      </c>
      <c r="F32" s="719">
        <f t="shared" si="5"/>
        <v>939207</v>
      </c>
      <c r="G32" s="719">
        <f t="shared" si="5"/>
        <v>918809</v>
      </c>
      <c r="H32" s="720">
        <f t="shared" si="5"/>
        <v>900026</v>
      </c>
      <c r="I32" s="686"/>
      <c r="J32" s="686"/>
      <c r="K32" s="686"/>
      <c r="L32" s="686"/>
    </row>
    <row r="33" spans="1:13" x14ac:dyDescent="0.2">
      <c r="A33" s="694" t="s">
        <v>100</v>
      </c>
      <c r="B33" s="719">
        <f>B20</f>
        <v>775064</v>
      </c>
      <c r="C33" s="719">
        <f t="shared" ref="C33:H33" si="6">C20</f>
        <v>564380</v>
      </c>
      <c r="D33" s="719"/>
      <c r="E33" s="719">
        <f t="shared" si="6"/>
        <v>587255</v>
      </c>
      <c r="F33" s="719">
        <f t="shared" si="6"/>
        <v>527861</v>
      </c>
      <c r="G33" s="719">
        <f t="shared" si="6"/>
        <v>554193</v>
      </c>
      <c r="H33" s="720">
        <f t="shared" si="6"/>
        <v>598394</v>
      </c>
      <c r="I33" s="686"/>
      <c r="J33" s="686"/>
      <c r="K33" s="686"/>
      <c r="L33" s="686"/>
    </row>
    <row r="34" spans="1:13" x14ac:dyDescent="0.2">
      <c r="A34" s="694" t="s">
        <v>116</v>
      </c>
      <c r="B34" s="719">
        <f>B21</f>
        <v>10000</v>
      </c>
      <c r="C34" s="719">
        <f t="shared" ref="C34:H34" si="7">C21</f>
        <v>20659</v>
      </c>
      <c r="D34" s="719"/>
      <c r="E34" s="719">
        <f t="shared" si="7"/>
        <v>5499</v>
      </c>
      <c r="F34" s="719">
        <f t="shared" si="7"/>
        <v>-12807</v>
      </c>
      <c r="G34" s="719">
        <f t="shared" si="7"/>
        <v>-3654</v>
      </c>
      <c r="H34" s="720">
        <f t="shared" si="7"/>
        <v>11822</v>
      </c>
      <c r="I34" s="686"/>
      <c r="J34" s="686"/>
      <c r="K34" s="686"/>
      <c r="L34" s="686"/>
    </row>
    <row r="35" spans="1:13" x14ac:dyDescent="0.2">
      <c r="A35" s="694" t="s">
        <v>168</v>
      </c>
      <c r="B35" s="719">
        <f>B22</f>
        <v>917946</v>
      </c>
      <c r="C35" s="719">
        <f t="shared" ref="C35:H35" si="8">C22</f>
        <v>724931</v>
      </c>
      <c r="D35" s="719"/>
      <c r="E35" s="719">
        <f t="shared" si="8"/>
        <v>823367</v>
      </c>
      <c r="F35" s="719">
        <f t="shared" si="8"/>
        <v>876245</v>
      </c>
      <c r="G35" s="719">
        <f t="shared" si="8"/>
        <v>1126226</v>
      </c>
      <c r="H35" s="720">
        <f t="shared" si="8"/>
        <v>1356881</v>
      </c>
      <c r="I35" s="686"/>
      <c r="J35" s="686"/>
      <c r="K35" s="686"/>
      <c r="L35" s="686"/>
    </row>
    <row r="36" spans="1:13" x14ac:dyDescent="0.2">
      <c r="A36" s="697" t="s">
        <v>295</v>
      </c>
      <c r="B36" s="698">
        <f>SUM(B31:B35)</f>
        <v>2449010</v>
      </c>
      <c r="C36" s="698">
        <f t="shared" ref="C36:H36" si="9">SUM(C31:C35)</f>
        <v>2186801</v>
      </c>
      <c r="D36" s="698"/>
      <c r="E36" s="698">
        <f t="shared" si="9"/>
        <v>2222587</v>
      </c>
      <c r="F36" s="698">
        <f t="shared" si="9"/>
        <v>2593596</v>
      </c>
      <c r="G36" s="698">
        <f t="shared" si="9"/>
        <v>2960854</v>
      </c>
      <c r="H36" s="699">
        <f t="shared" si="9"/>
        <v>3509397</v>
      </c>
      <c r="I36" s="686"/>
      <c r="J36" s="686"/>
      <c r="K36" s="686"/>
      <c r="L36" s="686"/>
    </row>
    <row r="37" spans="1:13" ht="13.5" thickBot="1" x14ac:dyDescent="0.25">
      <c r="A37" s="708" t="s">
        <v>429</v>
      </c>
      <c r="B37" s="709"/>
      <c r="C37" s="710"/>
      <c r="D37" s="710"/>
      <c r="E37" s="711">
        <f>IF(ISERROR((E36-C36)/C36), "", (E36-C36)/C36)</f>
        <v>1.6364543458686914E-2</v>
      </c>
      <c r="F37" s="711">
        <f>IF(ISERROR((F36-E36)/E36), "", (F36-E36)/E36)</f>
        <v>0.16692664899056819</v>
      </c>
      <c r="G37" s="711">
        <f>IF(ISERROR((G36-F36)/F36), "", (G36-F36)/F36)</f>
        <v>0.14160185317990928</v>
      </c>
      <c r="H37" s="712">
        <f>IF(ISERROR((H36-G36)/G36), "", (H36-G36)/G36)</f>
        <v>0.18526512958761221</v>
      </c>
      <c r="I37" s="686"/>
      <c r="J37" s="686"/>
      <c r="K37" s="686"/>
      <c r="L37" s="686"/>
    </row>
    <row r="38" spans="1:13" x14ac:dyDescent="0.2">
      <c r="A38" s="686"/>
      <c r="B38" s="686"/>
      <c r="C38" s="686"/>
      <c r="D38" s="686"/>
      <c r="E38" s="686"/>
      <c r="F38" s="686"/>
      <c r="G38" s="686"/>
      <c r="H38" s="686"/>
      <c r="I38" s="686"/>
      <c r="J38" s="686"/>
      <c r="K38" s="686"/>
      <c r="L38" s="686"/>
    </row>
    <row r="39" spans="1:13" ht="13.5" thickBot="1" x14ac:dyDescent="0.25">
      <c r="A39" s="686"/>
      <c r="B39" s="686"/>
      <c r="C39" s="686"/>
      <c r="D39" s="686"/>
      <c r="E39" s="686"/>
      <c r="F39" s="686"/>
      <c r="G39" s="686"/>
      <c r="H39" s="686"/>
      <c r="I39" s="686"/>
      <c r="J39" s="686"/>
      <c r="K39" s="686"/>
      <c r="L39" s="686"/>
    </row>
    <row r="40" spans="1:13" ht="48.75" thickBot="1" x14ac:dyDescent="0.25">
      <c r="A40" s="721"/>
      <c r="B40" s="722" t="str">
        <f>B13</f>
        <v>Last Rebasing Year (2012 Board-Approved)</v>
      </c>
      <c r="C40" s="722" t="str">
        <f>C13</f>
        <v>Last Rebasing Year (2012 Actuals)</v>
      </c>
      <c r="D40" s="722"/>
      <c r="E40" s="722" t="str">
        <f>"Variance " &amp; 'LDC Info'!E28 &amp; "  BA – " &amp; 'LDC Info'!E28 &amp; " Actuals"</f>
        <v>Variance 2012  BA – 2012 Actuals</v>
      </c>
      <c r="F40" s="722" t="str">
        <f>E13</f>
        <v>2014 Actuals</v>
      </c>
      <c r="G40" s="722" t="str">
        <f>"Variance " &amp; 'LDC Info'!E26 -2 &amp; " Actuals vs. " &amp;  'LDC Info'!E28 &amp; " Actuals"</f>
        <v>Variance 2014 Actuals vs. 2012 Actuals</v>
      </c>
      <c r="H40" s="722" t="str">
        <f>F13</f>
        <v>2015 Actuals</v>
      </c>
      <c r="I40" s="722" t="str">
        <f>"Variance " &amp; 'LDC Info'!E26 -1 &amp; " Actuals vs. " &amp;  'LDC Info'!E26-2 &amp; " Actuals"</f>
        <v>Variance 2015 Actuals vs. 2014 Actuals</v>
      </c>
      <c r="J40" s="722" t="str">
        <f>G13</f>
        <v>2016 Bridge Year</v>
      </c>
      <c r="K40" s="722" t="str">
        <f>"Variance " &amp; 'LDC Info'!E26 &amp; " Bridge vs. " &amp; 'LDC Info'!E26 -1 &amp; " Actuals"</f>
        <v>Variance 2016 Bridge vs. 2015 Actuals</v>
      </c>
      <c r="L40" s="722" t="str">
        <f>H13</f>
        <v>2017 Test Year</v>
      </c>
      <c r="M40" s="723" t="str">
        <f>"Variance " &amp; TestYear &amp; " Test vs. " &amp; BridgeYear &amp; " Bridge"</f>
        <v>Variance 2017 Test vs. 2016 Bridge</v>
      </c>
    </row>
    <row r="41" spans="1:13" x14ac:dyDescent="0.2">
      <c r="A41" s="724" t="s">
        <v>114</v>
      </c>
      <c r="B41" s="725">
        <f>B15</f>
        <v>291000</v>
      </c>
      <c r="C41" s="725">
        <f>C15</f>
        <v>272543</v>
      </c>
      <c r="D41" s="725"/>
      <c r="E41" s="726">
        <f>B41-C41</f>
        <v>18457</v>
      </c>
      <c r="F41" s="726">
        <f>E15</f>
        <v>260055</v>
      </c>
      <c r="G41" s="726">
        <f>F41-C41</f>
        <v>-12488</v>
      </c>
      <c r="H41" s="726">
        <f>F15</f>
        <v>263090</v>
      </c>
      <c r="I41" s="726">
        <f>H41-F41</f>
        <v>3035</v>
      </c>
      <c r="J41" s="726">
        <f>G15</f>
        <v>365280</v>
      </c>
      <c r="K41" s="726">
        <f>J41-H41</f>
        <v>102190</v>
      </c>
      <c r="L41" s="726">
        <f>H15</f>
        <v>642274</v>
      </c>
      <c r="M41" s="727">
        <f>L41-J41</f>
        <v>276994</v>
      </c>
    </row>
    <row r="42" spans="1:13" x14ac:dyDescent="0.2">
      <c r="A42" s="728" t="s">
        <v>431</v>
      </c>
      <c r="B42" s="719">
        <f>B16</f>
        <v>455000</v>
      </c>
      <c r="C42" s="719">
        <f>C16</f>
        <v>604288</v>
      </c>
      <c r="D42" s="719"/>
      <c r="E42" s="729">
        <f>B42-C42</f>
        <v>-149288</v>
      </c>
      <c r="F42" s="729">
        <f>E16</f>
        <v>546411</v>
      </c>
      <c r="G42" s="729">
        <f>F42-C42</f>
        <v>-57877</v>
      </c>
      <c r="H42" s="729">
        <f>F16</f>
        <v>939207</v>
      </c>
      <c r="I42" s="729">
        <f t="shared" ref="I42:M45" si="10">H42-F42</f>
        <v>392796</v>
      </c>
      <c r="J42" s="729">
        <f>G16</f>
        <v>918809</v>
      </c>
      <c r="K42" s="729">
        <f t="shared" si="10"/>
        <v>-20398</v>
      </c>
      <c r="L42" s="729">
        <f>H16</f>
        <v>900026</v>
      </c>
      <c r="M42" s="730">
        <f t="shared" si="10"/>
        <v>-18783</v>
      </c>
    </row>
    <row r="43" spans="1:13" x14ac:dyDescent="0.2">
      <c r="A43" s="728" t="s">
        <v>432</v>
      </c>
      <c r="B43" s="719">
        <f t="shared" ref="B43:C45" si="11">B20</f>
        <v>775064</v>
      </c>
      <c r="C43" s="719">
        <f t="shared" si="11"/>
        <v>564380</v>
      </c>
      <c r="D43" s="719"/>
      <c r="E43" s="729">
        <f>B43-C43</f>
        <v>210684</v>
      </c>
      <c r="F43" s="729">
        <f>E20</f>
        <v>587255</v>
      </c>
      <c r="G43" s="729">
        <f>F43-C43</f>
        <v>22875</v>
      </c>
      <c r="H43" s="729">
        <f>F20</f>
        <v>527861</v>
      </c>
      <c r="I43" s="729">
        <f t="shared" si="10"/>
        <v>-59394</v>
      </c>
      <c r="J43" s="729">
        <f>G20</f>
        <v>554193</v>
      </c>
      <c r="K43" s="729">
        <f t="shared" si="10"/>
        <v>26332</v>
      </c>
      <c r="L43" s="729">
        <f>H20</f>
        <v>598394</v>
      </c>
      <c r="M43" s="730">
        <f t="shared" si="10"/>
        <v>44201</v>
      </c>
    </row>
    <row r="44" spans="1:13" x14ac:dyDescent="0.2">
      <c r="A44" s="728" t="s">
        <v>433</v>
      </c>
      <c r="B44" s="719">
        <f t="shared" si="11"/>
        <v>10000</v>
      </c>
      <c r="C44" s="719">
        <f t="shared" si="11"/>
        <v>20659</v>
      </c>
      <c r="D44" s="719"/>
      <c r="E44" s="729">
        <f>B44-C44</f>
        <v>-10659</v>
      </c>
      <c r="F44" s="729">
        <f>E21</f>
        <v>5499</v>
      </c>
      <c r="G44" s="729">
        <f>F44-C44</f>
        <v>-15160</v>
      </c>
      <c r="H44" s="729">
        <f>F21</f>
        <v>-12807</v>
      </c>
      <c r="I44" s="729">
        <f t="shared" si="10"/>
        <v>-18306</v>
      </c>
      <c r="J44" s="729">
        <f>G21</f>
        <v>-3654</v>
      </c>
      <c r="K44" s="729">
        <f t="shared" si="10"/>
        <v>9153</v>
      </c>
      <c r="L44" s="729">
        <f>H21</f>
        <v>11822</v>
      </c>
      <c r="M44" s="730">
        <f t="shared" si="10"/>
        <v>15476</v>
      </c>
    </row>
    <row r="45" spans="1:13" x14ac:dyDescent="0.2">
      <c r="A45" s="728" t="s">
        <v>434</v>
      </c>
      <c r="B45" s="719">
        <f t="shared" si="11"/>
        <v>917946</v>
      </c>
      <c r="C45" s="719">
        <f t="shared" si="11"/>
        <v>724931</v>
      </c>
      <c r="D45" s="719"/>
      <c r="E45" s="729">
        <f>B45-C45</f>
        <v>193015</v>
      </c>
      <c r="F45" s="729">
        <f>E22</f>
        <v>823367</v>
      </c>
      <c r="G45" s="729">
        <f>F45-C45</f>
        <v>98436</v>
      </c>
      <c r="H45" s="729">
        <f>F22</f>
        <v>876245</v>
      </c>
      <c r="I45" s="729">
        <f t="shared" si="10"/>
        <v>52878</v>
      </c>
      <c r="J45" s="729">
        <f>G22</f>
        <v>1126226</v>
      </c>
      <c r="K45" s="729">
        <f t="shared" si="10"/>
        <v>249981</v>
      </c>
      <c r="L45" s="729">
        <f>H22</f>
        <v>1356881</v>
      </c>
      <c r="M45" s="730">
        <f t="shared" si="10"/>
        <v>230655</v>
      </c>
    </row>
    <row r="46" spans="1:13" x14ac:dyDescent="0.2">
      <c r="A46" s="728" t="s">
        <v>633</v>
      </c>
      <c r="B46" s="729">
        <f>SUM(B41:B45)</f>
        <v>2449010</v>
      </c>
      <c r="C46" s="729">
        <f t="shared" ref="C46:M46" si="12">SUM(C41:C45)</f>
        <v>2186801</v>
      </c>
      <c r="D46" s="729"/>
      <c r="E46" s="729">
        <f t="shared" si="12"/>
        <v>262209</v>
      </c>
      <c r="F46" s="729">
        <f t="shared" si="12"/>
        <v>2222587</v>
      </c>
      <c r="G46" s="729">
        <f t="shared" si="12"/>
        <v>35786</v>
      </c>
      <c r="H46" s="729">
        <f t="shared" si="12"/>
        <v>2593596</v>
      </c>
      <c r="I46" s="729">
        <f t="shared" si="12"/>
        <v>371009</v>
      </c>
      <c r="J46" s="729">
        <f t="shared" si="12"/>
        <v>2960854</v>
      </c>
      <c r="K46" s="729">
        <f t="shared" si="12"/>
        <v>367258</v>
      </c>
      <c r="L46" s="729">
        <f t="shared" si="12"/>
        <v>3509397</v>
      </c>
      <c r="M46" s="730">
        <f t="shared" si="12"/>
        <v>548543</v>
      </c>
    </row>
    <row r="47" spans="1:13" ht="36" x14ac:dyDescent="0.2">
      <c r="A47" s="728" t="s">
        <v>632</v>
      </c>
      <c r="B47" s="729"/>
      <c r="C47" s="729"/>
      <c r="D47" s="729"/>
      <c r="E47" s="729"/>
      <c r="F47" s="729"/>
      <c r="G47" s="729"/>
      <c r="H47" s="729"/>
      <c r="I47" s="729"/>
      <c r="J47" s="729"/>
      <c r="K47" s="729"/>
      <c r="L47" s="729"/>
      <c r="M47" s="729"/>
    </row>
    <row r="48" spans="1:13" ht="24" x14ac:dyDescent="0.2">
      <c r="A48" s="728" t="s">
        <v>598</v>
      </c>
      <c r="B48" s="729">
        <f>B46-B47</f>
        <v>2449010</v>
      </c>
      <c r="C48" s="729">
        <f t="shared" ref="C48:M48" si="13">C46-C47</f>
        <v>2186801</v>
      </c>
      <c r="D48" s="729"/>
      <c r="E48" s="729">
        <f t="shared" si="13"/>
        <v>262209</v>
      </c>
      <c r="F48" s="729">
        <f t="shared" si="13"/>
        <v>2222587</v>
      </c>
      <c r="G48" s="729">
        <f t="shared" si="13"/>
        <v>35786</v>
      </c>
      <c r="H48" s="729">
        <f t="shared" si="13"/>
        <v>2593596</v>
      </c>
      <c r="I48" s="729">
        <f t="shared" si="13"/>
        <v>371009</v>
      </c>
      <c r="J48" s="729">
        <f t="shared" si="13"/>
        <v>2960854</v>
      </c>
      <c r="K48" s="729">
        <f t="shared" si="13"/>
        <v>367258</v>
      </c>
      <c r="L48" s="729">
        <f t="shared" si="13"/>
        <v>3509397</v>
      </c>
      <c r="M48" s="729">
        <f t="shared" si="13"/>
        <v>548543</v>
      </c>
    </row>
    <row r="49" spans="1:13" x14ac:dyDescent="0.2">
      <c r="A49" s="728" t="s">
        <v>435</v>
      </c>
      <c r="B49" s="731"/>
      <c r="C49" s="732"/>
      <c r="D49" s="732"/>
      <c r="E49" s="732"/>
      <c r="F49" s="729">
        <f>F48-C48</f>
        <v>35786</v>
      </c>
      <c r="G49" s="733"/>
      <c r="H49" s="729">
        <f>H48-F48</f>
        <v>371009</v>
      </c>
      <c r="I49" s="734"/>
      <c r="J49" s="729">
        <f>J48-H48</f>
        <v>367258</v>
      </c>
      <c r="K49" s="735"/>
      <c r="L49" s="729">
        <f>L48-J48</f>
        <v>548543</v>
      </c>
      <c r="M49" s="736"/>
    </row>
    <row r="50" spans="1:13" x14ac:dyDescent="0.2">
      <c r="A50" s="728" t="s">
        <v>436</v>
      </c>
      <c r="B50" s="737"/>
      <c r="C50" s="738"/>
      <c r="D50" s="738"/>
      <c r="E50" s="738"/>
      <c r="F50" s="739">
        <f>IF(ISERROR(F49/C48), "", F49/C48)</f>
        <v>1.6364543458686914E-2</v>
      </c>
      <c r="G50" s="740"/>
      <c r="H50" s="739">
        <f>IF(ISERROR(H49/F48), "", H49/F48)</f>
        <v>0.16692664899056819</v>
      </c>
      <c r="I50" s="741"/>
      <c r="J50" s="739">
        <f>IF(ISERROR(J49/H48), "", J49/H48)</f>
        <v>0.14160185317990928</v>
      </c>
      <c r="K50" s="742"/>
      <c r="L50" s="739">
        <f>IF(ISERROR(L49/J48), "", L49/J48)</f>
        <v>0.18526512958761221</v>
      </c>
      <c r="M50" s="743"/>
    </row>
    <row r="51" spans="1:13" ht="24" x14ac:dyDescent="0.2">
      <c r="A51" s="728" t="s">
        <v>437</v>
      </c>
      <c r="B51" s="744"/>
      <c r="C51" s="745"/>
      <c r="D51" s="745"/>
      <c r="E51" s="745"/>
      <c r="F51" s="746"/>
      <c r="G51" s="747"/>
      <c r="H51" s="748">
        <f>IF(ISERROR((L48-H48)/H48), "", (L48-H48)/H48)</f>
        <v>0.35310086844674343</v>
      </c>
      <c r="I51" s="749"/>
      <c r="J51" s="746"/>
      <c r="K51" s="750"/>
      <c r="L51" s="746"/>
      <c r="M51" s="751"/>
    </row>
    <row r="52" spans="1:13" ht="24" x14ac:dyDescent="0.2">
      <c r="A52" s="728" t="s">
        <v>169</v>
      </c>
      <c r="B52" s="744"/>
      <c r="C52" s="745"/>
      <c r="D52" s="745"/>
      <c r="E52" s="745"/>
      <c r="F52" s="750"/>
      <c r="G52" s="750"/>
      <c r="H52" s="752">
        <f>IF(ISERROR((L46-C46)/C46), "", (L46-C46)/C46)</f>
        <v>0.60480857654628839</v>
      </c>
      <c r="I52" s="750"/>
      <c r="J52" s="750"/>
      <c r="K52" s="750"/>
      <c r="L52" s="750"/>
      <c r="M52" s="753">
        <f>IF(ISERROR(AVERAGE(F50,H50,J50,L50)), "", AVERAGE(F50,H50,J50,L50))</f>
        <v>0.12753954380419413</v>
      </c>
    </row>
    <row r="53" spans="1:13" ht="24" x14ac:dyDescent="0.2">
      <c r="A53" s="728" t="s">
        <v>455</v>
      </c>
      <c r="B53" s="744"/>
      <c r="C53" s="745"/>
      <c r="D53" s="745"/>
      <c r="E53" s="745"/>
      <c r="F53" s="750"/>
      <c r="G53" s="750"/>
      <c r="H53" s="752" t="str">
        <f>IF(ISERROR((L49-C49)/C49), "", (L49-C49)/C49)</f>
        <v/>
      </c>
      <c r="I53" s="750"/>
      <c r="J53" s="750"/>
      <c r="K53" s="750"/>
      <c r="L53" s="750"/>
      <c r="M53" s="754">
        <f>IF((L48-C48)=0, "", (L48/C48)^(1/5)-1)</f>
        <v>9.9220064999722579E-2</v>
      </c>
    </row>
    <row r="54" spans="1:13" ht="24.75" thickBot="1" x14ac:dyDescent="0.25">
      <c r="A54" s="755" t="str">
        <f>"Compound Growth Rate                                                            (" &amp; F13 &amp; " vs. " &amp; 'LDC Info'!E28 &amp; " Actuals)"</f>
        <v>Compound Growth Rate                                                            (2015 Actuals vs. 2012 Actuals)</v>
      </c>
      <c r="B54" s="756"/>
      <c r="C54" s="757"/>
      <c r="D54" s="757"/>
      <c r="E54" s="757"/>
      <c r="F54" s="758"/>
      <c r="G54" s="759"/>
      <c r="H54" s="760">
        <f>IF(ISERROR((H48/C48)^(1/(3)) - 1), "", (H48/C48)^(1/(3)) - 1)</f>
        <v>5.8516636093288277E-2</v>
      </c>
      <c r="I54" s="761"/>
      <c r="J54" s="758"/>
      <c r="K54" s="758"/>
      <c r="L54" s="758"/>
      <c r="M54" s="762"/>
    </row>
    <row r="55" spans="1:13" x14ac:dyDescent="0.2">
      <c r="A55" s="686"/>
      <c r="B55" s="686"/>
      <c r="C55" s="686"/>
      <c r="D55" s="686"/>
      <c r="E55" s="686"/>
      <c r="F55" s="686"/>
      <c r="G55" s="686"/>
      <c r="H55" s="686"/>
      <c r="I55" s="686"/>
      <c r="J55" s="686"/>
      <c r="K55" s="686"/>
      <c r="L55" s="686"/>
    </row>
    <row r="56" spans="1:13" x14ac:dyDescent="0.2">
      <c r="A56" s="763" t="s">
        <v>117</v>
      </c>
      <c r="B56" s="686"/>
      <c r="C56" s="686"/>
      <c r="D56" s="686"/>
      <c r="E56" s="686"/>
      <c r="F56" s="686"/>
      <c r="G56" s="686"/>
      <c r="H56" s="686"/>
      <c r="I56" s="686"/>
      <c r="J56" s="686"/>
      <c r="K56" s="686"/>
      <c r="L56" s="686"/>
    </row>
    <row r="57" spans="1:13" x14ac:dyDescent="0.2">
      <c r="A57" s="763"/>
      <c r="B57" s="686"/>
      <c r="C57" s="686"/>
      <c r="D57" s="686"/>
      <c r="E57" s="686"/>
      <c r="F57" s="686"/>
      <c r="G57" s="686"/>
      <c r="H57" s="686"/>
      <c r="I57" s="686"/>
      <c r="J57" s="686"/>
      <c r="K57" s="686"/>
      <c r="L57" s="686"/>
    </row>
    <row r="58" spans="1:13" x14ac:dyDescent="0.2">
      <c r="A58" s="764" t="s">
        <v>438</v>
      </c>
      <c r="B58" s="686"/>
      <c r="C58" s="686"/>
      <c r="D58" s="686"/>
      <c r="E58" s="686"/>
      <c r="F58" s="686"/>
      <c r="G58" s="686"/>
      <c r="H58" s="686"/>
      <c r="I58" s="686"/>
      <c r="J58" s="686"/>
      <c r="K58" s="686"/>
      <c r="L58" s="686"/>
    </row>
    <row r="59" spans="1:13" ht="12.75" customHeight="1" x14ac:dyDescent="0.2">
      <c r="A59" s="1556" t="s">
        <v>439</v>
      </c>
      <c r="B59" s="1556"/>
      <c r="C59" s="1556"/>
      <c r="D59" s="1556"/>
      <c r="E59" s="1556"/>
      <c r="F59" s="1556"/>
      <c r="G59" s="1556"/>
      <c r="H59" s="1556"/>
      <c r="I59" s="1556"/>
      <c r="J59" s="1556"/>
      <c r="K59" s="1556"/>
      <c r="L59" s="1556"/>
      <c r="M59" s="1556"/>
    </row>
    <row r="60" spans="1:13" x14ac:dyDescent="0.2">
      <c r="A60" s="1556"/>
      <c r="B60" s="1556"/>
      <c r="C60" s="1556"/>
      <c r="D60" s="1556"/>
      <c r="E60" s="1556"/>
      <c r="F60" s="1556"/>
      <c r="G60" s="1556"/>
      <c r="H60" s="1556"/>
      <c r="I60" s="1556"/>
      <c r="J60" s="1556"/>
      <c r="K60" s="1556"/>
      <c r="L60" s="1556"/>
      <c r="M60" s="1556"/>
    </row>
    <row r="61" spans="1:13" x14ac:dyDescent="0.2">
      <c r="A61" s="1073" t="s">
        <v>599</v>
      </c>
      <c r="B61" s="1088"/>
      <c r="C61" s="1088"/>
      <c r="D61" s="1447"/>
      <c r="E61" s="1088"/>
      <c r="F61" s="1088"/>
      <c r="G61" s="1088"/>
      <c r="H61" s="1088"/>
      <c r="I61" s="1088"/>
      <c r="J61" s="1088"/>
      <c r="K61" s="1088"/>
      <c r="L61" s="1088"/>
      <c r="M61" s="1088"/>
    </row>
    <row r="62" spans="1:13" x14ac:dyDescent="0.2">
      <c r="A62" s="1088"/>
      <c r="B62" s="1088"/>
      <c r="C62" s="1088"/>
      <c r="D62" s="1447"/>
      <c r="E62" s="1088"/>
      <c r="F62" s="1088"/>
      <c r="G62" s="1088"/>
      <c r="H62" s="1088"/>
      <c r="I62" s="1088"/>
      <c r="J62" s="1088"/>
      <c r="K62" s="1088"/>
      <c r="L62" s="1088"/>
      <c r="M62" s="1088"/>
    </row>
    <row r="63" spans="1:13" x14ac:dyDescent="0.2">
      <c r="A63" s="1073"/>
      <c r="B63" s="1088"/>
      <c r="C63" s="1088"/>
      <c r="D63" s="1447"/>
      <c r="E63" s="1088"/>
      <c r="F63" s="1088"/>
      <c r="G63" s="1088"/>
      <c r="H63" s="686"/>
      <c r="I63" s="686"/>
      <c r="J63" s="686"/>
      <c r="K63" s="686"/>
      <c r="L63" s="686"/>
    </row>
    <row r="64" spans="1:13" x14ac:dyDescent="0.2">
      <c r="B64" s="1556"/>
      <c r="C64" s="1556"/>
      <c r="D64" s="1556"/>
      <c r="E64" s="1556"/>
      <c r="F64" s="1556"/>
      <c r="G64" s="1556"/>
      <c r="H64" s="686"/>
      <c r="I64" s="686"/>
      <c r="J64" s="686"/>
      <c r="K64" s="686"/>
      <c r="L64" s="686"/>
    </row>
    <row r="65" spans="1:12" x14ac:dyDescent="0.2">
      <c r="A65" s="83"/>
      <c r="B65" s="1556"/>
      <c r="C65" s="1556"/>
      <c r="D65" s="1556"/>
      <c r="E65" s="1556"/>
      <c r="F65" s="1556"/>
      <c r="G65" s="1556"/>
      <c r="H65" s="686"/>
      <c r="I65" s="686"/>
      <c r="J65" s="686"/>
      <c r="K65" s="686"/>
      <c r="L65" s="686"/>
    </row>
    <row r="66" spans="1:12" x14ac:dyDescent="0.2">
      <c r="A66" s="686"/>
      <c r="B66" s="686"/>
      <c r="C66" s="686"/>
      <c r="D66" s="686"/>
      <c r="E66" s="686"/>
      <c r="F66" s="686"/>
      <c r="G66" s="686"/>
      <c r="H66" s="686"/>
      <c r="I66" s="686"/>
      <c r="J66" s="686"/>
      <c r="K66" s="686"/>
      <c r="L66" s="686"/>
    </row>
    <row r="67" spans="1:12" x14ac:dyDescent="0.2">
      <c r="A67" s="686"/>
      <c r="B67" s="686"/>
      <c r="C67" s="686"/>
      <c r="D67" s="686"/>
      <c r="E67" s="686"/>
      <c r="F67" s="686"/>
      <c r="G67" s="686"/>
      <c r="H67" s="686"/>
      <c r="I67" s="686"/>
      <c r="J67" s="686"/>
      <c r="K67" s="686"/>
      <c r="L67" s="686"/>
    </row>
    <row r="68" spans="1:12" x14ac:dyDescent="0.2">
      <c r="A68" s="686"/>
      <c r="B68" s="686"/>
      <c r="C68" s="686"/>
      <c r="D68" s="686"/>
      <c r="E68" s="686"/>
      <c r="F68" s="686"/>
      <c r="G68" s="686"/>
      <c r="H68" s="686"/>
      <c r="I68" s="686"/>
      <c r="J68" s="686"/>
      <c r="K68" s="686"/>
      <c r="L68" s="686"/>
    </row>
    <row r="69" spans="1:12" x14ac:dyDescent="0.2">
      <c r="A69" s="686"/>
      <c r="B69" s="686"/>
      <c r="C69" s="686"/>
      <c r="D69" s="686"/>
      <c r="E69" s="686"/>
      <c r="F69" s="686"/>
      <c r="G69" s="686"/>
      <c r="H69" s="686"/>
      <c r="I69" s="686"/>
      <c r="J69" s="686"/>
      <c r="K69" s="686"/>
      <c r="L69" s="686"/>
    </row>
    <row r="70" spans="1:12" x14ac:dyDescent="0.2">
      <c r="A70" s="686"/>
      <c r="B70" s="686"/>
      <c r="C70" s="686"/>
      <c r="D70" s="686"/>
      <c r="E70" s="686"/>
      <c r="F70" s="686"/>
      <c r="G70" s="686"/>
      <c r="H70" s="686"/>
      <c r="I70" s="686"/>
      <c r="J70" s="686"/>
      <c r="K70" s="686"/>
      <c r="L70" s="686"/>
    </row>
    <row r="71" spans="1:12" x14ac:dyDescent="0.2">
      <c r="A71" s="686"/>
      <c r="B71" s="686"/>
      <c r="C71" s="686"/>
      <c r="D71" s="686"/>
      <c r="E71" s="686"/>
      <c r="F71" s="686"/>
      <c r="G71" s="686"/>
      <c r="H71" s="686"/>
      <c r="I71" s="686"/>
      <c r="J71" s="686"/>
      <c r="K71" s="686"/>
      <c r="L71" s="686"/>
    </row>
    <row r="72" spans="1:12" x14ac:dyDescent="0.2">
      <c r="A72" s="686"/>
      <c r="B72" s="686"/>
      <c r="C72" s="686"/>
      <c r="D72" s="686"/>
      <c r="E72" s="686"/>
      <c r="F72" s="686"/>
      <c r="G72" s="686"/>
      <c r="H72" s="686"/>
      <c r="I72" s="686"/>
      <c r="J72" s="686"/>
      <c r="K72" s="686"/>
      <c r="L72" s="686"/>
    </row>
    <row r="73" spans="1:12" x14ac:dyDescent="0.2">
      <c r="A73" s="686"/>
      <c r="B73" s="686"/>
      <c r="C73" s="686"/>
      <c r="D73" s="686"/>
      <c r="E73" s="686"/>
      <c r="F73" s="686"/>
      <c r="G73" s="686"/>
      <c r="H73" s="686"/>
      <c r="I73" s="686"/>
      <c r="J73" s="686"/>
      <c r="K73" s="686"/>
      <c r="L73" s="686"/>
    </row>
    <row r="74" spans="1:12" x14ac:dyDescent="0.2">
      <c r="A74" s="686"/>
      <c r="B74" s="686"/>
      <c r="C74" s="686"/>
      <c r="D74" s="686"/>
      <c r="E74" s="686"/>
      <c r="F74" s="686"/>
      <c r="G74" s="686"/>
      <c r="H74" s="686"/>
      <c r="I74" s="686"/>
      <c r="J74" s="686"/>
      <c r="K74" s="686"/>
      <c r="L74" s="686"/>
    </row>
    <row r="75" spans="1:12" x14ac:dyDescent="0.2">
      <c r="A75" s="686"/>
      <c r="B75" s="686"/>
      <c r="C75" s="686"/>
      <c r="D75" s="686"/>
      <c r="E75" s="686"/>
      <c r="F75" s="686"/>
      <c r="G75" s="686"/>
      <c r="H75" s="686"/>
      <c r="I75" s="686"/>
      <c r="J75" s="686"/>
      <c r="K75" s="686"/>
      <c r="L75" s="686"/>
    </row>
    <row r="76" spans="1:12" x14ac:dyDescent="0.2">
      <c r="A76" s="686"/>
      <c r="B76" s="686"/>
      <c r="C76" s="686"/>
      <c r="D76" s="686"/>
      <c r="E76" s="686"/>
      <c r="F76" s="686"/>
      <c r="G76" s="686"/>
      <c r="H76" s="686"/>
      <c r="I76" s="686"/>
      <c r="J76" s="686"/>
      <c r="K76" s="686"/>
      <c r="L76" s="686"/>
    </row>
    <row r="77" spans="1:12" x14ac:dyDescent="0.2">
      <c r="A77" s="686"/>
      <c r="B77" s="686"/>
      <c r="C77" s="686"/>
      <c r="D77" s="686"/>
      <c r="E77" s="686"/>
      <c r="F77" s="686"/>
      <c r="G77" s="686"/>
      <c r="H77" s="686"/>
      <c r="I77" s="686"/>
      <c r="J77" s="686"/>
      <c r="K77" s="686"/>
      <c r="L77" s="686"/>
    </row>
    <row r="78" spans="1:12" x14ac:dyDescent="0.2">
      <c r="A78" s="686"/>
      <c r="B78" s="686"/>
      <c r="C78" s="686"/>
      <c r="D78" s="686"/>
      <c r="E78" s="686"/>
      <c r="F78" s="686"/>
      <c r="G78" s="686"/>
      <c r="H78" s="686"/>
      <c r="I78" s="686"/>
      <c r="J78" s="686"/>
      <c r="K78" s="686"/>
      <c r="L78" s="686"/>
    </row>
    <row r="79" spans="1:12" x14ac:dyDescent="0.2">
      <c r="A79" s="686"/>
      <c r="B79" s="686"/>
      <c r="C79" s="686"/>
      <c r="D79" s="686"/>
      <c r="E79" s="686"/>
      <c r="F79" s="686"/>
      <c r="G79" s="686"/>
      <c r="H79" s="686"/>
      <c r="I79" s="686"/>
      <c r="J79" s="686"/>
      <c r="K79" s="686"/>
      <c r="L79" s="686"/>
    </row>
    <row r="80" spans="1:12" x14ac:dyDescent="0.2">
      <c r="A80" s="686"/>
      <c r="B80" s="686"/>
      <c r="C80" s="686"/>
      <c r="D80" s="686"/>
      <c r="E80" s="686"/>
      <c r="F80" s="686"/>
      <c r="G80" s="686"/>
      <c r="H80" s="686"/>
      <c r="I80" s="686"/>
      <c r="J80" s="686"/>
      <c r="K80" s="686"/>
      <c r="L80" s="686"/>
    </row>
    <row r="81" spans="1:12" x14ac:dyDescent="0.2">
      <c r="A81" s="686"/>
      <c r="B81" s="686"/>
      <c r="C81" s="686"/>
      <c r="D81" s="686"/>
      <c r="E81" s="686"/>
      <c r="F81" s="686"/>
      <c r="G81" s="686"/>
      <c r="H81" s="686"/>
      <c r="I81" s="686"/>
      <c r="J81" s="686"/>
      <c r="K81" s="686"/>
      <c r="L81" s="686"/>
    </row>
    <row r="82" spans="1:12" x14ac:dyDescent="0.2">
      <c r="A82" s="686"/>
      <c r="B82" s="686"/>
      <c r="C82" s="686"/>
      <c r="D82" s="686"/>
      <c r="E82" s="686"/>
      <c r="F82" s="686"/>
      <c r="G82" s="686"/>
      <c r="H82" s="686"/>
      <c r="I82" s="686"/>
      <c r="J82" s="686"/>
      <c r="K82" s="686"/>
      <c r="L82" s="686"/>
    </row>
    <row r="83" spans="1:12" x14ac:dyDescent="0.2">
      <c r="A83" s="686"/>
      <c r="B83" s="686"/>
      <c r="C83" s="686"/>
      <c r="D83" s="686"/>
      <c r="E83" s="686"/>
      <c r="F83" s="686"/>
      <c r="G83" s="686"/>
      <c r="H83" s="686"/>
      <c r="I83" s="686"/>
      <c r="J83" s="686"/>
      <c r="K83" s="686"/>
      <c r="L83" s="686"/>
    </row>
    <row r="84" spans="1:12" x14ac:dyDescent="0.2">
      <c r="A84" s="686"/>
      <c r="B84" s="686"/>
      <c r="C84" s="686"/>
      <c r="D84" s="686"/>
      <c r="E84" s="686"/>
      <c r="F84" s="686"/>
      <c r="G84" s="686"/>
      <c r="H84" s="686"/>
      <c r="I84" s="686"/>
      <c r="J84" s="686"/>
      <c r="K84" s="686"/>
      <c r="L84" s="686"/>
    </row>
    <row r="85" spans="1:12" x14ac:dyDescent="0.2">
      <c r="A85" s="686"/>
      <c r="B85" s="686"/>
      <c r="C85" s="686"/>
      <c r="D85" s="686"/>
      <c r="E85" s="686"/>
      <c r="F85" s="686"/>
      <c r="G85" s="686"/>
      <c r="H85" s="686"/>
      <c r="I85" s="686"/>
      <c r="J85" s="686"/>
      <c r="K85" s="686"/>
      <c r="L85" s="686"/>
    </row>
    <row r="86" spans="1:12" x14ac:dyDescent="0.2">
      <c r="A86" s="686"/>
      <c r="B86" s="686"/>
      <c r="C86" s="686"/>
      <c r="D86" s="686"/>
      <c r="E86" s="686"/>
      <c r="F86" s="686"/>
      <c r="G86" s="686"/>
      <c r="H86" s="686"/>
      <c r="I86" s="686"/>
      <c r="J86" s="686"/>
      <c r="K86" s="686"/>
      <c r="L86" s="686"/>
    </row>
    <row r="87" spans="1:12" x14ac:dyDescent="0.2">
      <c r="A87" s="686"/>
      <c r="B87" s="686"/>
      <c r="C87" s="686"/>
      <c r="D87" s="686"/>
      <c r="E87" s="686"/>
      <c r="F87" s="686"/>
      <c r="G87" s="686"/>
      <c r="H87" s="686"/>
      <c r="I87" s="686"/>
      <c r="J87" s="686"/>
      <c r="K87" s="686"/>
      <c r="L87" s="686"/>
    </row>
    <row r="88" spans="1:12" x14ac:dyDescent="0.2">
      <c r="A88" s="686"/>
      <c r="B88" s="686"/>
      <c r="C88" s="686"/>
      <c r="D88" s="686"/>
      <c r="E88" s="686"/>
      <c r="F88" s="686"/>
      <c r="G88" s="686"/>
      <c r="H88" s="686"/>
      <c r="I88" s="686"/>
      <c r="J88" s="686"/>
      <c r="K88" s="686"/>
      <c r="L88" s="686"/>
    </row>
    <row r="89" spans="1:12" x14ac:dyDescent="0.2">
      <c r="A89" s="686"/>
      <c r="B89" s="686"/>
      <c r="C89" s="686"/>
      <c r="D89" s="686"/>
      <c r="E89" s="686"/>
      <c r="F89" s="686"/>
      <c r="G89" s="686"/>
      <c r="H89" s="686"/>
      <c r="I89" s="686"/>
      <c r="J89" s="686"/>
      <c r="K89" s="686"/>
      <c r="L89" s="686"/>
    </row>
    <row r="90" spans="1:12" x14ac:dyDescent="0.2">
      <c r="A90" s="686"/>
      <c r="B90" s="686"/>
      <c r="C90" s="686"/>
      <c r="D90" s="686"/>
      <c r="E90" s="686"/>
      <c r="F90" s="686"/>
      <c r="G90" s="686"/>
      <c r="H90" s="686"/>
      <c r="I90" s="686"/>
      <c r="J90" s="686"/>
      <c r="K90" s="686"/>
      <c r="L90" s="686"/>
    </row>
    <row r="91" spans="1:12" x14ac:dyDescent="0.2">
      <c r="A91" s="686"/>
      <c r="B91" s="686"/>
      <c r="C91" s="686"/>
      <c r="D91" s="686"/>
      <c r="E91" s="686"/>
      <c r="F91" s="686"/>
      <c r="G91" s="686"/>
      <c r="H91" s="686"/>
      <c r="I91" s="686"/>
      <c r="J91" s="686"/>
      <c r="K91" s="686"/>
      <c r="L91" s="686"/>
    </row>
    <row r="92" spans="1:12" x14ac:dyDescent="0.2">
      <c r="A92" s="686"/>
      <c r="B92" s="686"/>
      <c r="C92" s="686"/>
      <c r="D92" s="686"/>
      <c r="E92" s="686"/>
      <c r="F92" s="686"/>
      <c r="G92" s="686"/>
      <c r="H92" s="686"/>
      <c r="I92" s="686"/>
      <c r="J92" s="686"/>
      <c r="K92" s="686"/>
      <c r="L92" s="686"/>
    </row>
    <row r="93" spans="1:12" x14ac:dyDescent="0.2">
      <c r="A93" s="686"/>
      <c r="B93" s="686"/>
      <c r="C93" s="686"/>
      <c r="D93" s="686"/>
      <c r="E93" s="686"/>
      <c r="F93" s="686"/>
      <c r="G93" s="686"/>
      <c r="H93" s="686"/>
      <c r="I93" s="686"/>
      <c r="J93" s="686"/>
      <c r="K93" s="686"/>
      <c r="L93" s="686"/>
    </row>
    <row r="94" spans="1:12" x14ac:dyDescent="0.2">
      <c r="A94" s="686"/>
      <c r="B94" s="686"/>
      <c r="C94" s="686"/>
      <c r="D94" s="686"/>
      <c r="E94" s="686"/>
      <c r="F94" s="686"/>
      <c r="G94" s="686"/>
      <c r="H94" s="686"/>
      <c r="I94" s="686"/>
      <c r="J94" s="686"/>
      <c r="K94" s="686"/>
      <c r="L94" s="686"/>
    </row>
    <row r="95" spans="1:12" x14ac:dyDescent="0.2">
      <c r="A95" s="686"/>
      <c r="B95" s="686"/>
      <c r="C95" s="686"/>
      <c r="D95" s="686"/>
      <c r="E95" s="686"/>
      <c r="F95" s="686"/>
      <c r="G95" s="686"/>
      <c r="H95" s="686"/>
      <c r="I95" s="686"/>
      <c r="J95" s="686"/>
      <c r="K95" s="686"/>
      <c r="L95" s="686"/>
    </row>
    <row r="96" spans="1:12" x14ac:dyDescent="0.2">
      <c r="A96" s="686"/>
      <c r="B96" s="686"/>
      <c r="C96" s="686"/>
      <c r="D96" s="686"/>
      <c r="E96" s="686"/>
      <c r="F96" s="686"/>
      <c r="G96" s="686"/>
      <c r="H96" s="686"/>
      <c r="I96" s="686"/>
      <c r="J96" s="686"/>
      <c r="K96" s="686"/>
      <c r="L96" s="686"/>
    </row>
    <row r="97" spans="1:12" x14ac:dyDescent="0.2">
      <c r="A97" s="686"/>
      <c r="B97" s="686"/>
      <c r="C97" s="686"/>
      <c r="D97" s="686"/>
      <c r="E97" s="686"/>
      <c r="F97" s="686"/>
      <c r="G97" s="686"/>
      <c r="H97" s="686"/>
      <c r="I97" s="686"/>
      <c r="J97" s="686"/>
      <c r="K97" s="686"/>
      <c r="L97" s="686"/>
    </row>
    <row r="98" spans="1:12" x14ac:dyDescent="0.2">
      <c r="A98" s="686"/>
      <c r="B98" s="686"/>
      <c r="C98" s="686"/>
      <c r="D98" s="686"/>
      <c r="E98" s="686"/>
      <c r="F98" s="686"/>
      <c r="G98" s="686"/>
      <c r="H98" s="686"/>
      <c r="I98" s="686"/>
      <c r="J98" s="686"/>
      <c r="K98" s="686"/>
      <c r="L98" s="686"/>
    </row>
    <row r="99" spans="1:12" x14ac:dyDescent="0.2">
      <c r="A99" s="686"/>
      <c r="B99" s="686"/>
      <c r="C99" s="686"/>
      <c r="D99" s="686"/>
      <c r="E99" s="686"/>
      <c r="F99" s="686"/>
      <c r="G99" s="686"/>
      <c r="H99" s="686"/>
      <c r="I99" s="686"/>
      <c r="J99" s="686"/>
      <c r="K99" s="686"/>
      <c r="L99" s="686"/>
    </row>
    <row r="100" spans="1:12" x14ac:dyDescent="0.2">
      <c r="A100" s="686"/>
      <c r="B100" s="686"/>
      <c r="C100" s="686"/>
      <c r="D100" s="686"/>
      <c r="E100" s="686"/>
      <c r="F100" s="686"/>
      <c r="G100" s="686"/>
      <c r="H100" s="686"/>
      <c r="I100" s="686"/>
      <c r="J100" s="686"/>
      <c r="K100" s="686"/>
      <c r="L100" s="686"/>
    </row>
    <row r="101" spans="1:12" x14ac:dyDescent="0.2">
      <c r="A101" s="686"/>
      <c r="B101" s="686"/>
      <c r="C101" s="686"/>
      <c r="D101" s="686"/>
      <c r="E101" s="686"/>
      <c r="F101" s="686"/>
      <c r="G101" s="686"/>
      <c r="H101" s="686"/>
      <c r="I101" s="686"/>
      <c r="J101" s="686"/>
      <c r="K101" s="686"/>
      <c r="L101" s="686"/>
    </row>
    <row r="102" spans="1:12" x14ac:dyDescent="0.2">
      <c r="A102" s="686"/>
      <c r="B102" s="686"/>
      <c r="C102" s="686"/>
      <c r="D102" s="686"/>
      <c r="E102" s="686"/>
      <c r="F102" s="686"/>
      <c r="G102" s="686"/>
      <c r="H102" s="686"/>
      <c r="I102" s="686"/>
      <c r="J102" s="686"/>
      <c r="K102" s="686"/>
      <c r="L102" s="686"/>
    </row>
    <row r="103" spans="1:12" x14ac:dyDescent="0.2">
      <c r="A103" s="686"/>
      <c r="B103" s="686"/>
      <c r="C103" s="686"/>
      <c r="D103" s="686"/>
      <c r="E103" s="686"/>
      <c r="F103" s="686"/>
      <c r="G103" s="686"/>
      <c r="H103" s="686"/>
      <c r="I103" s="686"/>
      <c r="J103" s="686"/>
      <c r="K103" s="686"/>
      <c r="L103" s="686"/>
    </row>
    <row r="104" spans="1:12" x14ac:dyDescent="0.2">
      <c r="A104" s="686"/>
      <c r="B104" s="686"/>
      <c r="C104" s="686"/>
      <c r="D104" s="686"/>
      <c r="E104" s="686"/>
      <c r="F104" s="686"/>
      <c r="G104" s="686"/>
      <c r="H104" s="686"/>
      <c r="I104" s="686"/>
      <c r="J104" s="686"/>
      <c r="K104" s="686"/>
      <c r="L104" s="686"/>
    </row>
    <row r="105" spans="1:12" x14ac:dyDescent="0.2">
      <c r="A105" s="686"/>
      <c r="B105" s="686"/>
      <c r="C105" s="686"/>
      <c r="D105" s="686"/>
      <c r="E105" s="686"/>
      <c r="F105" s="686"/>
      <c r="G105" s="686"/>
      <c r="H105" s="686"/>
      <c r="I105" s="686"/>
      <c r="J105" s="686"/>
      <c r="K105" s="686"/>
      <c r="L105" s="686"/>
    </row>
    <row r="106" spans="1:12" x14ac:dyDescent="0.2">
      <c r="A106" s="686"/>
      <c r="B106" s="686"/>
      <c r="C106" s="686"/>
      <c r="D106" s="686"/>
      <c r="E106" s="686"/>
      <c r="F106" s="686"/>
      <c r="G106" s="686"/>
      <c r="H106" s="686"/>
      <c r="I106" s="686"/>
      <c r="J106" s="686"/>
      <c r="K106" s="686"/>
      <c r="L106" s="686"/>
    </row>
    <row r="107" spans="1:12" x14ac:dyDescent="0.2">
      <c r="A107" s="686"/>
      <c r="B107" s="686"/>
      <c r="C107" s="686"/>
      <c r="D107" s="686"/>
      <c r="E107" s="686"/>
      <c r="F107" s="686"/>
      <c r="G107" s="686"/>
      <c r="H107" s="686"/>
      <c r="I107" s="686"/>
      <c r="J107" s="686"/>
      <c r="K107" s="686"/>
      <c r="L107" s="686"/>
    </row>
    <row r="108" spans="1:12" x14ac:dyDescent="0.2">
      <c r="A108" s="686"/>
      <c r="B108" s="686"/>
      <c r="C108" s="686"/>
      <c r="D108" s="686"/>
      <c r="E108" s="686"/>
      <c r="F108" s="686"/>
      <c r="G108" s="686"/>
      <c r="H108" s="686"/>
      <c r="I108" s="686"/>
      <c r="J108" s="686"/>
      <c r="K108" s="686"/>
      <c r="L108" s="686"/>
    </row>
    <row r="109" spans="1:12" x14ac:dyDescent="0.2">
      <c r="A109" s="686"/>
      <c r="B109" s="686"/>
      <c r="C109" s="686"/>
      <c r="D109" s="686"/>
      <c r="E109" s="686"/>
      <c r="F109" s="686"/>
      <c r="G109" s="686"/>
      <c r="H109" s="686"/>
      <c r="I109" s="686"/>
      <c r="J109" s="686"/>
      <c r="K109" s="686"/>
      <c r="L109" s="686"/>
    </row>
    <row r="110" spans="1:12" x14ac:dyDescent="0.2">
      <c r="A110" s="686"/>
      <c r="B110" s="686"/>
      <c r="C110" s="686"/>
      <c r="D110" s="686"/>
      <c r="E110" s="686"/>
      <c r="F110" s="686"/>
      <c r="G110" s="686"/>
      <c r="H110" s="686"/>
      <c r="I110" s="686"/>
      <c r="J110" s="686"/>
      <c r="K110" s="686"/>
      <c r="L110" s="686"/>
    </row>
    <row r="111" spans="1:12" x14ac:dyDescent="0.2">
      <c r="A111" s="686"/>
      <c r="B111" s="686"/>
      <c r="C111" s="686"/>
      <c r="D111" s="686"/>
      <c r="E111" s="686"/>
      <c r="F111" s="686"/>
      <c r="G111" s="686"/>
      <c r="H111" s="686"/>
      <c r="I111" s="686"/>
      <c r="J111" s="686"/>
      <c r="K111" s="686"/>
      <c r="L111" s="686"/>
    </row>
    <row r="112" spans="1:12" x14ac:dyDescent="0.2">
      <c r="A112" s="686"/>
      <c r="B112" s="686"/>
      <c r="C112" s="686"/>
      <c r="D112" s="686"/>
      <c r="E112" s="686"/>
      <c r="F112" s="686"/>
      <c r="G112" s="686"/>
      <c r="H112" s="686"/>
      <c r="I112" s="686"/>
      <c r="J112" s="686"/>
      <c r="K112" s="686"/>
      <c r="L112" s="686"/>
    </row>
    <row r="113" spans="1:12" x14ac:dyDescent="0.2">
      <c r="A113" s="686"/>
      <c r="B113" s="686"/>
      <c r="C113" s="686"/>
      <c r="D113" s="686"/>
      <c r="E113" s="686"/>
      <c r="F113" s="686"/>
      <c r="G113" s="686"/>
      <c r="H113" s="686"/>
      <c r="I113" s="686"/>
      <c r="J113" s="686"/>
      <c r="K113" s="686"/>
      <c r="L113" s="686"/>
    </row>
    <row r="114" spans="1:12" x14ac:dyDescent="0.2">
      <c r="A114" s="686"/>
      <c r="B114" s="686"/>
      <c r="C114" s="686"/>
      <c r="D114" s="686"/>
      <c r="E114" s="686"/>
      <c r="F114" s="686"/>
      <c r="G114" s="686"/>
      <c r="H114" s="686"/>
      <c r="I114" s="686"/>
      <c r="J114" s="686"/>
      <c r="K114" s="686"/>
      <c r="L114" s="686"/>
    </row>
    <row r="115" spans="1:12" x14ac:dyDescent="0.2">
      <c r="A115" s="686"/>
      <c r="B115" s="686"/>
      <c r="C115" s="686"/>
      <c r="D115" s="686"/>
      <c r="E115" s="686"/>
      <c r="F115" s="686"/>
      <c r="G115" s="686"/>
      <c r="H115" s="686"/>
      <c r="I115" s="686"/>
      <c r="J115" s="686"/>
      <c r="K115" s="686"/>
      <c r="L115" s="686"/>
    </row>
    <row r="116" spans="1:12" x14ac:dyDescent="0.2">
      <c r="A116" s="686"/>
      <c r="B116" s="686"/>
      <c r="C116" s="686"/>
      <c r="D116" s="686"/>
      <c r="E116" s="686"/>
      <c r="F116" s="686"/>
      <c r="G116" s="686"/>
      <c r="H116" s="686"/>
      <c r="I116" s="686"/>
      <c r="J116" s="686"/>
      <c r="K116" s="686"/>
      <c r="L116" s="686"/>
    </row>
    <row r="117" spans="1:12" x14ac:dyDescent="0.2">
      <c r="A117" s="686"/>
      <c r="B117" s="686"/>
      <c r="C117" s="686"/>
      <c r="D117" s="686"/>
      <c r="E117" s="686"/>
      <c r="F117" s="686"/>
      <c r="G117" s="686"/>
      <c r="H117" s="686"/>
      <c r="I117" s="686"/>
      <c r="J117" s="686"/>
      <c r="K117" s="686"/>
      <c r="L117" s="686"/>
    </row>
    <row r="118" spans="1:12" x14ac:dyDescent="0.2">
      <c r="A118" s="686"/>
      <c r="B118" s="686"/>
      <c r="C118" s="686"/>
      <c r="D118" s="686"/>
      <c r="E118" s="686"/>
      <c r="F118" s="686"/>
      <c r="G118" s="686"/>
      <c r="H118" s="686"/>
      <c r="I118" s="686"/>
      <c r="J118" s="686"/>
      <c r="K118" s="686"/>
      <c r="L118" s="686"/>
    </row>
    <row r="119" spans="1:12" x14ac:dyDescent="0.2">
      <c r="A119" s="686"/>
      <c r="B119" s="686"/>
      <c r="C119" s="686"/>
      <c r="D119" s="686"/>
      <c r="E119" s="686"/>
      <c r="F119" s="686"/>
      <c r="G119" s="686"/>
      <c r="H119" s="686"/>
      <c r="I119" s="686"/>
      <c r="J119" s="686"/>
      <c r="K119" s="686"/>
      <c r="L119" s="686"/>
    </row>
    <row r="120" spans="1:12" x14ac:dyDescent="0.2">
      <c r="A120" s="686"/>
      <c r="B120" s="686"/>
      <c r="C120" s="686"/>
      <c r="D120" s="686"/>
      <c r="E120" s="686"/>
      <c r="F120" s="686"/>
      <c r="G120" s="686"/>
      <c r="H120" s="686"/>
      <c r="I120" s="686"/>
      <c r="J120" s="686"/>
      <c r="K120" s="686"/>
      <c r="L120" s="686"/>
    </row>
    <row r="121" spans="1:12" x14ac:dyDescent="0.2">
      <c r="A121" s="686"/>
      <c r="B121" s="686"/>
      <c r="C121" s="686"/>
      <c r="D121" s="686"/>
      <c r="E121" s="686"/>
      <c r="F121" s="686"/>
      <c r="G121" s="686"/>
      <c r="H121" s="686"/>
      <c r="I121" s="686"/>
      <c r="J121" s="686"/>
      <c r="K121" s="686"/>
      <c r="L121" s="686"/>
    </row>
    <row r="122" spans="1:12" x14ac:dyDescent="0.2">
      <c r="A122" s="686"/>
      <c r="B122" s="686"/>
      <c r="C122" s="686"/>
      <c r="D122" s="686"/>
      <c r="E122" s="686"/>
      <c r="F122" s="686"/>
      <c r="G122" s="686"/>
      <c r="H122" s="686"/>
      <c r="I122" s="686"/>
      <c r="J122" s="686"/>
      <c r="K122" s="686"/>
      <c r="L122" s="686"/>
    </row>
    <row r="123" spans="1:12" x14ac:dyDescent="0.2">
      <c r="A123" s="686"/>
      <c r="B123" s="686"/>
      <c r="C123" s="686"/>
      <c r="D123" s="686"/>
      <c r="E123" s="686"/>
      <c r="F123" s="686"/>
      <c r="G123" s="686"/>
      <c r="H123" s="686"/>
      <c r="I123" s="686"/>
      <c r="J123" s="686"/>
      <c r="K123" s="686"/>
      <c r="L123" s="686"/>
    </row>
    <row r="124" spans="1:12" x14ac:dyDescent="0.2">
      <c r="A124" s="686"/>
      <c r="B124" s="686"/>
      <c r="C124" s="686"/>
      <c r="D124" s="686"/>
      <c r="E124" s="686"/>
      <c r="F124" s="686"/>
      <c r="G124" s="686"/>
      <c r="H124" s="686"/>
      <c r="I124" s="686"/>
      <c r="J124" s="686"/>
      <c r="K124" s="686"/>
      <c r="L124" s="686"/>
    </row>
    <row r="125" spans="1:12" x14ac:dyDescent="0.2">
      <c r="A125" s="686"/>
      <c r="B125" s="686"/>
      <c r="C125" s="686"/>
      <c r="D125" s="686"/>
      <c r="E125" s="686"/>
      <c r="F125" s="686"/>
      <c r="G125" s="686"/>
      <c r="H125" s="686"/>
      <c r="I125" s="686"/>
      <c r="J125" s="686"/>
      <c r="K125" s="686"/>
      <c r="L125" s="686"/>
    </row>
    <row r="126" spans="1:12" x14ac:dyDescent="0.2">
      <c r="A126" s="686"/>
      <c r="B126" s="686"/>
      <c r="C126" s="686"/>
      <c r="D126" s="686"/>
      <c r="E126" s="686"/>
      <c r="F126" s="686"/>
      <c r="G126" s="686"/>
      <c r="H126" s="686"/>
      <c r="I126" s="686"/>
      <c r="J126" s="686"/>
      <c r="K126" s="686"/>
      <c r="L126" s="686"/>
    </row>
    <row r="127" spans="1:12" x14ac:dyDescent="0.2">
      <c r="A127" s="686"/>
      <c r="B127" s="686"/>
      <c r="C127" s="686"/>
      <c r="D127" s="686"/>
      <c r="E127" s="686"/>
      <c r="F127" s="686"/>
      <c r="G127" s="686"/>
      <c r="H127" s="686"/>
      <c r="I127" s="686"/>
      <c r="J127" s="686"/>
      <c r="K127" s="686"/>
      <c r="L127" s="686"/>
    </row>
    <row r="128" spans="1:12" x14ac:dyDescent="0.2">
      <c r="A128" s="686"/>
      <c r="B128" s="686"/>
      <c r="C128" s="686"/>
      <c r="D128" s="686"/>
      <c r="E128" s="686"/>
      <c r="F128" s="686"/>
      <c r="G128" s="686"/>
      <c r="H128" s="686"/>
      <c r="I128" s="686"/>
      <c r="J128" s="686"/>
      <c r="K128" s="686"/>
      <c r="L128" s="686"/>
    </row>
    <row r="129" spans="1:12" x14ac:dyDescent="0.2">
      <c r="A129" s="686"/>
      <c r="B129" s="686"/>
      <c r="C129" s="686"/>
      <c r="D129" s="686"/>
      <c r="E129" s="686"/>
      <c r="F129" s="686"/>
      <c r="G129" s="686"/>
      <c r="H129" s="686"/>
      <c r="I129" s="686"/>
      <c r="J129" s="686"/>
      <c r="K129" s="686"/>
      <c r="L129" s="686"/>
    </row>
    <row r="130" spans="1:12" x14ac:dyDescent="0.2">
      <c r="A130" s="686"/>
      <c r="B130" s="686"/>
      <c r="C130" s="686"/>
      <c r="D130" s="686"/>
      <c r="E130" s="686"/>
      <c r="F130" s="686"/>
      <c r="G130" s="686"/>
      <c r="H130" s="686"/>
      <c r="I130" s="686"/>
      <c r="J130" s="686"/>
      <c r="K130" s="686"/>
      <c r="L130" s="686"/>
    </row>
    <row r="131" spans="1:12" x14ac:dyDescent="0.2">
      <c r="A131" s="686"/>
      <c r="B131" s="686"/>
      <c r="C131" s="686"/>
      <c r="D131" s="686"/>
      <c r="E131" s="686"/>
      <c r="F131" s="686"/>
      <c r="G131" s="686"/>
      <c r="H131" s="686"/>
      <c r="I131" s="686"/>
      <c r="J131" s="686"/>
      <c r="K131" s="686"/>
      <c r="L131" s="686"/>
    </row>
    <row r="132" spans="1:12" x14ac:dyDescent="0.2">
      <c r="A132" s="686"/>
      <c r="B132" s="686"/>
      <c r="C132" s="686"/>
      <c r="D132" s="686"/>
      <c r="E132" s="686"/>
      <c r="F132" s="686"/>
      <c r="G132" s="686"/>
      <c r="H132" s="686"/>
      <c r="I132" s="686"/>
      <c r="J132" s="686"/>
      <c r="K132" s="686"/>
      <c r="L132" s="686"/>
    </row>
    <row r="133" spans="1:12" x14ac:dyDescent="0.2">
      <c r="A133" s="686"/>
      <c r="B133" s="686"/>
      <c r="C133" s="686"/>
      <c r="D133" s="686"/>
      <c r="E133" s="686"/>
      <c r="F133" s="686"/>
      <c r="G133" s="686"/>
      <c r="H133" s="686"/>
      <c r="I133" s="686"/>
      <c r="J133" s="686"/>
      <c r="K133" s="686"/>
      <c r="L133" s="686"/>
    </row>
    <row r="134" spans="1:12" x14ac:dyDescent="0.2">
      <c r="A134" s="686"/>
      <c r="B134" s="686"/>
      <c r="C134" s="686"/>
      <c r="D134" s="686"/>
      <c r="E134" s="686"/>
      <c r="F134" s="686"/>
      <c r="G134" s="686"/>
      <c r="H134" s="686"/>
      <c r="I134" s="686"/>
      <c r="J134" s="686"/>
      <c r="K134" s="686"/>
      <c r="L134" s="686"/>
    </row>
  </sheetData>
  <mergeCells count="5">
    <mergeCell ref="B64:G65"/>
    <mergeCell ref="A59:M60"/>
    <mergeCell ref="A9:H9"/>
    <mergeCell ref="A10:H10"/>
    <mergeCell ref="I13:J13"/>
  </mergeCells>
  <dataValidations count="2">
    <dataValidation allowBlank="1" showInputMessage="1" showErrorMessage="1" promptTitle="Date Format" prompt="E.g:  &quot;August 1, 2011&quot;" sqref="M7"/>
    <dataValidation type="list" allowBlank="1" showInputMessage="1" showErrorMessage="1" sqref="B14:H14">
      <formula1>"CGAAP, MIFRS, USGAAP, ASPE"</formula1>
    </dataValidation>
  </dataValidations>
  <pageMargins left="0.75" right="0.75" top="1" bottom="1" header="0.5" footer="0.5"/>
  <pageSetup scale="48" fitToHeight="0" orientation="portrait" r:id="rId1"/>
  <headerFooter alignWithMargins="0"/>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9">
    <tabColor theme="7" tint="0.39997558519241921"/>
    <pageSetUpPr fitToPage="1"/>
  </sheetPr>
  <dimension ref="A1:N33"/>
  <sheetViews>
    <sheetView showGridLines="0" zoomScaleNormal="100" workbookViewId="0">
      <selection activeCell="A10" sqref="A10:H23"/>
    </sheetView>
  </sheetViews>
  <sheetFormatPr defaultRowHeight="12.75" x14ac:dyDescent="0.2"/>
  <cols>
    <col min="1" max="1" width="33.42578125" style="43" customWidth="1"/>
    <col min="2" max="3" width="17.85546875" style="43" hidden="1" customWidth="1"/>
    <col min="4" max="8" width="17.85546875" style="43" customWidth="1"/>
    <col min="9" max="9" width="3" style="43" customWidth="1"/>
    <col min="10" max="16384" width="9.140625" style="43"/>
  </cols>
  <sheetData>
    <row r="1" spans="1:14" x14ac:dyDescent="0.2">
      <c r="G1" s="562" t="s">
        <v>301</v>
      </c>
      <c r="H1" s="61" t="str">
        <f>EBNUMBER</f>
        <v>EB-2016-0066</v>
      </c>
    </row>
    <row r="2" spans="1:14" x14ac:dyDescent="0.2">
      <c r="G2" s="562" t="s">
        <v>302</v>
      </c>
      <c r="H2" s="62"/>
    </row>
    <row r="3" spans="1:14" x14ac:dyDescent="0.2">
      <c r="G3" s="562" t="s">
        <v>303</v>
      </c>
      <c r="H3" s="62"/>
    </row>
    <row r="4" spans="1:14" x14ac:dyDescent="0.2">
      <c r="G4" s="562" t="s">
        <v>304</v>
      </c>
      <c r="H4" s="62"/>
    </row>
    <row r="5" spans="1:14" x14ac:dyDescent="0.2">
      <c r="G5" s="562" t="s">
        <v>305</v>
      </c>
      <c r="H5" s="63"/>
    </row>
    <row r="6" spans="1:14" x14ac:dyDescent="0.2">
      <c r="G6" s="562"/>
      <c r="H6" s="61"/>
    </row>
    <row r="7" spans="1:14" x14ac:dyDescent="0.2">
      <c r="G7" s="562" t="s">
        <v>306</v>
      </c>
      <c r="H7" s="63"/>
    </row>
    <row r="8" spans="1:14" x14ac:dyDescent="0.2">
      <c r="H8" s="509"/>
    </row>
    <row r="9" spans="1:14" x14ac:dyDescent="0.2">
      <c r="H9" s="509"/>
    </row>
    <row r="10" spans="1:14" ht="18" x14ac:dyDescent="0.25">
      <c r="A10" s="1546" t="s">
        <v>871</v>
      </c>
      <c r="B10" s="1546"/>
      <c r="C10" s="1546"/>
      <c r="D10" s="1546"/>
      <c r="E10" s="1546"/>
      <c r="F10" s="1546"/>
      <c r="G10" s="1546"/>
      <c r="H10" s="1546"/>
    </row>
    <row r="11" spans="1:14" ht="18" x14ac:dyDescent="0.25">
      <c r="A11" s="1546" t="s">
        <v>604</v>
      </c>
      <c r="B11" s="1546"/>
      <c r="C11" s="1546"/>
      <c r="D11" s="1546"/>
      <c r="E11" s="1546"/>
      <c r="F11" s="1546"/>
      <c r="G11" s="1546"/>
      <c r="H11" s="1546"/>
    </row>
    <row r="12" spans="1:14" ht="13.5" thickBot="1" x14ac:dyDescent="0.25"/>
    <row r="13" spans="1:14" ht="39" thickBot="1" x14ac:dyDescent="0.25">
      <c r="A13" s="765" t="s">
        <v>119</v>
      </c>
      <c r="B13" s="684" t="str">
        <f>"Last Rebasing Year (" &amp; RebaseYear &amp; " Actuals)"</f>
        <v>Last Rebasing Year (2012 Actuals)</v>
      </c>
      <c r="C13" s="684" t="str">
        <f>"Last Rebasing Year (" &amp; RebaseYear &amp; " Actuals)"</f>
        <v>Last Rebasing Year (2012 Actuals)</v>
      </c>
      <c r="D13" s="766" t="s">
        <v>1306</v>
      </c>
      <c r="E13" s="684" t="str">
        <f>BridgeYear -2 &amp; " Actuals"</f>
        <v>2014 Actuals</v>
      </c>
      <c r="F13" s="684" t="str">
        <f>BridgeYear -1 &amp; " Actuals"</f>
        <v>2015 Actuals</v>
      </c>
      <c r="G13" s="684" t="str">
        <f>BridgeYear &amp; " Bridge Year"</f>
        <v>2016 Bridge Year</v>
      </c>
      <c r="H13" s="685" t="str">
        <f>TestYear &amp; " Test Year"</f>
        <v>2017 Test Year</v>
      </c>
    </row>
    <row r="14" spans="1:14" ht="13.5" thickBot="1" x14ac:dyDescent="0.25">
      <c r="A14" s="687" t="s">
        <v>103</v>
      </c>
      <c r="B14" s="688" t="s">
        <v>104</v>
      </c>
      <c r="C14" s="688" t="s">
        <v>104</v>
      </c>
      <c r="D14" s="688" t="s">
        <v>104</v>
      </c>
      <c r="E14" s="688" t="s">
        <v>104</v>
      </c>
      <c r="F14" s="688" t="s">
        <v>105</v>
      </c>
      <c r="G14" s="688" t="s">
        <v>105</v>
      </c>
      <c r="H14" s="689" t="s">
        <v>105</v>
      </c>
      <c r="N14" s="767"/>
    </row>
    <row r="15" spans="1:14" ht="13.5" thickBot="1" x14ac:dyDescent="0.25">
      <c r="A15" s="768" t="s">
        <v>236</v>
      </c>
      <c r="B15" s="769"/>
      <c r="C15" s="770">
        <v>2419402</v>
      </c>
      <c r="D15" s="770">
        <f>C23</f>
        <v>2219410</v>
      </c>
      <c r="E15" s="770">
        <f>D23</f>
        <v>2183052</v>
      </c>
      <c r="F15" s="770">
        <f>E23</f>
        <v>2252698</v>
      </c>
      <c r="G15" s="770">
        <f>F23</f>
        <v>2628718</v>
      </c>
      <c r="H15" s="770">
        <f>G23</f>
        <v>2996061</v>
      </c>
    </row>
    <row r="16" spans="1:14" x14ac:dyDescent="0.2">
      <c r="A16" s="772" t="s">
        <v>1356</v>
      </c>
      <c r="B16" s="332"/>
      <c r="C16" s="173">
        <v>-28491</v>
      </c>
      <c r="D16" s="173">
        <v>-21744</v>
      </c>
      <c r="E16" s="173">
        <v>32799</v>
      </c>
      <c r="F16" s="173">
        <v>-604</v>
      </c>
      <c r="G16" s="173">
        <v>16173</v>
      </c>
      <c r="H16" s="575">
        <v>253030</v>
      </c>
    </row>
    <row r="17" spans="1:8" x14ac:dyDescent="0.2">
      <c r="A17" s="772" t="s">
        <v>1357</v>
      </c>
      <c r="B17" s="173"/>
      <c r="C17" s="173">
        <v>99769</v>
      </c>
      <c r="D17" s="173">
        <v>-114399</v>
      </c>
      <c r="E17" s="173">
        <v>79101</v>
      </c>
      <c r="F17" s="173">
        <v>410050</v>
      </c>
      <c r="G17" s="173">
        <v>74977</v>
      </c>
      <c r="H17" s="575">
        <v>248527</v>
      </c>
    </row>
    <row r="18" spans="1:8" x14ac:dyDescent="0.2">
      <c r="A18" s="772" t="s">
        <v>1358</v>
      </c>
      <c r="B18" s="173"/>
      <c r="C18" s="173">
        <v>16470</v>
      </c>
      <c r="D18" s="173">
        <v>-8545</v>
      </c>
      <c r="E18" s="173">
        <v>25388</v>
      </c>
      <c r="F18" s="173">
        <v>-44899</v>
      </c>
      <c r="G18" s="173">
        <v>1485</v>
      </c>
      <c r="H18" s="575">
        <v>32204</v>
      </c>
    </row>
    <row r="19" spans="1:8" x14ac:dyDescent="0.2">
      <c r="A19" s="772" t="s">
        <v>1359</v>
      </c>
      <c r="B19" s="173"/>
      <c r="C19" s="173">
        <v>2658</v>
      </c>
      <c r="D19" s="173">
        <v>9579</v>
      </c>
      <c r="E19" s="173">
        <v>2350</v>
      </c>
      <c r="F19" s="173">
        <v>24642</v>
      </c>
      <c r="G19" s="173">
        <v>101092</v>
      </c>
      <c r="H19" s="575">
        <v>0</v>
      </c>
    </row>
    <row r="20" spans="1:8" x14ac:dyDescent="0.2">
      <c r="A20" s="772" t="s">
        <v>1360</v>
      </c>
      <c r="B20" s="173"/>
      <c r="C20" s="173">
        <v>-247716</v>
      </c>
      <c r="D20" s="173">
        <v>19478</v>
      </c>
      <c r="E20" s="173">
        <v>-33270</v>
      </c>
      <c r="F20" s="173">
        <v>-14280</v>
      </c>
      <c r="G20" s="173">
        <v>22476</v>
      </c>
      <c r="H20" s="575">
        <v>-1400</v>
      </c>
    </row>
    <row r="21" spans="1:8" x14ac:dyDescent="0.2">
      <c r="A21" s="1462" t="s">
        <v>1361</v>
      </c>
      <c r="B21" s="773"/>
      <c r="C21" s="773">
        <v>12995</v>
      </c>
      <c r="D21" s="773">
        <v>-6399</v>
      </c>
      <c r="E21" s="773">
        <v>-5124</v>
      </c>
      <c r="F21" s="773">
        <v>-18174</v>
      </c>
      <c r="G21" s="773">
        <v>9087</v>
      </c>
      <c r="H21" s="1463">
        <v>14550</v>
      </c>
    </row>
    <row r="22" spans="1:8" ht="13.5" thickBot="1" x14ac:dyDescent="0.25">
      <c r="A22" s="1464" t="s">
        <v>199</v>
      </c>
      <c r="B22" s="773"/>
      <c r="C22" s="257">
        <v>-55677</v>
      </c>
      <c r="D22" s="257">
        <v>85672</v>
      </c>
      <c r="E22" s="257">
        <v>-31598</v>
      </c>
      <c r="F22" s="257">
        <v>19285</v>
      </c>
      <c r="G22" s="257">
        <v>142053</v>
      </c>
      <c r="H22" s="596">
        <v>-3338</v>
      </c>
    </row>
    <row r="23" spans="1:8" ht="14.25" thickTop="1" thickBot="1" x14ac:dyDescent="0.25">
      <c r="A23" s="774" t="s">
        <v>263</v>
      </c>
      <c r="B23" s="775">
        <f>SUM(B15:B22)</f>
        <v>0</v>
      </c>
      <c r="C23" s="775">
        <f t="shared" ref="C23:H23" si="0">SUM(C15:C22)</f>
        <v>2219410</v>
      </c>
      <c r="D23" s="775">
        <f t="shared" si="0"/>
        <v>2183052</v>
      </c>
      <c r="E23" s="775">
        <f>SUM(E15:E22)</f>
        <v>2252698</v>
      </c>
      <c r="F23" s="775">
        <f t="shared" si="0"/>
        <v>2628718</v>
      </c>
      <c r="G23" s="775">
        <f t="shared" si="0"/>
        <v>2996061</v>
      </c>
      <c r="H23" s="775">
        <f t="shared" si="0"/>
        <v>3539634</v>
      </c>
    </row>
    <row r="25" spans="1:8" x14ac:dyDescent="0.2">
      <c r="A25" s="473" t="s">
        <v>11</v>
      </c>
    </row>
    <row r="26" spans="1:8" x14ac:dyDescent="0.2">
      <c r="A26" s="1436"/>
    </row>
    <row r="27" spans="1:8" x14ac:dyDescent="0.2">
      <c r="A27" s="473">
        <v>1</v>
      </c>
      <c r="B27" s="83" t="s">
        <v>951</v>
      </c>
    </row>
    <row r="28" spans="1:8" ht="26.25" customHeight="1" x14ac:dyDescent="0.2">
      <c r="A28" s="1437">
        <v>2</v>
      </c>
      <c r="B28" s="1805" t="s">
        <v>600</v>
      </c>
      <c r="C28" s="1805"/>
      <c r="D28" s="1805"/>
      <c r="E28" s="1805"/>
      <c r="F28" s="1805"/>
      <c r="G28" s="1805"/>
      <c r="H28" s="1805"/>
    </row>
    <row r="29" spans="1:8" x14ac:dyDescent="0.2">
      <c r="A29" s="473">
        <v>3</v>
      </c>
      <c r="B29" s="1891" t="s">
        <v>191</v>
      </c>
      <c r="C29" s="1891"/>
      <c r="D29" s="1891"/>
      <c r="E29" s="1891"/>
      <c r="F29" s="1891"/>
      <c r="G29" s="1891"/>
      <c r="H29" s="1891"/>
    </row>
    <row r="30" spans="1:8" x14ac:dyDescent="0.2">
      <c r="A30" s="473"/>
      <c r="B30" s="1891"/>
      <c r="C30" s="1891"/>
      <c r="D30" s="1891"/>
      <c r="E30" s="1891"/>
      <c r="F30" s="1891"/>
      <c r="G30" s="1891"/>
      <c r="H30" s="1891"/>
    </row>
    <row r="31" spans="1:8" ht="26.25" customHeight="1" x14ac:dyDescent="0.2">
      <c r="A31" s="473"/>
      <c r="B31" s="1891"/>
      <c r="C31" s="1891"/>
      <c r="D31" s="1891"/>
      <c r="E31" s="1891"/>
      <c r="F31" s="1891"/>
      <c r="G31" s="1891"/>
      <c r="H31" s="1891"/>
    </row>
    <row r="32" spans="1:8" x14ac:dyDescent="0.2">
      <c r="A32" s="473">
        <v>4</v>
      </c>
      <c r="B32" s="1556" t="s">
        <v>457</v>
      </c>
      <c r="C32" s="1556"/>
      <c r="D32" s="1556"/>
      <c r="E32" s="1892"/>
      <c r="F32" s="1892"/>
      <c r="G32" s="1892"/>
      <c r="H32" s="1892"/>
    </row>
    <row r="33" spans="2:8" ht="3.75" customHeight="1" x14ac:dyDescent="0.2">
      <c r="B33" s="1892"/>
      <c r="C33" s="1892"/>
      <c r="D33" s="1892"/>
      <c r="E33" s="1892"/>
      <c r="F33" s="1892"/>
      <c r="G33" s="1892"/>
      <c r="H33" s="1892"/>
    </row>
  </sheetData>
  <mergeCells count="5">
    <mergeCell ref="A10:H10"/>
    <mergeCell ref="A11:H11"/>
    <mergeCell ref="B29:H31"/>
    <mergeCell ref="B32:H33"/>
    <mergeCell ref="B28:H28"/>
  </mergeCells>
  <phoneticPr fontId="16" type="noConversion"/>
  <dataValidations count="2">
    <dataValidation allowBlank="1" showInputMessage="1" showErrorMessage="1" promptTitle="Date Format" prompt="E.g:  &quot;August 1, 2011&quot;" sqref="H7"/>
    <dataValidation type="list" allowBlank="1" showInputMessage="1" showErrorMessage="1" sqref="B14:H14">
      <formula1>"CGAAP, MIFRS, USGAAP, ASPE"</formula1>
    </dataValidation>
  </dataValidations>
  <pageMargins left="0.75" right="0.75" top="1" bottom="1" header="0.5" footer="0.5"/>
  <pageSetup scale="98" orientation="landscape" r:id="rId1"/>
  <headerFooter alignWithMargins="0"/>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0">
    <tabColor theme="7" tint="0.39997558519241921"/>
    <pageSetUpPr fitToPage="1"/>
  </sheetPr>
  <dimension ref="A1:J43"/>
  <sheetViews>
    <sheetView showGridLines="0" zoomScaleNormal="100" workbookViewId="0">
      <selection activeCell="A18" sqref="A18"/>
    </sheetView>
  </sheetViews>
  <sheetFormatPr defaultRowHeight="12.75" x14ac:dyDescent="0.2"/>
  <cols>
    <col min="1" max="1" width="38" style="43" customWidth="1"/>
    <col min="2" max="2" width="15" style="43" customWidth="1"/>
    <col min="3" max="4" width="16.28515625" style="43" customWidth="1"/>
    <col min="5" max="8" width="12.7109375" style="43" customWidth="1"/>
    <col min="9" max="9" width="18.7109375" style="43" customWidth="1"/>
    <col min="10" max="10" width="22.7109375" style="43" customWidth="1"/>
    <col min="11" max="16384" width="9.140625" style="43"/>
  </cols>
  <sheetData>
    <row r="1" spans="1:10" x14ac:dyDescent="0.2">
      <c r="I1" s="60" t="s">
        <v>301</v>
      </c>
      <c r="J1" s="61" t="str">
        <f>EBNUMBER</f>
        <v>EB-2016-0066</v>
      </c>
    </row>
    <row r="2" spans="1:10" x14ac:dyDescent="0.2">
      <c r="I2" s="60" t="s">
        <v>302</v>
      </c>
      <c r="J2" s="62"/>
    </row>
    <row r="3" spans="1:10" x14ac:dyDescent="0.2">
      <c r="I3" s="60" t="s">
        <v>303</v>
      </c>
      <c r="J3" s="62"/>
    </row>
    <row r="4" spans="1:10" x14ac:dyDescent="0.2">
      <c r="I4" s="60" t="s">
        <v>304</v>
      </c>
      <c r="J4" s="62"/>
    </row>
    <row r="5" spans="1:10" x14ac:dyDescent="0.2">
      <c r="I5" s="60" t="s">
        <v>305</v>
      </c>
      <c r="J5" s="63"/>
    </row>
    <row r="6" spans="1:10" x14ac:dyDescent="0.2">
      <c r="I6" s="60"/>
      <c r="J6" s="61"/>
    </row>
    <row r="7" spans="1:10" x14ac:dyDescent="0.2">
      <c r="I7" s="60" t="s">
        <v>306</v>
      </c>
      <c r="J7" s="63"/>
    </row>
    <row r="9" spans="1:10" ht="18" x14ac:dyDescent="0.25">
      <c r="A9" s="1555" t="s">
        <v>629</v>
      </c>
      <c r="B9" s="1555"/>
      <c r="C9" s="1555"/>
      <c r="D9" s="1555"/>
      <c r="E9" s="1555"/>
      <c r="F9" s="1555"/>
      <c r="G9" s="1555"/>
      <c r="H9" s="1555"/>
      <c r="I9" s="1555"/>
      <c r="J9" s="64"/>
    </row>
    <row r="10" spans="1:10" ht="18" x14ac:dyDescent="0.25">
      <c r="A10" s="1555" t="s">
        <v>749</v>
      </c>
      <c r="B10" s="1555"/>
      <c r="C10" s="1555"/>
      <c r="D10" s="1555"/>
      <c r="E10" s="1555"/>
      <c r="F10" s="1555"/>
      <c r="G10" s="1555"/>
      <c r="H10" s="1555"/>
      <c r="I10" s="1555"/>
      <c r="J10" s="64"/>
    </row>
    <row r="12" spans="1:10" ht="13.5" thickBot="1" x14ac:dyDescent="0.25">
      <c r="A12" s="1545"/>
      <c r="B12" s="1545"/>
      <c r="C12" s="1545"/>
      <c r="D12" s="1545"/>
      <c r="E12" s="1545"/>
      <c r="F12" s="1545"/>
      <c r="G12" s="1545"/>
      <c r="H12" s="1545"/>
      <c r="I12" s="1545"/>
    </row>
    <row r="13" spans="1:10" ht="63" customHeight="1" thickBot="1" x14ac:dyDescent="0.25">
      <c r="A13" s="65" t="s">
        <v>750</v>
      </c>
      <c r="B13" s="684" t="str">
        <f>"Last Rebasing Year (" &amp; RebaseYear &amp; " Board-Approved)"</f>
        <v>Last Rebasing Year (2012 Board-Approved)</v>
      </c>
      <c r="C13" s="684" t="str">
        <f>"Last Rebasing Year (" &amp; RebaseYear &amp; " Actuals)"</f>
        <v>Last Rebasing Year (2012 Actuals)</v>
      </c>
      <c r="D13" s="684" t="s">
        <v>1306</v>
      </c>
      <c r="E13" s="684" t="str">
        <f>BridgeYear -2 &amp; " Actuals"</f>
        <v>2014 Actuals</v>
      </c>
      <c r="F13" s="684" t="str">
        <f>BridgeYear -1 &amp; " Actuals"</f>
        <v>2015 Actuals</v>
      </c>
      <c r="G13" s="684" t="str">
        <f>BridgeYear &amp; " Bridge Year"</f>
        <v>2016 Bridge Year</v>
      </c>
      <c r="H13" s="685" t="str">
        <f>TestYear &amp; " Test Year"</f>
        <v>2017 Test Year</v>
      </c>
      <c r="I13" s="685" t="str">
        <f>"Variance 
(Test Year vs. " &amp; F13 &amp;")"</f>
        <v>Variance 
(Test Year vs. 2015 Actuals)</v>
      </c>
      <c r="J13" s="685" t="str">
        <f>"Variance 
(Test Year vs. " &amp; B13</f>
        <v>Variance 
(Test Year vs. Last Rebasing Year (2012 Board-Approved)</v>
      </c>
    </row>
    <row r="14" spans="1:10" ht="13.5" thickBot="1" x14ac:dyDescent="0.25">
      <c r="A14" s="687" t="s">
        <v>103</v>
      </c>
      <c r="B14" s="688"/>
      <c r="C14" s="688"/>
      <c r="D14" s="688"/>
      <c r="E14" s="688"/>
      <c r="F14" s="688"/>
      <c r="G14" s="688"/>
      <c r="H14" s="688"/>
      <c r="I14" s="688"/>
      <c r="J14" s="688"/>
    </row>
    <row r="15" spans="1:10" x14ac:dyDescent="0.2">
      <c r="A15" s="69"/>
      <c r="B15" s="75"/>
      <c r="C15" s="70"/>
      <c r="D15" s="70"/>
      <c r="E15" s="70"/>
      <c r="F15" s="70"/>
      <c r="G15" s="70"/>
      <c r="H15" s="70"/>
      <c r="I15" s="70"/>
      <c r="J15" s="70"/>
    </row>
    <row r="16" spans="1:10" x14ac:dyDescent="0.2">
      <c r="A16" s="69" t="s">
        <v>1362</v>
      </c>
      <c r="B16" s="776">
        <v>412000</v>
      </c>
      <c r="C16" s="71">
        <v>423100</v>
      </c>
      <c r="D16" s="71">
        <v>424333</v>
      </c>
      <c r="E16" s="71">
        <v>468632</v>
      </c>
      <c r="F16" s="71">
        <v>436822</v>
      </c>
      <c r="G16" s="71">
        <v>454989</v>
      </c>
      <c r="H16" s="71">
        <v>472941</v>
      </c>
      <c r="I16" s="777">
        <f>H16-F16</f>
        <v>36119</v>
      </c>
      <c r="J16" s="1485">
        <f t="shared" ref="J16:J32" si="0">H16-B16</f>
        <v>60941</v>
      </c>
    </row>
    <row r="17" spans="1:10" x14ac:dyDescent="0.2">
      <c r="A17" s="69" t="s">
        <v>1363</v>
      </c>
      <c r="B17" s="778">
        <v>253000</v>
      </c>
      <c r="C17" s="72">
        <v>64799</v>
      </c>
      <c r="D17" s="72">
        <v>84277</v>
      </c>
      <c r="E17" s="72">
        <v>51007</v>
      </c>
      <c r="F17" s="72">
        <v>36727</v>
      </c>
      <c r="G17" s="72">
        <v>59203</v>
      </c>
      <c r="H17" s="72">
        <v>75000</v>
      </c>
      <c r="I17" s="777">
        <f t="shared" ref="I17:I31" si="1">H17-F17</f>
        <v>38273</v>
      </c>
      <c r="J17" s="1485">
        <f t="shared" si="0"/>
        <v>-178000</v>
      </c>
    </row>
    <row r="18" spans="1:10" x14ac:dyDescent="0.2">
      <c r="A18" s="69" t="s">
        <v>1431</v>
      </c>
      <c r="B18" s="779">
        <v>100000</v>
      </c>
      <c r="C18" s="73">
        <v>126644</v>
      </c>
      <c r="D18" s="73">
        <v>135735</v>
      </c>
      <c r="E18" s="73">
        <v>159904</v>
      </c>
      <c r="F18" s="73">
        <v>180468</v>
      </c>
      <c r="G18" s="73">
        <v>170186</v>
      </c>
      <c r="H18" s="73">
        <v>395734</v>
      </c>
      <c r="I18" s="1485">
        <f>H18-F18</f>
        <v>215266</v>
      </c>
      <c r="J18" s="1485">
        <f t="shared" si="0"/>
        <v>295734</v>
      </c>
    </row>
    <row r="19" spans="1:10" x14ac:dyDescent="0.2">
      <c r="A19" s="69" t="s">
        <v>1364</v>
      </c>
      <c r="B19" s="779">
        <v>10000</v>
      </c>
      <c r="C19" s="73">
        <v>20659</v>
      </c>
      <c r="D19" s="73">
        <v>10567</v>
      </c>
      <c r="E19" s="73">
        <v>8549</v>
      </c>
      <c r="F19" s="73">
        <v>-12807</v>
      </c>
      <c r="G19" s="73">
        <v>-3654</v>
      </c>
      <c r="H19" s="73">
        <v>11822</v>
      </c>
      <c r="I19" s="777">
        <f t="shared" si="1"/>
        <v>24629</v>
      </c>
      <c r="J19" s="777">
        <f t="shared" si="0"/>
        <v>1822</v>
      </c>
    </row>
    <row r="20" spans="1:10" x14ac:dyDescent="0.2">
      <c r="A20" s="69" t="s">
        <v>1429</v>
      </c>
      <c r="B20" s="779">
        <v>664500</v>
      </c>
      <c r="C20" s="73">
        <v>572874</v>
      </c>
      <c r="D20" s="73">
        <v>564595</v>
      </c>
      <c r="E20" s="73">
        <v>589149</v>
      </c>
      <c r="F20" s="73">
        <v>604521</v>
      </c>
      <c r="G20" s="73">
        <v>722528</v>
      </c>
      <c r="H20" s="73">
        <v>1013853</v>
      </c>
      <c r="I20" s="1485">
        <f t="shared" si="1"/>
        <v>409332</v>
      </c>
      <c r="J20" s="1485">
        <f t="shared" si="0"/>
        <v>349353</v>
      </c>
    </row>
    <row r="21" spans="1:10" x14ac:dyDescent="0.2">
      <c r="A21" s="69" t="s">
        <v>1365</v>
      </c>
      <c r="B21" s="776">
        <v>109408</v>
      </c>
      <c r="C21" s="71">
        <v>146939</v>
      </c>
      <c r="D21" s="71">
        <v>249939</v>
      </c>
      <c r="E21" s="71">
        <v>33619</v>
      </c>
      <c r="F21" s="71">
        <v>68693</v>
      </c>
      <c r="G21" s="71">
        <v>200000</v>
      </c>
      <c r="H21" s="71">
        <v>150000</v>
      </c>
      <c r="I21" s="1485">
        <f t="shared" si="1"/>
        <v>81307</v>
      </c>
      <c r="J21" s="777">
        <f t="shared" si="0"/>
        <v>40592</v>
      </c>
    </row>
    <row r="22" spans="1:10" x14ac:dyDescent="0.2">
      <c r="A22" s="69" t="s">
        <v>1366</v>
      </c>
      <c r="B22" s="778">
        <v>88000</v>
      </c>
      <c r="C22" s="72">
        <v>83141</v>
      </c>
      <c r="D22" s="72">
        <v>82190</v>
      </c>
      <c r="E22" s="72">
        <v>86309</v>
      </c>
      <c r="F22" s="72">
        <v>79380</v>
      </c>
      <c r="G22" s="72">
        <v>81500</v>
      </c>
      <c r="H22" s="72">
        <v>84423</v>
      </c>
      <c r="I22" s="777">
        <f t="shared" si="1"/>
        <v>5043</v>
      </c>
      <c r="J22" s="777">
        <f t="shared" si="0"/>
        <v>-3577</v>
      </c>
    </row>
    <row r="23" spans="1:10" x14ac:dyDescent="0.2">
      <c r="A23" s="69" t="s">
        <v>1367</v>
      </c>
      <c r="B23" s="779">
        <v>150064</v>
      </c>
      <c r="C23" s="73">
        <v>113364</v>
      </c>
      <c r="D23" s="73">
        <v>114860</v>
      </c>
      <c r="E23" s="73">
        <v>92716</v>
      </c>
      <c r="F23" s="73">
        <v>308845</v>
      </c>
      <c r="G23" s="73">
        <v>407614</v>
      </c>
      <c r="H23" s="73">
        <v>452383</v>
      </c>
      <c r="I23" s="1485">
        <f t="shared" si="1"/>
        <v>143538</v>
      </c>
      <c r="J23" s="1485">
        <f t="shared" si="0"/>
        <v>302319</v>
      </c>
    </row>
    <row r="24" spans="1:10" x14ac:dyDescent="0.2">
      <c r="A24" s="69" t="s">
        <v>1368</v>
      </c>
      <c r="B24" s="779">
        <v>261000</v>
      </c>
      <c r="C24" s="73">
        <v>418226</v>
      </c>
      <c r="D24" s="73">
        <v>334112</v>
      </c>
      <c r="E24" s="73">
        <v>389962</v>
      </c>
      <c r="F24" s="73">
        <v>538606</v>
      </c>
      <c r="G24" s="73">
        <v>535707</v>
      </c>
      <c r="H24" s="73">
        <v>515286</v>
      </c>
      <c r="I24" s="777">
        <f t="shared" si="1"/>
        <v>-23320</v>
      </c>
      <c r="J24" s="1485">
        <f t="shared" si="0"/>
        <v>254286</v>
      </c>
    </row>
    <row r="25" spans="1:10" x14ac:dyDescent="0.2">
      <c r="A25" s="69" t="s">
        <v>1369</v>
      </c>
      <c r="B25" s="779">
        <v>202000</v>
      </c>
      <c r="C25" s="73">
        <v>177681</v>
      </c>
      <c r="D25" s="73">
        <v>126848</v>
      </c>
      <c r="E25" s="73">
        <v>154225</v>
      </c>
      <c r="F25" s="73">
        <v>166053</v>
      </c>
      <c r="G25" s="73">
        <v>148489</v>
      </c>
      <c r="H25" s="73">
        <v>154562</v>
      </c>
      <c r="I25" s="777">
        <f t="shared" si="1"/>
        <v>-11491</v>
      </c>
      <c r="J25" s="777">
        <f t="shared" si="0"/>
        <v>-47438</v>
      </c>
    </row>
    <row r="26" spans="1:10" x14ac:dyDescent="0.2">
      <c r="A26" s="69" t="s">
        <v>1370</v>
      </c>
      <c r="B26" s="776">
        <v>61000</v>
      </c>
      <c r="C26" s="71">
        <v>51209</v>
      </c>
      <c r="D26" s="71">
        <v>57925</v>
      </c>
      <c r="E26" s="71">
        <v>41344</v>
      </c>
      <c r="F26" s="71">
        <v>41825</v>
      </c>
      <c r="G26" s="71">
        <v>34000</v>
      </c>
      <c r="H26" s="71">
        <v>45264</v>
      </c>
      <c r="I26" s="777">
        <f t="shared" si="1"/>
        <v>3439</v>
      </c>
      <c r="J26" s="777">
        <f t="shared" si="0"/>
        <v>-15736</v>
      </c>
    </row>
    <row r="27" spans="1:10" x14ac:dyDescent="0.2">
      <c r="A27" s="69" t="s">
        <v>1371</v>
      </c>
      <c r="B27" s="778">
        <v>64000</v>
      </c>
      <c r="C27" s="72">
        <v>43108</v>
      </c>
      <c r="D27" s="72">
        <v>48640</v>
      </c>
      <c r="E27" s="72">
        <v>48239</v>
      </c>
      <c r="F27" s="72">
        <v>48039</v>
      </c>
      <c r="G27" s="72">
        <v>56000</v>
      </c>
      <c r="H27" s="72">
        <v>58700</v>
      </c>
      <c r="I27" s="777">
        <f t="shared" si="1"/>
        <v>10661</v>
      </c>
      <c r="J27" s="777">
        <f t="shared" si="0"/>
        <v>-5300</v>
      </c>
    </row>
    <row r="28" spans="1:10" x14ac:dyDescent="0.2">
      <c r="A28" s="69" t="s">
        <v>1372</v>
      </c>
      <c r="B28" s="779">
        <v>64000</v>
      </c>
      <c r="C28" s="73">
        <v>97212</v>
      </c>
      <c r="D28" s="73">
        <v>67038</v>
      </c>
      <c r="E28" s="73">
        <v>89280</v>
      </c>
      <c r="F28" s="73">
        <v>83638</v>
      </c>
      <c r="G28" s="73">
        <v>84292</v>
      </c>
      <c r="H28" s="73">
        <v>79434</v>
      </c>
      <c r="I28" s="777">
        <f t="shared" si="1"/>
        <v>-4204</v>
      </c>
      <c r="J28" s="777">
        <f t="shared" si="0"/>
        <v>15434</v>
      </c>
    </row>
    <row r="29" spans="1:10" x14ac:dyDescent="0.2">
      <c r="A29" s="69" t="s">
        <v>199</v>
      </c>
      <c r="B29" s="779">
        <v>10000</v>
      </c>
      <c r="C29" s="73">
        <v>-152155</v>
      </c>
      <c r="D29" s="73">
        <v>-146211</v>
      </c>
      <c r="E29" s="73">
        <v>9650</v>
      </c>
      <c r="F29" s="73">
        <v>12785</v>
      </c>
      <c r="G29" s="73">
        <v>10000</v>
      </c>
      <c r="H29" s="73">
        <v>18487</v>
      </c>
      <c r="I29" s="777">
        <f t="shared" si="1"/>
        <v>5702</v>
      </c>
      <c r="J29" s="777">
        <f t="shared" si="0"/>
        <v>8487</v>
      </c>
    </row>
    <row r="30" spans="1:10" x14ac:dyDescent="0.2">
      <c r="A30" s="74" t="s">
        <v>204</v>
      </c>
      <c r="B30" s="75">
        <f t="shared" ref="B30:H30" si="2">SUM(B16:B29)</f>
        <v>2448972</v>
      </c>
      <c r="C30" s="75">
        <f t="shared" si="2"/>
        <v>2186801</v>
      </c>
      <c r="D30" s="75">
        <f t="shared" si="2"/>
        <v>2154848</v>
      </c>
      <c r="E30" s="75">
        <f t="shared" si="2"/>
        <v>2222585</v>
      </c>
      <c r="F30" s="75">
        <f t="shared" si="2"/>
        <v>2593595</v>
      </c>
      <c r="G30" s="75">
        <f t="shared" si="2"/>
        <v>2960854</v>
      </c>
      <c r="H30" s="75">
        <f t="shared" si="2"/>
        <v>3527889</v>
      </c>
      <c r="I30" s="777">
        <f>H30-F30</f>
        <v>934294</v>
      </c>
      <c r="J30" s="777">
        <f t="shared" si="0"/>
        <v>1078917</v>
      </c>
    </row>
    <row r="31" spans="1:10" ht="13.5" thickBot="1" x14ac:dyDescent="0.25">
      <c r="A31" s="76" t="s">
        <v>199</v>
      </c>
      <c r="B31" s="778"/>
      <c r="C31" s="72"/>
      <c r="D31" s="72"/>
      <c r="E31" s="72"/>
      <c r="F31" s="72"/>
      <c r="G31" s="72"/>
      <c r="H31" s="72"/>
      <c r="I31" s="780">
        <f t="shared" si="1"/>
        <v>0</v>
      </c>
      <c r="J31" s="780">
        <f t="shared" si="0"/>
        <v>0</v>
      </c>
    </row>
    <row r="32" spans="1:10" ht="14.25" thickTop="1" thickBot="1" x14ac:dyDescent="0.25">
      <c r="A32" s="79" t="s">
        <v>295</v>
      </c>
      <c r="B32" s="79">
        <f t="shared" ref="B32:H32" si="3">SUMPRODUCT(--($A15:$A31="Sub-Total"), B$15:B$31)+B31</f>
        <v>2448972</v>
      </c>
      <c r="C32" s="79">
        <f t="shared" si="3"/>
        <v>2186801</v>
      </c>
      <c r="D32" s="79">
        <f t="shared" si="3"/>
        <v>2154848</v>
      </c>
      <c r="E32" s="79">
        <f t="shared" si="3"/>
        <v>2222585</v>
      </c>
      <c r="F32" s="79">
        <f t="shared" si="3"/>
        <v>2593595</v>
      </c>
      <c r="G32" s="79">
        <f t="shared" si="3"/>
        <v>2960854</v>
      </c>
      <c r="H32" s="79">
        <f t="shared" si="3"/>
        <v>3527889</v>
      </c>
      <c r="I32" s="79">
        <f>H32-F32</f>
        <v>934294</v>
      </c>
      <c r="J32" s="79">
        <f t="shared" si="0"/>
        <v>1078917</v>
      </c>
    </row>
    <row r="34" spans="1:10" x14ac:dyDescent="0.2">
      <c r="A34" s="82" t="s">
        <v>11</v>
      </c>
      <c r="H34" s="83"/>
    </row>
    <row r="36" spans="1:10" ht="27.75" customHeight="1" x14ac:dyDescent="0.2">
      <c r="A36" s="1556" t="s">
        <v>765</v>
      </c>
      <c r="B36" s="1556"/>
      <c r="C36" s="1556"/>
      <c r="D36" s="1556"/>
      <c r="E36" s="1556"/>
      <c r="F36" s="1556"/>
      <c r="G36" s="1556"/>
      <c r="H36" s="1556"/>
      <c r="I36" s="1556"/>
      <c r="J36" s="1556"/>
    </row>
    <row r="37" spans="1:10" ht="15" customHeight="1" x14ac:dyDescent="0.2">
      <c r="A37" s="1556" t="s">
        <v>868</v>
      </c>
      <c r="B37" s="1556"/>
      <c r="C37" s="1556"/>
      <c r="D37" s="1556"/>
      <c r="E37" s="1556"/>
      <c r="F37" s="1556"/>
      <c r="G37" s="1556"/>
      <c r="H37" s="1556"/>
      <c r="I37" s="1556"/>
      <c r="J37" s="1556"/>
    </row>
    <row r="38" spans="1:10" ht="27" customHeight="1" x14ac:dyDescent="0.2">
      <c r="A38" s="1556"/>
      <c r="B38" s="1557"/>
      <c r="C38" s="1557"/>
      <c r="D38" s="1557"/>
      <c r="E38" s="1557"/>
      <c r="F38" s="1557"/>
      <c r="G38" s="1557"/>
      <c r="H38" s="1557"/>
      <c r="I38" s="1557"/>
    </row>
    <row r="40" spans="1:10" x14ac:dyDescent="0.2">
      <c r="A40" s="1554"/>
      <c r="B40" s="1554"/>
      <c r="C40" s="1554"/>
      <c r="D40" s="1554"/>
      <c r="E40" s="1554"/>
      <c r="F40" s="1554"/>
      <c r="G40" s="1554"/>
      <c r="H40" s="1554"/>
      <c r="I40" s="1554"/>
      <c r="J40" s="1554"/>
    </row>
    <row r="41" spans="1:10" x14ac:dyDescent="0.2">
      <c r="A41" s="1554"/>
      <c r="B41" s="1554"/>
      <c r="C41" s="1554"/>
      <c r="D41" s="1554"/>
      <c r="E41" s="1554"/>
      <c r="F41" s="1554"/>
      <c r="G41" s="1554"/>
      <c r="H41" s="1554"/>
      <c r="I41" s="1554"/>
      <c r="J41" s="1554"/>
    </row>
    <row r="43" spans="1:10" x14ac:dyDescent="0.2">
      <c r="A43" s="60"/>
    </row>
  </sheetData>
  <mergeCells count="7">
    <mergeCell ref="A40:J41"/>
    <mergeCell ref="A9:I9"/>
    <mergeCell ref="A10:I10"/>
    <mergeCell ref="A12:I12"/>
    <mergeCell ref="A38:I38"/>
    <mergeCell ref="A36:J36"/>
    <mergeCell ref="A37:J37"/>
  </mergeCells>
  <dataValidations count="1">
    <dataValidation type="list" allowBlank="1" showInputMessage="1" showErrorMessage="1" sqref="B14:J14">
      <formula1>"CGAAP, MIFRS, USGAAP, ASPE"</formula1>
    </dataValidation>
  </dataValidations>
  <pageMargins left="0.75" right="0.75" top="1" bottom="1" header="0.5" footer="0.5"/>
  <pageSetup scale="51" orientation="portrait" r:id="rId1"/>
  <headerFooter alignWithMargins="0"/>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2">
    <tabColor theme="7" tint="0.39997558519241921"/>
    <pageSetUpPr autoPageBreaks="0" fitToPage="1"/>
  </sheetPr>
  <dimension ref="A1:I32"/>
  <sheetViews>
    <sheetView showGridLines="0" zoomScaleNormal="100" workbookViewId="0">
      <selection activeCell="A9" sqref="A9:H9"/>
    </sheetView>
  </sheetViews>
  <sheetFormatPr defaultRowHeight="12.75" x14ac:dyDescent="0.2"/>
  <cols>
    <col min="1" max="1" width="56.85546875" style="43" customWidth="1"/>
    <col min="2" max="7" width="15.7109375" style="43" customWidth="1"/>
    <col min="8" max="8" width="13.28515625" style="43" customWidth="1"/>
    <col min="9" max="16384" width="9.140625" style="43"/>
  </cols>
  <sheetData>
    <row r="1" spans="1:9" x14ac:dyDescent="0.2">
      <c r="G1" s="562" t="s">
        <v>301</v>
      </c>
      <c r="H1" s="1092" t="str">
        <f>EBNUMBER</f>
        <v>EB-2016-0066</v>
      </c>
    </row>
    <row r="2" spans="1:9" x14ac:dyDescent="0.2">
      <c r="G2" s="562" t="s">
        <v>302</v>
      </c>
      <c r="H2" s="62"/>
    </row>
    <row r="3" spans="1:9" x14ac:dyDescent="0.2">
      <c r="G3" s="562" t="s">
        <v>303</v>
      </c>
      <c r="H3" s="62"/>
    </row>
    <row r="4" spans="1:9" x14ac:dyDescent="0.2">
      <c r="G4" s="562" t="s">
        <v>304</v>
      </c>
      <c r="H4" s="62"/>
    </row>
    <row r="5" spans="1:9" x14ac:dyDescent="0.2">
      <c r="G5" s="562" t="s">
        <v>305</v>
      </c>
      <c r="H5" s="63"/>
    </row>
    <row r="6" spans="1:9" ht="9" customHeight="1" x14ac:dyDescent="0.2">
      <c r="G6" s="562"/>
      <c r="H6" s="61"/>
    </row>
    <row r="7" spans="1:9" x14ac:dyDescent="0.2">
      <c r="G7" s="562" t="s">
        <v>306</v>
      </c>
      <c r="H7" s="63"/>
    </row>
    <row r="8" spans="1:9" ht="9" customHeight="1" x14ac:dyDescent="0.2"/>
    <row r="9" spans="1:9" ht="17.25" customHeight="1" x14ac:dyDescent="0.25">
      <c r="A9" s="1546" t="s">
        <v>239</v>
      </c>
      <c r="B9" s="1546"/>
      <c r="C9" s="1546"/>
      <c r="D9" s="1546"/>
      <c r="E9" s="1546"/>
      <c r="F9" s="1546"/>
      <c r="G9" s="1546"/>
      <c r="H9" s="1546"/>
    </row>
    <row r="10" spans="1:9" ht="18" x14ac:dyDescent="0.25">
      <c r="A10" s="1546" t="s">
        <v>1</v>
      </c>
      <c r="B10" s="1546"/>
      <c r="C10" s="1546"/>
      <c r="D10" s="1546"/>
      <c r="E10" s="1546"/>
      <c r="F10" s="1546"/>
      <c r="G10" s="1546"/>
      <c r="H10" s="1546"/>
    </row>
    <row r="11" spans="1:9" ht="9" customHeight="1" thickBot="1" x14ac:dyDescent="0.25"/>
    <row r="12" spans="1:9" ht="51.75" thickBot="1" x14ac:dyDescent="0.25">
      <c r="A12" s="781"/>
      <c r="B12" s="782" t="str">
        <f>"Last Rebasing Year - "&amp;RebaseYear&amp;"- Board Approved"</f>
        <v>Last Rebasing Year - 2012- Board Approved</v>
      </c>
      <c r="C12" s="782" t="str">
        <f>"Last Rebasing Year - "&amp;RebaseYear&amp;"-  Actual"</f>
        <v>Last Rebasing Year - 2012-  Actual</v>
      </c>
      <c r="D12" s="782" t="s">
        <v>1306</v>
      </c>
      <c r="E12" s="684" t="str">
        <f>BridgeYear -2 &amp; " Actuals"</f>
        <v>2014 Actuals</v>
      </c>
      <c r="F12" s="684" t="str">
        <f>BridgeYear -1 &amp; " Actuals"</f>
        <v>2015 Actuals</v>
      </c>
      <c r="G12" s="684" t="str">
        <f>BridgeYear &amp; " Bridge Year"</f>
        <v>2016 Bridge Year</v>
      </c>
      <c r="H12" s="685" t="str">
        <f>TestYear &amp; " Test Year"</f>
        <v>2017 Test Year</v>
      </c>
      <c r="I12" s="681"/>
    </row>
    <row r="13" spans="1:9" ht="14.25" x14ac:dyDescent="0.2">
      <c r="A13" s="1897" t="s">
        <v>97</v>
      </c>
      <c r="B13" s="1898"/>
      <c r="C13" s="1898"/>
      <c r="D13" s="1898"/>
      <c r="E13" s="1898"/>
      <c r="F13" s="1898"/>
      <c r="G13" s="1898"/>
      <c r="H13" s="1899"/>
    </row>
    <row r="14" spans="1:9" x14ac:dyDescent="0.2">
      <c r="A14" s="680" t="s">
        <v>744</v>
      </c>
      <c r="B14" s="783">
        <v>4</v>
      </c>
      <c r="C14" s="783">
        <v>4</v>
      </c>
      <c r="D14" s="783">
        <v>4</v>
      </c>
      <c r="E14" s="783">
        <v>4</v>
      </c>
      <c r="F14" s="783">
        <v>4</v>
      </c>
      <c r="G14" s="783">
        <v>4</v>
      </c>
      <c r="H14" s="783">
        <f>4+2</f>
        <v>6</v>
      </c>
    </row>
    <row r="15" spans="1:9" x14ac:dyDescent="0.2">
      <c r="A15" s="680" t="s">
        <v>1305</v>
      </c>
      <c r="B15" s="783">
        <f>15+10+5</f>
        <v>30</v>
      </c>
      <c r="C15" s="783">
        <v>30</v>
      </c>
      <c r="D15" s="783">
        <v>31</v>
      </c>
      <c r="E15" s="783">
        <v>31</v>
      </c>
      <c r="F15" s="783">
        <v>31</v>
      </c>
      <c r="G15" s="783">
        <v>30</v>
      </c>
      <c r="H15" s="783">
        <v>32</v>
      </c>
    </row>
    <row r="16" spans="1:9" x14ac:dyDescent="0.2">
      <c r="A16" s="680" t="s">
        <v>295</v>
      </c>
      <c r="B16" s="784">
        <f t="shared" ref="B16:H16" si="0">SUM(B14:B15)</f>
        <v>34</v>
      </c>
      <c r="C16" s="784">
        <f t="shared" si="0"/>
        <v>34</v>
      </c>
      <c r="D16" s="784">
        <f t="shared" si="0"/>
        <v>35</v>
      </c>
      <c r="E16" s="784">
        <f t="shared" si="0"/>
        <v>35</v>
      </c>
      <c r="F16" s="784">
        <f t="shared" si="0"/>
        <v>35</v>
      </c>
      <c r="G16" s="784">
        <f t="shared" si="0"/>
        <v>34</v>
      </c>
      <c r="H16" s="784">
        <f t="shared" si="0"/>
        <v>38</v>
      </c>
    </row>
    <row r="17" spans="1:8" x14ac:dyDescent="0.2">
      <c r="A17" s="1894" t="s">
        <v>745</v>
      </c>
      <c r="B17" s="1895"/>
      <c r="C17" s="1895"/>
      <c r="D17" s="1895"/>
      <c r="E17" s="1895"/>
      <c r="F17" s="1895"/>
      <c r="G17" s="1895"/>
      <c r="H17" s="1896"/>
    </row>
    <row r="18" spans="1:8" x14ac:dyDescent="0.2">
      <c r="A18" s="680" t="s">
        <v>744</v>
      </c>
      <c r="B18" s="320">
        <f>392411</f>
        <v>392411</v>
      </c>
      <c r="C18" s="320">
        <v>398259</v>
      </c>
      <c r="D18" s="320">
        <v>424501</v>
      </c>
      <c r="E18" s="320">
        <v>449365.86</v>
      </c>
      <c r="F18" s="320">
        <v>497936.2</v>
      </c>
      <c r="G18" s="320">
        <f>261430.39*2</f>
        <v>522860.78</v>
      </c>
      <c r="H18" s="320">
        <f>G18*1.025+125000+100000</f>
        <v>760932.29949999996</v>
      </c>
    </row>
    <row r="19" spans="1:8" x14ac:dyDescent="0.2">
      <c r="A19" s="680" t="s">
        <v>1305</v>
      </c>
      <c r="B19" s="320">
        <f>42128+1064488+21709+6041</f>
        <v>1134366</v>
      </c>
      <c r="C19" s="320">
        <v>1178610</v>
      </c>
      <c r="D19" s="320">
        <v>1225817</v>
      </c>
      <c r="E19" s="320">
        <v>1241038.54</v>
      </c>
      <c r="F19" s="320">
        <v>1250189.1000000001</v>
      </c>
      <c r="G19" s="320">
        <f>588272.9*2</f>
        <v>1176545.8</v>
      </c>
      <c r="H19" s="320">
        <f>G19*1.025+120000+120000</f>
        <v>1445959.4449999998</v>
      </c>
    </row>
    <row r="20" spans="1:8" x14ac:dyDescent="0.2">
      <c r="A20" s="680" t="s">
        <v>295</v>
      </c>
      <c r="B20" s="785">
        <f t="shared" ref="B20:H20" si="1">SUM(B18:B19)</f>
        <v>1526777</v>
      </c>
      <c r="C20" s="785">
        <f t="shared" si="1"/>
        <v>1576869</v>
      </c>
      <c r="D20" s="785"/>
      <c r="E20" s="785">
        <f t="shared" si="1"/>
        <v>1690404.4</v>
      </c>
      <c r="F20" s="785">
        <f t="shared" si="1"/>
        <v>1748125.3</v>
      </c>
      <c r="G20" s="785">
        <f t="shared" si="1"/>
        <v>1699406.58</v>
      </c>
      <c r="H20" s="785">
        <f t="shared" si="1"/>
        <v>2206891.7445</v>
      </c>
    </row>
    <row r="21" spans="1:8" ht="14.25" x14ac:dyDescent="0.2">
      <c r="A21" s="1894" t="s">
        <v>1141</v>
      </c>
      <c r="B21" s="1895"/>
      <c r="C21" s="1895"/>
      <c r="D21" s="1895"/>
      <c r="E21" s="1895"/>
      <c r="F21" s="1895"/>
      <c r="G21" s="1895"/>
      <c r="H21" s="1896"/>
    </row>
    <row r="22" spans="1:8" x14ac:dyDescent="0.2">
      <c r="A22" s="680" t="s">
        <v>744</v>
      </c>
      <c r="B22" s="320">
        <v>29989</v>
      </c>
      <c r="C22" s="320">
        <v>25406.880000000001</v>
      </c>
      <c r="D22" s="320">
        <v>26089</v>
      </c>
      <c r="E22" s="320">
        <v>24223.8</v>
      </c>
      <c r="F22" s="320">
        <v>24697.200000000001</v>
      </c>
      <c r="G22" s="320">
        <f>13352.52*2</f>
        <v>26705.040000000001</v>
      </c>
      <c r="H22" s="320">
        <f>G22*1.025</f>
        <v>27372.665999999997</v>
      </c>
    </row>
    <row r="23" spans="1:8" x14ac:dyDescent="0.2">
      <c r="A23" s="680" t="s">
        <v>1305</v>
      </c>
      <c r="B23" s="320">
        <f>85770+32010</f>
        <v>117780</v>
      </c>
      <c r="C23" s="320">
        <v>127421.29</v>
      </c>
      <c r="D23" s="320">
        <v>99012</v>
      </c>
      <c r="E23" s="320">
        <v>77160.11</v>
      </c>
      <c r="F23" s="320">
        <v>75850.55</v>
      </c>
      <c r="G23" s="320">
        <f>47198.74*2</f>
        <v>94397.48</v>
      </c>
      <c r="H23" s="320">
        <f>G23*1.025</f>
        <v>96757.416999999987</v>
      </c>
    </row>
    <row r="24" spans="1:8" x14ac:dyDescent="0.2">
      <c r="A24" s="680" t="s">
        <v>295</v>
      </c>
      <c r="B24" s="785">
        <f>SUM(B22:B23)</f>
        <v>147769</v>
      </c>
      <c r="C24" s="785">
        <f t="shared" ref="C24:H24" si="2">SUM(C22:C23)</f>
        <v>152828.16999999998</v>
      </c>
      <c r="D24" s="785">
        <f t="shared" si="2"/>
        <v>125101</v>
      </c>
      <c r="E24" s="785">
        <f t="shared" si="2"/>
        <v>101383.91</v>
      </c>
      <c r="F24" s="785">
        <f t="shared" si="2"/>
        <v>100547.75</v>
      </c>
      <c r="G24" s="785">
        <f t="shared" si="2"/>
        <v>121102.51999999999</v>
      </c>
      <c r="H24" s="785">
        <f t="shared" si="2"/>
        <v>124130.08299999998</v>
      </c>
    </row>
    <row r="25" spans="1:8" x14ac:dyDescent="0.2">
      <c r="A25" s="1894" t="s">
        <v>0</v>
      </c>
      <c r="B25" s="1895"/>
      <c r="C25" s="1895"/>
      <c r="D25" s="1895"/>
      <c r="E25" s="1895"/>
      <c r="F25" s="1895"/>
      <c r="G25" s="1895"/>
      <c r="H25" s="1896"/>
    </row>
    <row r="26" spans="1:8" x14ac:dyDescent="0.2">
      <c r="A26" s="680" t="s">
        <v>744</v>
      </c>
      <c r="B26" s="785">
        <f t="shared" ref="B26:H28" si="3">B18+B22</f>
        <v>422400</v>
      </c>
      <c r="C26" s="785">
        <f t="shared" si="3"/>
        <v>423665.88</v>
      </c>
      <c r="D26" s="785">
        <f>D18+D22</f>
        <v>450590</v>
      </c>
      <c r="E26" s="785">
        <f t="shared" si="3"/>
        <v>473589.66</v>
      </c>
      <c r="F26" s="785">
        <f t="shared" si="3"/>
        <v>522633.4</v>
      </c>
      <c r="G26" s="785">
        <f t="shared" si="3"/>
        <v>549565.82000000007</v>
      </c>
      <c r="H26" s="785">
        <f t="shared" si="3"/>
        <v>788304.96549999993</v>
      </c>
    </row>
    <row r="27" spans="1:8" x14ac:dyDescent="0.2">
      <c r="A27" s="680" t="s">
        <v>1305</v>
      </c>
      <c r="B27" s="785">
        <f t="shared" si="3"/>
        <v>1252146</v>
      </c>
      <c r="C27" s="785">
        <f t="shared" si="3"/>
        <v>1306031.29</v>
      </c>
      <c r="D27" s="785">
        <f>D19+D23</f>
        <v>1324829</v>
      </c>
      <c r="E27" s="785">
        <f t="shared" si="3"/>
        <v>1318198.6500000001</v>
      </c>
      <c r="F27" s="785">
        <f t="shared" si="3"/>
        <v>1326039.6500000001</v>
      </c>
      <c r="G27" s="785">
        <f t="shared" si="3"/>
        <v>1270943.28</v>
      </c>
      <c r="H27" s="785">
        <f t="shared" si="3"/>
        <v>1542716.8619999997</v>
      </c>
    </row>
    <row r="28" spans="1:8" x14ac:dyDescent="0.2">
      <c r="A28" s="680" t="s">
        <v>295</v>
      </c>
      <c r="B28" s="785">
        <f t="shared" si="3"/>
        <v>1674546</v>
      </c>
      <c r="C28" s="785">
        <f t="shared" si="3"/>
        <v>1729697.17</v>
      </c>
      <c r="D28" s="785">
        <f>D20+D24</f>
        <v>125101</v>
      </c>
      <c r="E28" s="785">
        <f t="shared" si="3"/>
        <v>1791788.3099999998</v>
      </c>
      <c r="F28" s="785">
        <f t="shared" si="3"/>
        <v>1848673.05</v>
      </c>
      <c r="G28" s="785">
        <f t="shared" si="3"/>
        <v>1820509.1</v>
      </c>
      <c r="H28" s="785">
        <f t="shared" si="3"/>
        <v>2331021.8275000001</v>
      </c>
    </row>
    <row r="30" spans="1:8" ht="19.5" customHeight="1" x14ac:dyDescent="0.2">
      <c r="A30" s="786" t="s">
        <v>117</v>
      </c>
    </row>
    <row r="31" spans="1:8" ht="14.25" x14ac:dyDescent="0.2">
      <c r="A31" s="787" t="s">
        <v>1289</v>
      </c>
    </row>
    <row r="32" spans="1:8" ht="29.25" customHeight="1" x14ac:dyDescent="0.2">
      <c r="A32" s="1893" t="s">
        <v>1290</v>
      </c>
      <c r="B32" s="1893"/>
      <c r="C32" s="1893"/>
      <c r="D32" s="1893"/>
      <c r="E32" s="1893"/>
      <c r="F32" s="1893"/>
      <c r="G32" s="1893"/>
      <c r="H32" s="1893"/>
    </row>
  </sheetData>
  <mergeCells count="7">
    <mergeCell ref="A32:H32"/>
    <mergeCell ref="A25:H25"/>
    <mergeCell ref="A9:H9"/>
    <mergeCell ref="A10:H10"/>
    <mergeCell ref="A13:H13"/>
    <mergeCell ref="A17:H17"/>
    <mergeCell ref="A21:H21"/>
  </mergeCells>
  <phoneticPr fontId="16" type="noConversion"/>
  <dataValidations count="1">
    <dataValidation allowBlank="1" showInputMessage="1" showErrorMessage="1" promptTitle="Date Format" prompt="E.g:  &quot;August 1, 2011&quot;" sqref="H7"/>
  </dataValidations>
  <printOptions horizontalCentered="1"/>
  <pageMargins left="0.74803149606299213" right="0.74803149606299213" top="0.98425196850393704" bottom="0.98425196850393704" header="0.51181102362204722" footer="0.51181102362204722"/>
  <pageSetup scale="55" orientation="portrait" r:id="rId1"/>
  <headerFooter alignWithMargins="0"/>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0">
    <tabColor theme="7" tint="0.39997558519241921"/>
  </sheetPr>
  <dimension ref="B1:K40"/>
  <sheetViews>
    <sheetView showGridLines="0" workbookViewId="0">
      <selection activeCell="B9" sqref="B9:K9"/>
    </sheetView>
  </sheetViews>
  <sheetFormatPr defaultRowHeight="12.75" x14ac:dyDescent="0.2"/>
  <cols>
    <col min="1" max="1" width="2.42578125" customWidth="1"/>
    <col min="2" max="2" width="4.85546875" customWidth="1"/>
    <col min="3" max="3" width="23.28515625" customWidth="1"/>
    <col min="4" max="10" width="14.7109375" customWidth="1"/>
    <col min="11" max="11" width="18.7109375" customWidth="1"/>
  </cols>
  <sheetData>
    <row r="1" spans="2:11" x14ac:dyDescent="0.2">
      <c r="J1" s="562" t="s">
        <v>301</v>
      </c>
      <c r="K1" s="1165" t="str">
        <f>EBNUMBER</f>
        <v>EB-2016-0066</v>
      </c>
    </row>
    <row r="2" spans="2:11" x14ac:dyDescent="0.2">
      <c r="J2" s="562" t="s">
        <v>302</v>
      </c>
      <c r="K2" s="62"/>
    </row>
    <row r="3" spans="2:11" x14ac:dyDescent="0.2">
      <c r="J3" s="562" t="s">
        <v>303</v>
      </c>
      <c r="K3" s="62"/>
    </row>
    <row r="4" spans="2:11" x14ac:dyDescent="0.2">
      <c r="J4" s="562" t="s">
        <v>304</v>
      </c>
      <c r="K4" s="62"/>
    </row>
    <row r="5" spans="2:11" x14ac:dyDescent="0.2">
      <c r="J5" s="562" t="s">
        <v>305</v>
      </c>
      <c r="K5" s="63"/>
    </row>
    <row r="6" spans="2:11" x14ac:dyDescent="0.2">
      <c r="J6" s="562"/>
      <c r="K6" s="61"/>
    </row>
    <row r="7" spans="2:11" x14ac:dyDescent="0.2">
      <c r="J7" s="562" t="s">
        <v>306</v>
      </c>
      <c r="K7" s="63"/>
    </row>
    <row r="9" spans="2:11" ht="18" x14ac:dyDescent="0.25">
      <c r="B9" s="1909" t="s">
        <v>1143</v>
      </c>
      <c r="C9" s="1909"/>
      <c r="D9" s="1909"/>
      <c r="E9" s="1909"/>
      <c r="F9" s="1909"/>
      <c r="G9" s="1909"/>
      <c r="H9" s="1909"/>
      <c r="I9" s="1909"/>
      <c r="J9" s="1909"/>
      <c r="K9" s="1909"/>
    </row>
    <row r="10" spans="2:11" ht="18" x14ac:dyDescent="0.25">
      <c r="B10" s="1909" t="s">
        <v>1149</v>
      </c>
      <c r="C10" s="1909"/>
      <c r="D10" s="1909"/>
      <c r="E10" s="1909"/>
      <c r="F10" s="1909"/>
      <c r="G10" s="1909"/>
      <c r="H10" s="1909"/>
      <c r="I10" s="1909"/>
      <c r="J10" s="1909"/>
      <c r="K10" s="1909"/>
    </row>
    <row r="12" spans="2:11" ht="27.75" customHeight="1" x14ac:dyDescent="0.2">
      <c r="B12" s="1213" t="s">
        <v>1020</v>
      </c>
      <c r="C12" s="1543" t="s">
        <v>1145</v>
      </c>
      <c r="D12" s="1543"/>
      <c r="E12" s="1543"/>
      <c r="F12" s="1543"/>
      <c r="G12" s="1543"/>
      <c r="H12" s="1543"/>
      <c r="I12" s="1543"/>
      <c r="J12" s="1543"/>
      <c r="K12" s="1212" t="s">
        <v>1434</v>
      </c>
    </row>
    <row r="14" spans="2:11" x14ac:dyDescent="0.2">
      <c r="C14" s="3" t="s">
        <v>1146</v>
      </c>
      <c r="D14" s="3"/>
      <c r="E14" s="3"/>
      <c r="F14" s="3"/>
      <c r="G14" s="3"/>
    </row>
    <row r="15" spans="2:11" ht="15.75" customHeight="1" x14ac:dyDescent="0.2">
      <c r="C15" s="1543" t="s">
        <v>1147</v>
      </c>
      <c r="D15" s="1543"/>
      <c r="E15" s="1543"/>
      <c r="F15" s="1543"/>
      <c r="G15" s="1543"/>
      <c r="H15" s="1543"/>
      <c r="I15" s="1543"/>
      <c r="J15" s="1543"/>
      <c r="K15" s="1543"/>
    </row>
    <row r="16" spans="2:11" ht="13.5" thickBot="1" x14ac:dyDescent="0.25"/>
    <row r="17" spans="2:11" x14ac:dyDescent="0.2">
      <c r="C17" s="1910"/>
      <c r="D17" s="1901"/>
      <c r="E17" s="1901"/>
      <c r="F17" s="1901"/>
      <c r="G17" s="1901"/>
      <c r="H17" s="1901"/>
      <c r="I17" s="1901"/>
      <c r="J17" s="1901"/>
      <c r="K17" s="1902"/>
    </row>
    <row r="18" spans="2:11" x14ac:dyDescent="0.2">
      <c r="C18" s="1903"/>
      <c r="D18" s="1904"/>
      <c r="E18" s="1904"/>
      <c r="F18" s="1904"/>
      <c r="G18" s="1904"/>
      <c r="H18" s="1904"/>
      <c r="I18" s="1904"/>
      <c r="J18" s="1904"/>
      <c r="K18" s="1905"/>
    </row>
    <row r="19" spans="2:11" x14ac:dyDescent="0.2">
      <c r="C19" s="1903"/>
      <c r="D19" s="1904"/>
      <c r="E19" s="1904"/>
      <c r="F19" s="1904"/>
      <c r="G19" s="1904"/>
      <c r="H19" s="1904"/>
      <c r="I19" s="1904"/>
      <c r="J19" s="1904"/>
      <c r="K19" s="1905"/>
    </row>
    <row r="20" spans="2:11" x14ac:dyDescent="0.2">
      <c r="C20" s="1903"/>
      <c r="D20" s="1904"/>
      <c r="E20" s="1904"/>
      <c r="F20" s="1904"/>
      <c r="G20" s="1904"/>
      <c r="H20" s="1904"/>
      <c r="I20" s="1904"/>
      <c r="J20" s="1904"/>
      <c r="K20" s="1905"/>
    </row>
    <row r="21" spans="2:11" x14ac:dyDescent="0.2">
      <c r="C21" s="1903"/>
      <c r="D21" s="1904"/>
      <c r="E21" s="1904"/>
      <c r="F21" s="1904"/>
      <c r="G21" s="1904"/>
      <c r="H21" s="1904"/>
      <c r="I21" s="1904"/>
      <c r="J21" s="1904"/>
      <c r="K21" s="1905"/>
    </row>
    <row r="22" spans="2:11" ht="13.5" thickBot="1" x14ac:dyDescent="0.25">
      <c r="C22" s="1906"/>
      <c r="D22" s="1907"/>
      <c r="E22" s="1907"/>
      <c r="F22" s="1907"/>
      <c r="G22" s="1907"/>
      <c r="H22" s="1907"/>
      <c r="I22" s="1907"/>
      <c r="J22" s="1907"/>
      <c r="K22" s="1908"/>
    </row>
    <row r="24" spans="2:11" x14ac:dyDescent="0.2">
      <c r="B24" s="1213" t="s">
        <v>150</v>
      </c>
      <c r="C24" s="13" t="s">
        <v>1148</v>
      </c>
      <c r="D24" s="13"/>
      <c r="E24" s="13"/>
      <c r="F24" s="13"/>
      <c r="G24" s="13"/>
    </row>
    <row r="25" spans="2:11" ht="13.5" thickBot="1" x14ac:dyDescent="0.25"/>
    <row r="26" spans="2:11" ht="39" thickBot="1" x14ac:dyDescent="0.25">
      <c r="C26" s="1217" t="s">
        <v>1150</v>
      </c>
      <c r="D26" s="1224" t="str">
        <f>CONCATENATE("First Year of recovery to ",E26-1)</f>
        <v>First Year of recovery to 2011</v>
      </c>
      <c r="E26" s="1228">
        <f>F26-1</f>
        <v>2012</v>
      </c>
      <c r="F26" s="1228">
        <f>G26-1</f>
        <v>2013</v>
      </c>
      <c r="G26" s="1228">
        <f>H26-1</f>
        <v>2014</v>
      </c>
      <c r="H26" s="1228">
        <f>I26-1</f>
        <v>2015</v>
      </c>
      <c r="I26" s="1228">
        <f>BridgeYear</f>
        <v>2016</v>
      </c>
      <c r="J26" s="1218">
        <f>TestYear</f>
        <v>2017</v>
      </c>
      <c r="K26" s="1218" t="s">
        <v>295</v>
      </c>
    </row>
    <row r="27" spans="2:11" x14ac:dyDescent="0.2">
      <c r="C27" s="1235" t="s">
        <v>1151</v>
      </c>
      <c r="D27" s="1233"/>
      <c r="E27" s="1233"/>
      <c r="F27" s="1233"/>
      <c r="G27" s="1233"/>
      <c r="H27" s="1233"/>
      <c r="I27" s="1233"/>
      <c r="J27" s="1234"/>
      <c r="K27" s="1234"/>
    </row>
    <row r="28" spans="2:11" x14ac:dyDescent="0.2">
      <c r="C28" s="1236" t="s">
        <v>1152</v>
      </c>
      <c r="D28" s="1230">
        <v>21674</v>
      </c>
      <c r="E28" s="1230">
        <v>21951</v>
      </c>
      <c r="F28" s="1230">
        <v>21951</v>
      </c>
      <c r="G28" s="1230">
        <v>22321</v>
      </c>
      <c r="H28" s="1230">
        <v>22675</v>
      </c>
      <c r="I28" s="1230">
        <v>22895</v>
      </c>
      <c r="J28" s="1231">
        <v>30021</v>
      </c>
      <c r="K28" s="1232">
        <f>SUM(D28:J28)</f>
        <v>163488</v>
      </c>
    </row>
    <row r="29" spans="2:11" ht="13.5" thickBot="1" x14ac:dyDescent="0.25">
      <c r="C29" s="1237" t="s">
        <v>1153</v>
      </c>
      <c r="D29" s="1226">
        <v>5883</v>
      </c>
      <c r="E29" s="1226">
        <v>5959</v>
      </c>
      <c r="F29" s="1226">
        <v>5959</v>
      </c>
      <c r="G29" s="1225">
        <v>6059</v>
      </c>
      <c r="H29" s="1226">
        <v>6155</v>
      </c>
      <c r="I29" s="1225">
        <v>6215</v>
      </c>
      <c r="J29" s="1220">
        <v>8149</v>
      </c>
      <c r="K29" s="1101">
        <f>SUM(D29:J29)</f>
        <v>44379</v>
      </c>
    </row>
    <row r="30" spans="2:11" ht="14.25" thickTop="1" thickBot="1" x14ac:dyDescent="0.25">
      <c r="C30" s="1222" t="s">
        <v>1154</v>
      </c>
      <c r="D30" s="1227">
        <f>SUM(D28:D29)</f>
        <v>27557</v>
      </c>
      <c r="E30" s="1227">
        <f t="shared" ref="E30:K30" si="0">SUM(E28:E29)</f>
        <v>27910</v>
      </c>
      <c r="F30" s="1227">
        <f t="shared" si="0"/>
        <v>27910</v>
      </c>
      <c r="G30" s="1229">
        <f t="shared" si="0"/>
        <v>28380</v>
      </c>
      <c r="H30" s="1227">
        <f t="shared" si="0"/>
        <v>28830</v>
      </c>
      <c r="I30" s="1229">
        <f t="shared" si="0"/>
        <v>29110</v>
      </c>
      <c r="J30" s="1214">
        <f t="shared" si="0"/>
        <v>38170</v>
      </c>
      <c r="K30" s="1221">
        <f t="shared" si="0"/>
        <v>207867</v>
      </c>
    </row>
    <row r="31" spans="2:11" ht="13.5" thickBot="1" x14ac:dyDescent="0.25">
      <c r="C31" s="1223" t="s">
        <v>1155</v>
      </c>
      <c r="D31" s="1226">
        <v>26276</v>
      </c>
      <c r="E31" s="1226">
        <v>27000</v>
      </c>
      <c r="F31" s="1226">
        <v>23000</v>
      </c>
      <c r="G31" s="1225">
        <v>23000</v>
      </c>
      <c r="H31" s="1226">
        <v>19000</v>
      </c>
      <c r="I31" s="1225">
        <v>19000</v>
      </c>
      <c r="J31" s="1219">
        <v>19000</v>
      </c>
      <c r="K31" s="1215">
        <f>SUM(D31:J31)</f>
        <v>156276</v>
      </c>
    </row>
    <row r="32" spans="2:11" ht="52.5" customHeight="1" thickTop="1" thickBot="1" x14ac:dyDescent="0.25">
      <c r="C32" s="1216" t="s">
        <v>1156</v>
      </c>
      <c r="D32" s="1238">
        <f>D30-D31</f>
        <v>1281</v>
      </c>
      <c r="E32" s="1238">
        <f t="shared" ref="E32:J32" si="1">E30-E31</f>
        <v>910</v>
      </c>
      <c r="F32" s="1238">
        <f t="shared" si="1"/>
        <v>4910</v>
      </c>
      <c r="G32" s="1239">
        <f t="shared" si="1"/>
        <v>5380</v>
      </c>
      <c r="H32" s="1238">
        <f t="shared" si="1"/>
        <v>9830</v>
      </c>
      <c r="I32" s="1239">
        <f t="shared" si="1"/>
        <v>10110</v>
      </c>
      <c r="J32" s="1240">
        <f t="shared" si="1"/>
        <v>19170</v>
      </c>
      <c r="K32" s="1241">
        <f>SUM(D32:J32)</f>
        <v>51591</v>
      </c>
    </row>
    <row r="34" spans="2:11" x14ac:dyDescent="0.2">
      <c r="B34" s="3" t="s">
        <v>152</v>
      </c>
      <c r="C34" s="13" t="s">
        <v>1157</v>
      </c>
    </row>
    <row r="35" spans="2:11" ht="13.5" thickBot="1" x14ac:dyDescent="0.25"/>
    <row r="36" spans="2:11" x14ac:dyDescent="0.2">
      <c r="C36" s="1900" t="s">
        <v>1373</v>
      </c>
      <c r="D36" s="1901"/>
      <c r="E36" s="1901"/>
      <c r="F36" s="1901"/>
      <c r="G36" s="1901"/>
      <c r="H36" s="1901"/>
      <c r="I36" s="1901"/>
      <c r="J36" s="1901"/>
      <c r="K36" s="1902"/>
    </row>
    <row r="37" spans="2:11" x14ac:dyDescent="0.2">
      <c r="C37" s="1903"/>
      <c r="D37" s="1904"/>
      <c r="E37" s="1904"/>
      <c r="F37" s="1904"/>
      <c r="G37" s="1904"/>
      <c r="H37" s="1904"/>
      <c r="I37" s="1904"/>
      <c r="J37" s="1904"/>
      <c r="K37" s="1905"/>
    </row>
    <row r="38" spans="2:11" x14ac:dyDescent="0.2">
      <c r="C38" s="1903"/>
      <c r="D38" s="1904"/>
      <c r="E38" s="1904"/>
      <c r="F38" s="1904"/>
      <c r="G38" s="1904"/>
      <c r="H38" s="1904"/>
      <c r="I38" s="1904"/>
      <c r="J38" s="1904"/>
      <c r="K38" s="1905"/>
    </row>
    <row r="39" spans="2:11" x14ac:dyDescent="0.2">
      <c r="C39" s="1903"/>
      <c r="D39" s="1904"/>
      <c r="E39" s="1904"/>
      <c r="F39" s="1904"/>
      <c r="G39" s="1904"/>
      <c r="H39" s="1904"/>
      <c r="I39" s="1904"/>
      <c r="J39" s="1904"/>
      <c r="K39" s="1905"/>
    </row>
    <row r="40" spans="2:11" ht="13.5" thickBot="1" x14ac:dyDescent="0.25">
      <c r="C40" s="1906"/>
      <c r="D40" s="1907"/>
      <c r="E40" s="1907"/>
      <c r="F40" s="1907"/>
      <c r="G40" s="1907"/>
      <c r="H40" s="1907"/>
      <c r="I40" s="1907"/>
      <c r="J40" s="1907"/>
      <c r="K40" s="1908"/>
    </row>
  </sheetData>
  <mergeCells count="6">
    <mergeCell ref="C36:K40"/>
    <mergeCell ref="B9:K9"/>
    <mergeCell ref="B10:K10"/>
    <mergeCell ref="C12:J12"/>
    <mergeCell ref="C15:K15"/>
    <mergeCell ref="C17:K22"/>
  </mergeCells>
  <dataValidations count="2">
    <dataValidation allowBlank="1" showInputMessage="1" showErrorMessage="1" promptTitle="Date Format" prompt="E.g:  &quot;August 1, 2011&quot;" sqref="K7"/>
    <dataValidation type="list" allowBlank="1" showInputMessage="1" showErrorMessage="1" sqref="K12">
      <formula1>"Cash (Pay-as-you-go), Accrual, Other"</formula1>
    </dataValidation>
  </dataValidations>
  <pageMargins left="0.7" right="0.7" top="0.75" bottom="0.75" header="0.3" footer="0.3"/>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1">
    <tabColor theme="7" tint="0.39997558519241921"/>
    <pageSetUpPr fitToPage="1"/>
  </sheetPr>
  <dimension ref="B1:J38"/>
  <sheetViews>
    <sheetView showGridLines="0" zoomScaleNormal="100" workbookViewId="0">
      <selection activeCell="B9" sqref="B9:J29"/>
    </sheetView>
  </sheetViews>
  <sheetFormatPr defaultRowHeight="12.75" x14ac:dyDescent="0.2"/>
  <cols>
    <col min="1" max="1" width="2.7109375" style="43" customWidth="1"/>
    <col min="2" max="2" width="6" style="43" customWidth="1"/>
    <col min="3" max="3" width="21.85546875" style="43" customWidth="1"/>
    <col min="4" max="4" width="17.7109375" style="43" customWidth="1"/>
    <col min="5" max="9" width="14.7109375" style="43" customWidth="1"/>
    <col min="10" max="10" width="15.7109375" style="43" customWidth="1"/>
    <col min="11" max="16384" width="9.140625" style="43"/>
  </cols>
  <sheetData>
    <row r="1" spans="2:10" x14ac:dyDescent="0.2">
      <c r="I1" s="562" t="s">
        <v>301</v>
      </c>
      <c r="J1" s="1414" t="str">
        <f>EBNUMBER</f>
        <v>EB-2016-0066</v>
      </c>
    </row>
    <row r="2" spans="2:10" x14ac:dyDescent="0.2">
      <c r="I2" s="562" t="s">
        <v>302</v>
      </c>
      <c r="J2" s="62"/>
    </row>
    <row r="3" spans="2:10" x14ac:dyDescent="0.2">
      <c r="I3" s="562" t="s">
        <v>303</v>
      </c>
      <c r="J3" s="62"/>
    </row>
    <row r="4" spans="2:10" x14ac:dyDescent="0.2">
      <c r="I4" s="562" t="s">
        <v>304</v>
      </c>
      <c r="J4" s="62"/>
    </row>
    <row r="5" spans="2:10" x14ac:dyDescent="0.2">
      <c r="I5" s="562" t="s">
        <v>305</v>
      </c>
      <c r="J5" s="63"/>
    </row>
    <row r="6" spans="2:10" x14ac:dyDescent="0.2">
      <c r="I6" s="562"/>
      <c r="J6" s="61"/>
    </row>
    <row r="7" spans="2:10" x14ac:dyDescent="0.2">
      <c r="I7" s="562" t="s">
        <v>306</v>
      </c>
      <c r="J7" s="63"/>
    </row>
    <row r="9" spans="2:10" ht="18" x14ac:dyDescent="0.25">
      <c r="B9" s="1546" t="s">
        <v>174</v>
      </c>
      <c r="C9" s="1546"/>
      <c r="D9" s="1546"/>
      <c r="E9" s="1546"/>
      <c r="F9" s="1546"/>
      <c r="G9" s="1546"/>
      <c r="H9" s="1546"/>
      <c r="I9" s="1546"/>
      <c r="J9" s="1546"/>
    </row>
    <row r="10" spans="2:10" ht="21" x14ac:dyDescent="0.25">
      <c r="B10" s="1546" t="s">
        <v>1009</v>
      </c>
      <c r="C10" s="1546"/>
      <c r="D10" s="1546"/>
      <c r="E10" s="1546"/>
      <c r="F10" s="1546"/>
      <c r="G10" s="1546"/>
      <c r="H10" s="1546"/>
      <c r="I10" s="1546"/>
      <c r="J10" s="1546"/>
    </row>
    <row r="11" spans="2:10" ht="18" x14ac:dyDescent="0.25">
      <c r="B11" s="1411"/>
      <c r="C11" s="1411"/>
      <c r="D11" s="1411"/>
      <c r="E11" s="1411"/>
      <c r="F11" s="1446"/>
      <c r="G11" s="1411"/>
      <c r="H11" s="1411"/>
      <c r="I11" s="1411"/>
      <c r="J11" s="1419"/>
    </row>
    <row r="12" spans="2:10" ht="13.5" thickBot="1" x14ac:dyDescent="0.25">
      <c r="J12" s="1418"/>
    </row>
    <row r="13" spans="2:10" ht="39" thickBot="1" x14ac:dyDescent="0.25">
      <c r="B13" s="788"/>
      <c r="C13" s="789"/>
      <c r="D13" s="790" t="str">
        <f>"Last Rebasing Year - "&amp;RebaseYear&amp;"- Board Approved"</f>
        <v>Last Rebasing Year - 2012- Board Approved</v>
      </c>
      <c r="E13" s="790" t="str">
        <f>"Last Rebasing Year - "&amp;RebaseYear&amp;"-  Actual"</f>
        <v>Last Rebasing Year - 2012-  Actual</v>
      </c>
      <c r="F13" s="1448" t="s">
        <v>1306</v>
      </c>
      <c r="G13" s="684" t="str">
        <f>BridgeYear -2 &amp; " Actuals"</f>
        <v>2014 Actuals</v>
      </c>
      <c r="H13" s="684" t="str">
        <f>BridgeYear -1 &amp; " Actuals"</f>
        <v>2015 Actuals</v>
      </c>
      <c r="I13" s="684" t="str">
        <f>BridgeYear &amp; " Bridge Year"</f>
        <v>2016 Bridge Year</v>
      </c>
      <c r="J13" s="685" t="str">
        <f>TestYear &amp; " Test Year"</f>
        <v>2017 Test Year</v>
      </c>
    </row>
    <row r="14" spans="2:10" ht="13.5" thickBot="1" x14ac:dyDescent="0.25">
      <c r="B14" s="1916" t="s">
        <v>103</v>
      </c>
      <c r="C14" s="1917"/>
      <c r="D14" s="688"/>
      <c r="E14" s="688"/>
      <c r="F14" s="688"/>
      <c r="G14" s="688"/>
      <c r="H14" s="688"/>
      <c r="I14" s="688"/>
      <c r="J14" s="689"/>
    </row>
    <row r="15" spans="2:10" ht="12.75" customHeight="1" x14ac:dyDescent="0.2">
      <c r="B15" s="1918" t="s">
        <v>1168</v>
      </c>
      <c r="C15" s="1919"/>
      <c r="D15" s="1243"/>
      <c r="E15" s="1243"/>
      <c r="F15" s="1243"/>
      <c r="G15" s="1243"/>
      <c r="H15" s="1243"/>
      <c r="I15" s="1243"/>
      <c r="J15" s="1244"/>
    </row>
    <row r="16" spans="2:10" ht="15" customHeight="1" x14ac:dyDescent="0.2">
      <c r="B16" s="1914" t="s">
        <v>1166</v>
      </c>
      <c r="C16" s="1915"/>
      <c r="D16" s="793">
        <f>291000+455000</f>
        <v>746000</v>
      </c>
      <c r="E16" s="793">
        <f>272543+604288</f>
        <v>876831</v>
      </c>
      <c r="F16" s="793">
        <f>233391+491922</f>
        <v>725313</v>
      </c>
      <c r="G16" s="793">
        <f>260055+546411</f>
        <v>806466</v>
      </c>
      <c r="H16" s="793">
        <f>263090+939207</f>
        <v>1202297</v>
      </c>
      <c r="I16" s="793">
        <f>365280+918809</f>
        <v>1284089</v>
      </c>
      <c r="J16" s="794">
        <f>642274+900026</f>
        <v>1542300</v>
      </c>
    </row>
    <row r="17" spans="2:10" ht="15" customHeight="1" x14ac:dyDescent="0.2">
      <c r="B17" s="1914" t="s">
        <v>1167</v>
      </c>
      <c r="C17" s="1915"/>
      <c r="D17" s="793">
        <f>775064+10000+917946</f>
        <v>1703010</v>
      </c>
      <c r="E17" s="793">
        <f>564380+16790+724931</f>
        <v>1306101</v>
      </c>
      <c r="F17" s="793">
        <f>582646+10391+836495</f>
        <v>1429532</v>
      </c>
      <c r="G17" s="793">
        <f>587255+5499+823367</f>
        <v>1416121</v>
      </c>
      <c r="H17" s="793">
        <f>527861-12807+876245</f>
        <v>1391299</v>
      </c>
      <c r="I17" s="793">
        <f>554193-3654+1126226</f>
        <v>1676765</v>
      </c>
      <c r="J17" s="794">
        <f>598394+11822+1356881</f>
        <v>1967097</v>
      </c>
    </row>
    <row r="18" spans="2:10" ht="28.5" customHeight="1" x14ac:dyDescent="0.2">
      <c r="B18" s="1914" t="s">
        <v>1121</v>
      </c>
      <c r="C18" s="1915"/>
      <c r="D18" s="1245">
        <f>SUM(D16:D17)</f>
        <v>2449010</v>
      </c>
      <c r="E18" s="1245">
        <f t="shared" ref="E18:J18" si="0">SUM(E16:E17)</f>
        <v>2182932</v>
      </c>
      <c r="F18" s="1245">
        <f>SUM(F16:F17)</f>
        <v>2154845</v>
      </c>
      <c r="G18" s="1245">
        <f t="shared" si="0"/>
        <v>2222587</v>
      </c>
      <c r="H18" s="1245">
        <f t="shared" si="0"/>
        <v>2593596</v>
      </c>
      <c r="I18" s="1245">
        <f t="shared" si="0"/>
        <v>2960854</v>
      </c>
      <c r="J18" s="1245">
        <f t="shared" si="0"/>
        <v>3509397</v>
      </c>
    </row>
    <row r="19" spans="2:10" ht="27" customHeight="1" x14ac:dyDescent="0.2">
      <c r="B19" s="1810" t="s">
        <v>1007</v>
      </c>
      <c r="C19" s="1811"/>
      <c r="D19" s="791">
        <v>14176</v>
      </c>
      <c r="E19" s="791">
        <v>14143</v>
      </c>
      <c r="F19" s="791">
        <v>14229</v>
      </c>
      <c r="G19" s="791">
        <v>14317</v>
      </c>
      <c r="H19" s="791">
        <v>14399</v>
      </c>
      <c r="I19" s="791">
        <v>14499</v>
      </c>
      <c r="J19" s="792">
        <v>14600</v>
      </c>
    </row>
    <row r="20" spans="2:10" ht="27" customHeight="1" x14ac:dyDescent="0.2">
      <c r="B20" s="1913" t="s">
        <v>1008</v>
      </c>
      <c r="C20" s="1912"/>
      <c r="D20" s="797">
        <v>34</v>
      </c>
      <c r="E20" s="797">
        <v>34</v>
      </c>
      <c r="F20" s="797">
        <v>35</v>
      </c>
      <c r="G20" s="797">
        <v>35</v>
      </c>
      <c r="H20" s="797">
        <v>35</v>
      </c>
      <c r="I20" s="797">
        <v>34</v>
      </c>
      <c r="J20" s="798">
        <v>38</v>
      </c>
    </row>
    <row r="21" spans="2:10" ht="15.75" customHeight="1" x14ac:dyDescent="0.2">
      <c r="B21" s="1913" t="s">
        <v>601</v>
      </c>
      <c r="C21" s="1912"/>
      <c r="D21" s="799">
        <f>IF(D20=0,"",D19/D20)</f>
        <v>416.94117647058823</v>
      </c>
      <c r="E21" s="799">
        <f t="shared" ref="E21:J21" si="1">IF(E20=0,"",E19/E20)</f>
        <v>415.97058823529414</v>
      </c>
      <c r="F21" s="799">
        <f>IF(F20=0,"",F19/F20)</f>
        <v>406.54285714285714</v>
      </c>
      <c r="G21" s="799">
        <f t="shared" si="1"/>
        <v>409.05714285714288</v>
      </c>
      <c r="H21" s="799">
        <f t="shared" si="1"/>
        <v>411.4</v>
      </c>
      <c r="I21" s="799">
        <f t="shared" si="1"/>
        <v>426.44117647058823</v>
      </c>
      <c r="J21" s="799">
        <f t="shared" si="1"/>
        <v>384.21052631578948</v>
      </c>
    </row>
    <row r="22" spans="2:10" x14ac:dyDescent="0.2">
      <c r="B22" s="1913" t="s">
        <v>173</v>
      </c>
      <c r="C22" s="1912"/>
      <c r="D22" s="795"/>
      <c r="E22" s="795"/>
      <c r="F22" s="795"/>
      <c r="G22" s="795"/>
      <c r="H22" s="795"/>
      <c r="I22" s="795"/>
      <c r="J22" s="796"/>
    </row>
    <row r="23" spans="2:10" x14ac:dyDescent="0.2">
      <c r="B23" s="1911" t="s">
        <v>1159</v>
      </c>
      <c r="C23" s="1912"/>
      <c r="D23" s="1488">
        <f>IF(D19=0,"",D16/D19)</f>
        <v>52.62415349887133</v>
      </c>
      <c r="E23" s="1488">
        <f t="shared" ref="E23:J23" si="2">IF(E19=0,"",E16/E19)</f>
        <v>61.997525277522449</v>
      </c>
      <c r="F23" s="1488">
        <f>IF(F19=0,"",F16/F19)</f>
        <v>50.974277883196287</v>
      </c>
      <c r="G23" s="1488">
        <f t="shared" si="2"/>
        <v>56.329258922958722</v>
      </c>
      <c r="H23" s="1488">
        <f t="shared" si="2"/>
        <v>83.498645739287454</v>
      </c>
      <c r="I23" s="1488">
        <f t="shared" si="2"/>
        <v>88.563969928960617</v>
      </c>
      <c r="J23" s="1488">
        <f t="shared" si="2"/>
        <v>105.63698630136986</v>
      </c>
    </row>
    <row r="24" spans="2:10" x14ac:dyDescent="0.2">
      <c r="B24" s="1413" t="s">
        <v>1160</v>
      </c>
      <c r="C24" s="1412"/>
      <c r="D24" s="1488">
        <f>IF(D19=0,"",D17/D19)</f>
        <v>120.13332392776523</v>
      </c>
      <c r="E24" s="1488">
        <f t="shared" ref="E24:J24" si="3">IF(E19=0,"",E17/E19)</f>
        <v>92.34964293289967</v>
      </c>
      <c r="F24" s="1488">
        <f>IF(F19=0,"",F17/F19)</f>
        <v>100.46609037880386</v>
      </c>
      <c r="G24" s="1488">
        <f t="shared" si="3"/>
        <v>98.91185304183837</v>
      </c>
      <c r="H24" s="1488">
        <f t="shared" si="3"/>
        <v>96.624696159455524</v>
      </c>
      <c r="I24" s="1488">
        <f t="shared" si="3"/>
        <v>115.64694116835643</v>
      </c>
      <c r="J24" s="1488">
        <f t="shared" si="3"/>
        <v>134.73267123287673</v>
      </c>
    </row>
    <row r="25" spans="2:10" x14ac:dyDescent="0.2">
      <c r="B25" s="1413" t="s">
        <v>1161</v>
      </c>
      <c r="C25" s="1412"/>
      <c r="D25" s="1488">
        <f>IF(D19=0,"",D18/D19)</f>
        <v>172.75747742663657</v>
      </c>
      <c r="E25" s="1488">
        <f t="shared" ref="E25:J25" si="4">IF(E19=0,"",E18/E19)</f>
        <v>154.34716821042213</v>
      </c>
      <c r="F25" s="1488">
        <f>IF(F19=0,"",F18/F19)</f>
        <v>151.44036826200013</v>
      </c>
      <c r="G25" s="1488">
        <f t="shared" si="4"/>
        <v>155.24111196479708</v>
      </c>
      <c r="H25" s="1488">
        <f t="shared" si="4"/>
        <v>180.12334189874298</v>
      </c>
      <c r="I25" s="1488">
        <f t="shared" si="4"/>
        <v>204.21091109731705</v>
      </c>
      <c r="J25" s="1488">
        <f t="shared" si="4"/>
        <v>240.36965753424658</v>
      </c>
    </row>
    <row r="26" spans="2:10" x14ac:dyDescent="0.2">
      <c r="B26" s="1913" t="s">
        <v>1162</v>
      </c>
      <c r="C26" s="1912"/>
      <c r="D26" s="799"/>
      <c r="E26" s="799"/>
      <c r="F26" s="799"/>
      <c r="G26" s="799"/>
      <c r="H26" s="799"/>
      <c r="I26" s="799"/>
      <c r="J26" s="800"/>
    </row>
    <row r="27" spans="2:10" x14ac:dyDescent="0.2">
      <c r="B27" s="1911" t="s">
        <v>1163</v>
      </c>
      <c r="C27" s="1912"/>
      <c r="D27" s="1488">
        <f>IF(D20=0,"",D16/D20)</f>
        <v>21941.176470588234</v>
      </c>
      <c r="E27" s="1488">
        <f t="shared" ref="E27:J27" si="5">IF(E20=0,"",E16/E20)</f>
        <v>25789.147058823528</v>
      </c>
      <c r="F27" s="1488">
        <f>IF(F20=0,"",F16/F20)</f>
        <v>20723.228571428572</v>
      </c>
      <c r="G27" s="1488">
        <f t="shared" si="5"/>
        <v>23041.885714285716</v>
      </c>
      <c r="H27" s="1488">
        <f t="shared" si="5"/>
        <v>34351.342857142859</v>
      </c>
      <c r="I27" s="1488">
        <f t="shared" si="5"/>
        <v>37767.323529411762</v>
      </c>
      <c r="J27" s="1488">
        <f t="shared" si="5"/>
        <v>40586.84210526316</v>
      </c>
    </row>
    <row r="28" spans="2:10" x14ac:dyDescent="0.2">
      <c r="B28" s="1413" t="s">
        <v>1164</v>
      </c>
      <c r="C28" s="1412"/>
      <c r="D28" s="1488">
        <f>IF(D20=0,"",D17/D20)</f>
        <v>50088.529411764706</v>
      </c>
      <c r="E28" s="1488">
        <f t="shared" ref="E28:J28" si="6">IF(E20=0,"",E17/E20)</f>
        <v>38414.73529411765</v>
      </c>
      <c r="F28" s="1488">
        <f>IF(F20=0,"",F17/F20)</f>
        <v>40843.771428571432</v>
      </c>
      <c r="G28" s="1488">
        <f t="shared" si="6"/>
        <v>40460.6</v>
      </c>
      <c r="H28" s="1488">
        <f t="shared" si="6"/>
        <v>39751.4</v>
      </c>
      <c r="I28" s="1488">
        <f t="shared" si="6"/>
        <v>49316.617647058825</v>
      </c>
      <c r="J28" s="1488">
        <f t="shared" si="6"/>
        <v>51765.710526315786</v>
      </c>
    </row>
    <row r="29" spans="2:10" x14ac:dyDescent="0.2">
      <c r="B29" s="1413" t="s">
        <v>1165</v>
      </c>
      <c r="C29" s="1412"/>
      <c r="D29" s="1488">
        <f>IF(D20=0,"",D18/D20)</f>
        <v>72029.705882352937</v>
      </c>
      <c r="E29" s="1488">
        <f t="shared" ref="E29:J29" si="7">IF(E20=0,"",E18/E20)</f>
        <v>64203.882352941175</v>
      </c>
      <c r="F29" s="1488">
        <f>IF(F20=0,"",F18/F20)</f>
        <v>61567</v>
      </c>
      <c r="G29" s="1488">
        <f t="shared" si="7"/>
        <v>63502.485714285714</v>
      </c>
      <c r="H29" s="1488">
        <f t="shared" si="7"/>
        <v>74102.742857142861</v>
      </c>
      <c r="I29" s="1488">
        <f t="shared" si="7"/>
        <v>87083.941176470587</v>
      </c>
      <c r="J29" s="1488">
        <f t="shared" si="7"/>
        <v>92352.552631578947</v>
      </c>
    </row>
    <row r="31" spans="2:10" x14ac:dyDescent="0.2">
      <c r="B31" s="429" t="s">
        <v>11</v>
      </c>
    </row>
    <row r="33" spans="2:10" ht="12.75" customHeight="1" x14ac:dyDescent="0.2">
      <c r="B33" s="801">
        <v>1</v>
      </c>
      <c r="C33" s="1892" t="s">
        <v>191</v>
      </c>
      <c r="D33" s="1892"/>
      <c r="E33" s="1892"/>
      <c r="F33" s="1892"/>
      <c r="G33" s="1892"/>
      <c r="H33" s="1892"/>
      <c r="I33" s="1892"/>
      <c r="J33" s="1892"/>
    </row>
    <row r="34" spans="2:10" ht="25.5" customHeight="1" x14ac:dyDescent="0.2">
      <c r="B34" s="484"/>
      <c r="C34" s="1892"/>
      <c r="D34" s="1892"/>
      <c r="E34" s="1892"/>
      <c r="F34" s="1892"/>
      <c r="G34" s="1892"/>
      <c r="H34" s="1892"/>
      <c r="I34" s="1892"/>
      <c r="J34" s="1892"/>
    </row>
    <row r="35" spans="2:10" x14ac:dyDescent="0.2">
      <c r="B35" s="801">
        <v>2</v>
      </c>
      <c r="C35" s="1744" t="s">
        <v>1250</v>
      </c>
      <c r="D35" s="1744"/>
      <c r="E35" s="1744"/>
      <c r="F35" s="1744"/>
      <c r="G35" s="1744"/>
      <c r="H35" s="1744"/>
      <c r="I35" s="1744"/>
      <c r="J35" s="1744"/>
    </row>
    <row r="36" spans="2:10" x14ac:dyDescent="0.2">
      <c r="B36" s="801">
        <v>3</v>
      </c>
      <c r="C36" s="1556" t="s">
        <v>602</v>
      </c>
      <c r="D36" s="1556"/>
      <c r="E36" s="1556"/>
      <c r="F36" s="1556"/>
      <c r="G36" s="1556"/>
      <c r="H36" s="1556"/>
      <c r="I36" s="1556"/>
      <c r="J36" s="1556"/>
    </row>
    <row r="37" spans="2:10" ht="13.5" customHeight="1" x14ac:dyDescent="0.2">
      <c r="B37" s="801">
        <v>4</v>
      </c>
      <c r="C37" s="1556" t="s">
        <v>603</v>
      </c>
      <c r="D37" s="1556"/>
      <c r="E37" s="1556"/>
      <c r="F37" s="1556"/>
      <c r="G37" s="1556"/>
      <c r="H37" s="1556"/>
      <c r="I37" s="1556"/>
      <c r="J37" s="1556"/>
    </row>
    <row r="38" spans="2:10" ht="14.25" customHeight="1" x14ac:dyDescent="0.2">
      <c r="B38" s="598">
        <v>5</v>
      </c>
      <c r="C38" s="1556" t="s">
        <v>1271</v>
      </c>
      <c r="D38" s="1556"/>
      <c r="E38" s="1556"/>
      <c r="F38" s="1556"/>
      <c r="G38" s="1556"/>
      <c r="H38" s="1556"/>
      <c r="I38" s="1556"/>
      <c r="J38" s="1556"/>
    </row>
  </sheetData>
  <mergeCells count="19">
    <mergeCell ref="B14:C14"/>
    <mergeCell ref="B15:C15"/>
    <mergeCell ref="B16:C16"/>
    <mergeCell ref="B9:J9"/>
    <mergeCell ref="B10:J10"/>
    <mergeCell ref="B23:C23"/>
    <mergeCell ref="B26:C26"/>
    <mergeCell ref="B27:C27"/>
    <mergeCell ref="B17:C17"/>
    <mergeCell ref="B18:C18"/>
    <mergeCell ref="B19:C19"/>
    <mergeCell ref="B20:C20"/>
    <mergeCell ref="B21:C21"/>
    <mergeCell ref="B22:C22"/>
    <mergeCell ref="C38:J38"/>
    <mergeCell ref="C35:J35"/>
    <mergeCell ref="C36:J36"/>
    <mergeCell ref="C37:J37"/>
    <mergeCell ref="C33:J34"/>
  </mergeCells>
  <dataValidations count="2">
    <dataValidation type="list" allowBlank="1" showInputMessage="1" showErrorMessage="1" sqref="D14:J14">
      <formula1>"CGAAP, MIFRS, USGAAP, ASPE"</formula1>
    </dataValidation>
    <dataValidation allowBlank="1" showInputMessage="1" showErrorMessage="1" promptTitle="Date Format" prompt="E.g:  &quot;August 1, 2011&quot;" sqref="J7"/>
  </dataValidations>
  <pageMargins left="0.75" right="0.75" top="1" bottom="1" header="0.5" footer="0.5"/>
  <pageSetup scale="80" orientation="landscape" r:id="rId1"/>
  <headerFooter alignWithMargins="0"/>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1">
    <tabColor theme="7" tint="0.39997558519241921"/>
    <pageSetUpPr fitToPage="1"/>
  </sheetPr>
  <dimension ref="A1:L39"/>
  <sheetViews>
    <sheetView showGridLines="0" zoomScaleNormal="100" workbookViewId="0"/>
  </sheetViews>
  <sheetFormatPr defaultRowHeight="12.75" x14ac:dyDescent="0.2"/>
  <cols>
    <col min="1" max="1" width="6" style="43" customWidth="1"/>
    <col min="2" max="2" width="21.85546875" style="43" customWidth="1"/>
    <col min="3" max="3" width="17.7109375" style="43" customWidth="1"/>
    <col min="4" max="4" width="14.7109375" style="43" customWidth="1"/>
    <col min="5" max="7" width="13.7109375" style="43" customWidth="1"/>
    <col min="8" max="8" width="13" style="43" customWidth="1"/>
    <col min="9" max="9" width="12.140625" style="43" customWidth="1"/>
    <col min="10" max="10" width="12.28515625" style="43" customWidth="1"/>
    <col min="11" max="11" width="12.140625" style="43" customWidth="1"/>
    <col min="12" max="12" width="12.7109375" style="43" customWidth="1"/>
    <col min="13" max="16384" width="9.140625" style="43"/>
  </cols>
  <sheetData>
    <row r="1" spans="1:12" x14ac:dyDescent="0.2">
      <c r="K1" s="562" t="s">
        <v>301</v>
      </c>
      <c r="L1" s="1092" t="str">
        <f>EBNUMBER</f>
        <v>EB-2016-0066</v>
      </c>
    </row>
    <row r="2" spans="1:12" x14ac:dyDescent="0.2">
      <c r="K2" s="562" t="s">
        <v>302</v>
      </c>
      <c r="L2" s="62"/>
    </row>
    <row r="3" spans="1:12" x14ac:dyDescent="0.2">
      <c r="K3" s="562" t="s">
        <v>303</v>
      </c>
      <c r="L3" s="62"/>
    </row>
    <row r="4" spans="1:12" x14ac:dyDescent="0.2">
      <c r="K4" s="562" t="s">
        <v>304</v>
      </c>
      <c r="L4" s="62"/>
    </row>
    <row r="5" spans="1:12" x14ac:dyDescent="0.2">
      <c r="K5" s="562" t="s">
        <v>305</v>
      </c>
      <c r="L5" s="63"/>
    </row>
    <row r="6" spans="1:12" x14ac:dyDescent="0.2">
      <c r="K6" s="562"/>
      <c r="L6" s="61"/>
    </row>
    <row r="7" spans="1:12" x14ac:dyDescent="0.2">
      <c r="K7" s="562" t="s">
        <v>306</v>
      </c>
      <c r="L7" s="63"/>
    </row>
    <row r="9" spans="1:12" ht="18" x14ac:dyDescent="0.25">
      <c r="A9" s="1546" t="s">
        <v>174</v>
      </c>
      <c r="B9" s="1546"/>
      <c r="C9" s="1546"/>
      <c r="D9" s="1546"/>
      <c r="E9" s="1546"/>
      <c r="F9" s="1546"/>
      <c r="G9" s="1546"/>
      <c r="H9" s="1546"/>
      <c r="I9" s="1546"/>
      <c r="J9" s="1546"/>
      <c r="K9" s="1546"/>
      <c r="L9" s="1546"/>
    </row>
    <row r="10" spans="1:12" ht="21" x14ac:dyDescent="0.25">
      <c r="A10" s="1546" t="s">
        <v>1009</v>
      </c>
      <c r="B10" s="1546"/>
      <c r="C10" s="1546"/>
      <c r="D10" s="1546"/>
      <c r="E10" s="1546"/>
      <c r="F10" s="1546"/>
      <c r="G10" s="1546"/>
      <c r="H10" s="1546"/>
      <c r="I10" s="1546"/>
      <c r="J10" s="1546"/>
      <c r="K10" s="1546"/>
      <c r="L10" s="1546"/>
    </row>
    <row r="11" spans="1:12" ht="18.75" thickBot="1" x14ac:dyDescent="0.3">
      <c r="A11" s="1158"/>
      <c r="B11" s="1158"/>
      <c r="C11" s="1158"/>
      <c r="D11" s="1158"/>
      <c r="E11" s="1158"/>
      <c r="F11" s="1158"/>
      <c r="G11" s="1158"/>
      <c r="H11" s="1158"/>
    </row>
    <row r="12" spans="1:12" ht="13.5" thickBot="1" x14ac:dyDescent="0.25">
      <c r="H12" s="1746" t="s">
        <v>1120</v>
      </c>
      <c r="I12" s="1920"/>
      <c r="J12" s="1920"/>
      <c r="K12" s="1920"/>
      <c r="L12" s="1747"/>
    </row>
    <row r="13" spans="1:12" ht="39" thickBot="1" x14ac:dyDescent="0.25">
      <c r="A13" s="788"/>
      <c r="B13" s="789"/>
      <c r="C13" s="790" t="str">
        <f>"Last Rebasing Year - "&amp;RebaseYear&amp;"- Board Approved"</f>
        <v>Last Rebasing Year - 2012- Board Approved</v>
      </c>
      <c r="D13" s="790" t="str">
        <f>"Last Rebasing Year - "&amp;RebaseYear&amp;"-  Actual"</f>
        <v>Last Rebasing Year - 2012-  Actual</v>
      </c>
      <c r="E13" s="684" t="str">
        <f>BridgeYear -2 &amp; " Actuals"</f>
        <v>2014 Actuals</v>
      </c>
      <c r="F13" s="684" t="str">
        <f>BridgeYear -1 &amp; " Actuals"</f>
        <v>2015 Actuals</v>
      </c>
      <c r="G13" s="684" t="str">
        <f>BridgeYear &amp; " Bridge Year"</f>
        <v>2016 Bridge Year</v>
      </c>
      <c r="H13" s="685" t="str">
        <f>TestYear &amp; " Test Year"</f>
        <v>2017 Test Year</v>
      </c>
      <c r="I13" s="685" t="str">
        <f>TestYear+1 &amp; " Year"</f>
        <v>2018 Year</v>
      </c>
      <c r="J13" s="685" t="str">
        <f>TestYear+2 &amp; " Year"</f>
        <v>2019 Year</v>
      </c>
      <c r="K13" s="685" t="str">
        <f>TestYear+3 &amp; " Year"</f>
        <v>2020 Year</v>
      </c>
      <c r="L13" s="685" t="str">
        <f>TestYear+4 &amp; " Year"</f>
        <v>2021 Year</v>
      </c>
    </row>
    <row r="14" spans="1:12" ht="13.5" thickBot="1" x14ac:dyDescent="0.25">
      <c r="A14" s="1916" t="s">
        <v>103</v>
      </c>
      <c r="B14" s="1917"/>
      <c r="C14" s="688"/>
      <c r="D14" s="688"/>
      <c r="E14" s="688"/>
      <c r="F14" s="688"/>
      <c r="G14" s="688"/>
      <c r="H14" s="689"/>
      <c r="I14" s="689"/>
      <c r="J14" s="689"/>
      <c r="K14" s="689"/>
      <c r="L14" s="689"/>
    </row>
    <row r="15" spans="1:12" ht="12.75" customHeight="1" x14ac:dyDescent="0.2">
      <c r="A15" s="1918" t="s">
        <v>1168</v>
      </c>
      <c r="B15" s="1919"/>
      <c r="C15" s="1243"/>
      <c r="D15" s="1243"/>
      <c r="E15" s="1243"/>
      <c r="F15" s="1243"/>
      <c r="G15" s="1243"/>
      <c r="H15" s="1244"/>
      <c r="I15" s="1244"/>
      <c r="J15" s="1244"/>
      <c r="K15" s="1244"/>
      <c r="L15" s="1244"/>
    </row>
    <row r="16" spans="1:12" ht="15" customHeight="1" x14ac:dyDescent="0.2">
      <c r="A16" s="1914" t="s">
        <v>1166</v>
      </c>
      <c r="B16" s="1915"/>
      <c r="C16" s="793"/>
      <c r="D16" s="793"/>
      <c r="E16" s="793"/>
      <c r="F16" s="793"/>
      <c r="G16" s="793"/>
      <c r="H16" s="794"/>
      <c r="I16" s="794"/>
      <c r="J16" s="794"/>
      <c r="K16" s="794"/>
      <c r="L16" s="794"/>
    </row>
    <row r="17" spans="1:12" ht="15" customHeight="1" x14ac:dyDescent="0.2">
      <c r="A17" s="1914" t="s">
        <v>1167</v>
      </c>
      <c r="B17" s="1915"/>
      <c r="C17" s="793"/>
      <c r="D17" s="793"/>
      <c r="E17" s="793"/>
      <c r="F17" s="793"/>
      <c r="G17" s="793"/>
      <c r="H17" s="794"/>
      <c r="I17" s="794"/>
      <c r="J17" s="794"/>
      <c r="K17" s="794"/>
      <c r="L17" s="794"/>
    </row>
    <row r="18" spans="1:12" ht="28.5" customHeight="1" x14ac:dyDescent="0.2">
      <c r="A18" s="1914" t="s">
        <v>1121</v>
      </c>
      <c r="B18" s="1915"/>
      <c r="C18" s="1245">
        <f>SUM(C16:C17)</f>
        <v>0</v>
      </c>
      <c r="D18" s="1245">
        <f t="shared" ref="D18:L18" si="0">SUM(D16:D17)</f>
        <v>0</v>
      </c>
      <c r="E18" s="1245">
        <f t="shared" si="0"/>
        <v>0</v>
      </c>
      <c r="F18" s="1245">
        <f t="shared" si="0"/>
        <v>0</v>
      </c>
      <c r="G18" s="1245">
        <f t="shared" si="0"/>
        <v>0</v>
      </c>
      <c r="H18" s="1245">
        <f t="shared" si="0"/>
        <v>0</v>
      </c>
      <c r="I18" s="1245">
        <f t="shared" si="0"/>
        <v>0</v>
      </c>
      <c r="J18" s="1245">
        <f t="shared" si="0"/>
        <v>0</v>
      </c>
      <c r="K18" s="1245">
        <f t="shared" si="0"/>
        <v>0</v>
      </c>
      <c r="L18" s="1245">
        <f t="shared" si="0"/>
        <v>0</v>
      </c>
    </row>
    <row r="19" spans="1:12" ht="27" customHeight="1" x14ac:dyDescent="0.2">
      <c r="A19" s="1810" t="s">
        <v>1007</v>
      </c>
      <c r="B19" s="1811"/>
      <c r="C19" s="791"/>
      <c r="D19" s="791"/>
      <c r="E19" s="791"/>
      <c r="F19" s="791"/>
      <c r="G19" s="791"/>
      <c r="H19" s="792"/>
      <c r="I19" s="792"/>
      <c r="J19" s="792"/>
      <c r="K19" s="792"/>
      <c r="L19" s="792"/>
    </row>
    <row r="20" spans="1:12" ht="27" customHeight="1" x14ac:dyDescent="0.2">
      <c r="A20" s="1913" t="s">
        <v>1008</v>
      </c>
      <c r="B20" s="1912"/>
      <c r="C20" s="797"/>
      <c r="D20" s="797"/>
      <c r="E20" s="797"/>
      <c r="F20" s="797"/>
      <c r="G20" s="797"/>
      <c r="H20" s="798"/>
      <c r="I20" s="798"/>
      <c r="J20" s="798"/>
      <c r="K20" s="798"/>
      <c r="L20" s="798"/>
    </row>
    <row r="21" spans="1:12" ht="27" customHeight="1" x14ac:dyDescent="0.2">
      <c r="A21" s="1913" t="s">
        <v>601</v>
      </c>
      <c r="B21" s="1912"/>
      <c r="C21" s="799" t="str">
        <f>IF(C20=0,"",C19/C20)</f>
        <v/>
      </c>
      <c r="D21" s="799" t="str">
        <f t="shared" ref="D21:L21" si="1">IF(D20=0,"",D19/D20)</f>
        <v/>
      </c>
      <c r="E21" s="799" t="str">
        <f t="shared" si="1"/>
        <v/>
      </c>
      <c r="F21" s="799" t="str">
        <f t="shared" si="1"/>
        <v/>
      </c>
      <c r="G21" s="799" t="str">
        <f t="shared" si="1"/>
        <v/>
      </c>
      <c r="H21" s="799" t="str">
        <f t="shared" si="1"/>
        <v/>
      </c>
      <c r="I21" s="799" t="str">
        <f t="shared" si="1"/>
        <v/>
      </c>
      <c r="J21" s="799" t="str">
        <f t="shared" si="1"/>
        <v/>
      </c>
      <c r="K21" s="799" t="str">
        <f t="shared" si="1"/>
        <v/>
      </c>
      <c r="L21" s="799" t="str">
        <f t="shared" si="1"/>
        <v/>
      </c>
    </row>
    <row r="22" spans="1:12" x14ac:dyDescent="0.2">
      <c r="A22" s="1913" t="s">
        <v>173</v>
      </c>
      <c r="B22" s="1912"/>
      <c r="C22" s="795"/>
      <c r="D22" s="795"/>
      <c r="E22" s="795"/>
      <c r="F22" s="795"/>
      <c r="G22" s="795"/>
      <c r="H22" s="796"/>
      <c r="I22" s="796"/>
      <c r="J22" s="796"/>
      <c r="K22" s="796"/>
      <c r="L22" s="796"/>
    </row>
    <row r="23" spans="1:12" x14ac:dyDescent="0.2">
      <c r="A23" s="1911" t="s">
        <v>1159</v>
      </c>
      <c r="B23" s="1912"/>
      <c r="C23" s="682" t="str">
        <f>IF(C19=0,"",C16/C19)</f>
        <v/>
      </c>
      <c r="D23" s="682" t="str">
        <f t="shared" ref="D23:L23" si="2">IF(D19=0,"",D16/D19)</f>
        <v/>
      </c>
      <c r="E23" s="682" t="str">
        <f t="shared" si="2"/>
        <v/>
      </c>
      <c r="F23" s="682" t="str">
        <f t="shared" si="2"/>
        <v/>
      </c>
      <c r="G23" s="682" t="str">
        <f t="shared" si="2"/>
        <v/>
      </c>
      <c r="H23" s="682" t="str">
        <f t="shared" si="2"/>
        <v/>
      </c>
      <c r="I23" s="682" t="str">
        <f t="shared" si="2"/>
        <v/>
      </c>
      <c r="J23" s="682" t="str">
        <f t="shared" si="2"/>
        <v/>
      </c>
      <c r="K23" s="682" t="str">
        <f t="shared" si="2"/>
        <v/>
      </c>
      <c r="L23" s="682" t="str">
        <f t="shared" si="2"/>
        <v/>
      </c>
    </row>
    <row r="24" spans="1:12" x14ac:dyDescent="0.2">
      <c r="A24" s="1242" t="s">
        <v>1160</v>
      </c>
      <c r="B24" s="1164"/>
      <c r="C24" s="682" t="str">
        <f>IF(C19=0,"",C17/C19)</f>
        <v/>
      </c>
      <c r="D24" s="682" t="str">
        <f t="shared" ref="D24:L24" si="3">IF(D19=0,"",D17/D19)</f>
        <v/>
      </c>
      <c r="E24" s="682" t="str">
        <f t="shared" si="3"/>
        <v/>
      </c>
      <c r="F24" s="682" t="str">
        <f t="shared" si="3"/>
        <v/>
      </c>
      <c r="G24" s="682" t="str">
        <f t="shared" si="3"/>
        <v/>
      </c>
      <c r="H24" s="682" t="str">
        <f t="shared" si="3"/>
        <v/>
      </c>
      <c r="I24" s="682" t="str">
        <f t="shared" si="3"/>
        <v/>
      </c>
      <c r="J24" s="682" t="str">
        <f t="shared" si="3"/>
        <v/>
      </c>
      <c r="K24" s="682" t="str">
        <f t="shared" si="3"/>
        <v/>
      </c>
      <c r="L24" s="682" t="str">
        <f t="shared" si="3"/>
        <v/>
      </c>
    </row>
    <row r="25" spans="1:12" x14ac:dyDescent="0.2">
      <c r="A25" s="1242" t="s">
        <v>1161</v>
      </c>
      <c r="B25" s="1164"/>
      <c r="C25" s="682" t="str">
        <f>IF(C19=0,"",C18/C19)</f>
        <v/>
      </c>
      <c r="D25" s="682" t="str">
        <f t="shared" ref="D25:L25" si="4">IF(D19=0,"",D18/D19)</f>
        <v/>
      </c>
      <c r="E25" s="682" t="str">
        <f t="shared" si="4"/>
        <v/>
      </c>
      <c r="F25" s="682" t="str">
        <f t="shared" si="4"/>
        <v/>
      </c>
      <c r="G25" s="682" t="str">
        <f t="shared" si="4"/>
        <v/>
      </c>
      <c r="H25" s="682" t="str">
        <f t="shared" si="4"/>
        <v/>
      </c>
      <c r="I25" s="682" t="str">
        <f t="shared" si="4"/>
        <v/>
      </c>
      <c r="J25" s="682" t="str">
        <f t="shared" si="4"/>
        <v/>
      </c>
      <c r="K25" s="682" t="str">
        <f t="shared" si="4"/>
        <v/>
      </c>
      <c r="L25" s="682" t="str">
        <f t="shared" si="4"/>
        <v/>
      </c>
    </row>
    <row r="26" spans="1:12" x14ac:dyDescent="0.2">
      <c r="A26" s="1913" t="s">
        <v>1162</v>
      </c>
      <c r="B26" s="1912"/>
      <c r="C26" s="799"/>
      <c r="D26" s="799"/>
      <c r="E26" s="799"/>
      <c r="F26" s="799"/>
      <c r="G26" s="799"/>
      <c r="H26" s="800"/>
      <c r="I26" s="800"/>
      <c r="J26" s="800"/>
      <c r="K26" s="800"/>
      <c r="L26" s="800"/>
    </row>
    <row r="27" spans="1:12" x14ac:dyDescent="0.2">
      <c r="A27" s="1911" t="s">
        <v>1163</v>
      </c>
      <c r="B27" s="1912"/>
      <c r="C27" s="682" t="str">
        <f>IF(C20=0,"",C16/C20)</f>
        <v/>
      </c>
      <c r="D27" s="682" t="str">
        <f t="shared" ref="D27:L27" si="5">IF(D20=0,"",D16/D20)</f>
        <v/>
      </c>
      <c r="E27" s="682" t="str">
        <f t="shared" si="5"/>
        <v/>
      </c>
      <c r="F27" s="682" t="str">
        <f t="shared" si="5"/>
        <v/>
      </c>
      <c r="G27" s="682" t="str">
        <f t="shared" si="5"/>
        <v/>
      </c>
      <c r="H27" s="682" t="str">
        <f t="shared" si="5"/>
        <v/>
      </c>
      <c r="I27" s="682" t="str">
        <f t="shared" si="5"/>
        <v/>
      </c>
      <c r="J27" s="682" t="str">
        <f t="shared" si="5"/>
        <v/>
      </c>
      <c r="K27" s="682" t="str">
        <f t="shared" si="5"/>
        <v/>
      </c>
      <c r="L27" s="682" t="str">
        <f t="shared" si="5"/>
        <v/>
      </c>
    </row>
    <row r="28" spans="1:12" x14ac:dyDescent="0.2">
      <c r="A28" s="1242" t="s">
        <v>1164</v>
      </c>
      <c r="B28" s="1164"/>
      <c r="C28" s="682" t="str">
        <f>IF(C20=0,"",C17/C20)</f>
        <v/>
      </c>
      <c r="D28" s="682" t="str">
        <f t="shared" ref="D28:L28" si="6">IF(D20=0,"",D17/D20)</f>
        <v/>
      </c>
      <c r="E28" s="682" t="str">
        <f t="shared" si="6"/>
        <v/>
      </c>
      <c r="F28" s="682" t="str">
        <f t="shared" si="6"/>
        <v/>
      </c>
      <c r="G28" s="682" t="str">
        <f t="shared" si="6"/>
        <v/>
      </c>
      <c r="H28" s="682" t="str">
        <f t="shared" si="6"/>
        <v/>
      </c>
      <c r="I28" s="682" t="str">
        <f t="shared" si="6"/>
        <v/>
      </c>
      <c r="J28" s="682" t="str">
        <f t="shared" si="6"/>
        <v/>
      </c>
      <c r="K28" s="682" t="str">
        <f t="shared" si="6"/>
        <v/>
      </c>
      <c r="L28" s="682" t="str">
        <f t="shared" si="6"/>
        <v/>
      </c>
    </row>
    <row r="29" spans="1:12" x14ac:dyDescent="0.2">
      <c r="A29" s="1242" t="s">
        <v>1165</v>
      </c>
      <c r="B29" s="1164"/>
      <c r="C29" s="682" t="str">
        <f>IF(C20=0,"",C18/C20)</f>
        <v/>
      </c>
      <c r="D29" s="682" t="str">
        <f t="shared" ref="D29:L29" si="7">IF(D20=0,"",D18/D20)</f>
        <v/>
      </c>
      <c r="E29" s="682" t="str">
        <f t="shared" si="7"/>
        <v/>
      </c>
      <c r="F29" s="682" t="str">
        <f t="shared" si="7"/>
        <v/>
      </c>
      <c r="G29" s="682" t="str">
        <f t="shared" si="7"/>
        <v/>
      </c>
      <c r="H29" s="682" t="str">
        <f t="shared" si="7"/>
        <v/>
      </c>
      <c r="I29" s="682" t="str">
        <f t="shared" si="7"/>
        <v/>
      </c>
      <c r="J29" s="682" t="str">
        <f t="shared" si="7"/>
        <v/>
      </c>
      <c r="K29" s="682" t="str">
        <f t="shared" si="7"/>
        <v/>
      </c>
      <c r="L29" s="682" t="str">
        <f t="shared" si="7"/>
        <v/>
      </c>
    </row>
    <row r="31" spans="1:12" x14ac:dyDescent="0.2">
      <c r="A31" s="429" t="s">
        <v>11</v>
      </c>
    </row>
    <row r="33" spans="1:12" ht="12.75" customHeight="1" x14ac:dyDescent="0.2">
      <c r="A33" s="801">
        <v>1</v>
      </c>
      <c r="B33" s="1892" t="s">
        <v>191</v>
      </c>
      <c r="C33" s="1892"/>
      <c r="D33" s="1892"/>
      <c r="E33" s="1892"/>
      <c r="F33" s="1892"/>
      <c r="G33" s="1892"/>
      <c r="H33" s="1892"/>
      <c r="I33" s="1892"/>
      <c r="J33" s="1892"/>
      <c r="K33" s="1892"/>
      <c r="L33" s="1892"/>
    </row>
    <row r="34" spans="1:12" x14ac:dyDescent="0.2">
      <c r="A34" s="484"/>
      <c r="B34" s="1892"/>
      <c r="C34" s="1892"/>
      <c r="D34" s="1892"/>
      <c r="E34" s="1892"/>
      <c r="F34" s="1892"/>
      <c r="G34" s="1892"/>
      <c r="H34" s="1892"/>
      <c r="I34" s="1892"/>
      <c r="J34" s="1892"/>
      <c r="K34" s="1892"/>
      <c r="L34" s="1892"/>
    </row>
    <row r="35" spans="1:12" x14ac:dyDescent="0.2">
      <c r="A35" s="801">
        <v>2</v>
      </c>
      <c r="B35" s="1754" t="s">
        <v>1169</v>
      </c>
      <c r="C35" s="1800"/>
      <c r="D35" s="1800"/>
      <c r="E35" s="1800"/>
      <c r="F35" s="1800"/>
      <c r="G35" s="1800"/>
    </row>
    <row r="36" spans="1:12" x14ac:dyDescent="0.2">
      <c r="A36" s="801">
        <v>3</v>
      </c>
      <c r="B36" s="1754" t="s">
        <v>602</v>
      </c>
      <c r="C36" s="1800"/>
      <c r="D36" s="1800"/>
      <c r="E36" s="1800"/>
      <c r="F36" s="1800"/>
      <c r="G36" s="1800"/>
    </row>
    <row r="37" spans="1:12" ht="12.75" customHeight="1" x14ac:dyDescent="0.2">
      <c r="A37" s="801">
        <v>4</v>
      </c>
      <c r="B37" s="1556" t="s">
        <v>603</v>
      </c>
      <c r="C37" s="1556"/>
      <c r="D37" s="1556"/>
      <c r="E37" s="1556"/>
      <c r="F37" s="1556"/>
      <c r="G37" s="1556"/>
      <c r="H37" s="1556"/>
      <c r="I37" s="1556"/>
      <c r="J37" s="1556"/>
      <c r="K37" s="1556"/>
      <c r="L37" s="1556"/>
    </row>
    <row r="38" spans="1:12" ht="14.25" customHeight="1" x14ac:dyDescent="0.2">
      <c r="A38" s="598">
        <v>5</v>
      </c>
      <c r="B38" s="1556" t="s">
        <v>1170</v>
      </c>
      <c r="C38" s="1556"/>
      <c r="D38" s="1556"/>
      <c r="E38" s="1556"/>
      <c r="F38" s="1556"/>
      <c r="G38" s="1556"/>
      <c r="H38" s="1556"/>
      <c r="I38" s="1556"/>
      <c r="J38" s="1556"/>
      <c r="K38" s="1556"/>
      <c r="L38" s="1556"/>
    </row>
    <row r="39" spans="1:12" x14ac:dyDescent="0.2">
      <c r="B39" s="1556"/>
      <c r="C39" s="1556"/>
      <c r="D39" s="1556"/>
      <c r="E39" s="1556"/>
      <c r="F39" s="1556"/>
      <c r="G39" s="1556"/>
      <c r="H39" s="1556"/>
      <c r="I39" s="1556"/>
      <c r="J39" s="1556"/>
      <c r="K39" s="1556"/>
      <c r="L39" s="1556"/>
    </row>
  </sheetData>
  <mergeCells count="20">
    <mergeCell ref="B38:L39"/>
    <mergeCell ref="B37:L37"/>
    <mergeCell ref="B33:L34"/>
    <mergeCell ref="A20:B20"/>
    <mergeCell ref="A19:B19"/>
    <mergeCell ref="A21:B21"/>
    <mergeCell ref="A27:B27"/>
    <mergeCell ref="A9:L9"/>
    <mergeCell ref="A10:L10"/>
    <mergeCell ref="B35:G35"/>
    <mergeCell ref="B36:G36"/>
    <mergeCell ref="A22:B22"/>
    <mergeCell ref="A23:B23"/>
    <mergeCell ref="A26:B26"/>
    <mergeCell ref="A15:B15"/>
    <mergeCell ref="A14:B14"/>
    <mergeCell ref="H12:L12"/>
    <mergeCell ref="A16:B16"/>
    <mergeCell ref="A17:B17"/>
    <mergeCell ref="A18:B18"/>
  </mergeCells>
  <phoneticPr fontId="16" type="noConversion"/>
  <dataValidations count="2">
    <dataValidation allowBlank="1" showInputMessage="1" showErrorMessage="1" promptTitle="Date Format" prompt="E.g:  &quot;August 1, 2011&quot;" sqref="L7"/>
    <dataValidation type="list" allowBlank="1" showInputMessage="1" showErrorMessage="1" sqref="C14:L14">
      <formula1>"CGAAP, MIFRS, USGAAP, ASPE"</formula1>
    </dataValidation>
  </dataValidations>
  <pageMargins left="0.75" right="0.75" top="1" bottom="1" header="0.5" footer="0.5"/>
  <pageSetup scale="75" orientation="landscape" r:id="rId1"/>
  <headerFooter alignWithMargins="0"/>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3">
    <tabColor theme="7" tint="0.39997558519241921"/>
    <pageSetUpPr fitToPage="1"/>
  </sheetPr>
  <dimension ref="A1:L46"/>
  <sheetViews>
    <sheetView showGridLines="0" zoomScaleNormal="100" workbookViewId="0">
      <selection activeCell="H35" sqref="H35"/>
    </sheetView>
  </sheetViews>
  <sheetFormatPr defaultRowHeight="12.75" x14ac:dyDescent="0.2"/>
  <cols>
    <col min="1" max="1" width="4.140625" style="43" customWidth="1"/>
    <col min="2" max="2" width="40.7109375" style="43" customWidth="1"/>
    <col min="3" max="3" width="17.7109375" style="43" customWidth="1"/>
    <col min="4" max="4" width="15.7109375" style="43" customWidth="1"/>
    <col min="5" max="8" width="13.7109375" style="43" customWidth="1"/>
    <col min="9" max="9" width="15" style="43" customWidth="1"/>
    <col min="10" max="10" width="12.85546875" style="43" customWidth="1"/>
    <col min="11" max="11" width="13.7109375" style="43" customWidth="1"/>
    <col min="12" max="12" width="10.7109375" style="43" customWidth="1"/>
    <col min="13" max="16384" width="9.140625" style="43"/>
  </cols>
  <sheetData>
    <row r="1" spans="1:12" x14ac:dyDescent="0.2">
      <c r="J1" s="562" t="s">
        <v>301</v>
      </c>
      <c r="K1" s="61" t="str">
        <f>EBNUMBER</f>
        <v>EB-2016-0066</v>
      </c>
    </row>
    <row r="2" spans="1:12" x14ac:dyDescent="0.2">
      <c r="J2" s="562" t="s">
        <v>302</v>
      </c>
      <c r="K2" s="62"/>
    </row>
    <row r="3" spans="1:12" x14ac:dyDescent="0.2">
      <c r="J3" s="562" t="s">
        <v>303</v>
      </c>
      <c r="K3" s="62"/>
    </row>
    <row r="4" spans="1:12" x14ac:dyDescent="0.2">
      <c r="J4" s="562" t="s">
        <v>304</v>
      </c>
      <c r="K4" s="62"/>
    </row>
    <row r="5" spans="1:12" x14ac:dyDescent="0.2">
      <c r="J5" s="562" t="s">
        <v>305</v>
      </c>
      <c r="K5" s="63"/>
    </row>
    <row r="6" spans="1:12" x14ac:dyDescent="0.2">
      <c r="J6" s="562"/>
      <c r="K6" s="61"/>
    </row>
    <row r="7" spans="1:12" x14ac:dyDescent="0.2">
      <c r="J7" s="562" t="s">
        <v>306</v>
      </c>
      <c r="K7" s="63"/>
    </row>
    <row r="9" spans="1:12" ht="18" x14ac:dyDescent="0.25">
      <c r="A9" s="1546" t="s">
        <v>32</v>
      </c>
      <c r="B9" s="1546"/>
      <c r="C9" s="1546"/>
      <c r="D9" s="1546"/>
      <c r="E9" s="1546"/>
      <c r="F9" s="1546"/>
      <c r="G9" s="1546"/>
      <c r="H9" s="1546"/>
      <c r="I9" s="1546"/>
      <c r="J9" s="1546"/>
      <c r="K9" s="1546"/>
    </row>
    <row r="10" spans="1:12" ht="18" x14ac:dyDescent="0.25">
      <c r="A10" s="1546" t="s">
        <v>101</v>
      </c>
      <c r="B10" s="1546"/>
      <c r="C10" s="1546"/>
      <c r="D10" s="1546"/>
      <c r="E10" s="1546"/>
      <c r="F10" s="1546"/>
      <c r="G10" s="1546"/>
      <c r="H10" s="1546"/>
      <c r="I10" s="1546"/>
      <c r="J10" s="1546"/>
      <c r="K10" s="1546"/>
    </row>
    <row r="11" spans="1:12" x14ac:dyDescent="0.2">
      <c r="E11" s="802"/>
    </row>
    <row r="12" spans="1:12" ht="13.5" thickBot="1" x14ac:dyDescent="0.25">
      <c r="E12" s="802"/>
    </row>
    <row r="13" spans="1:12" ht="63.75" x14ac:dyDescent="0.2">
      <c r="A13" s="1921" t="s">
        <v>120</v>
      </c>
      <c r="B13" s="1922"/>
      <c r="C13" s="803" t="s">
        <v>121</v>
      </c>
      <c r="D13" s="803" t="s">
        <v>124</v>
      </c>
      <c r="E13" s="803" t="s">
        <v>91</v>
      </c>
      <c r="F13" s="66" t="str">
        <f>"Last Rebasing Year (" &amp; RebaseYear &amp; " Board Approved)"</f>
        <v>Last Rebasing Year (2012 Board Approved)</v>
      </c>
      <c r="G13" s="66" t="str">
        <f>"Most Current Actuals               Year " &amp; TestYear - 2</f>
        <v>Most Current Actuals               Year 2015</v>
      </c>
      <c r="H13" s="66" t="str">
        <f>TestYear -1 &amp; " Bridge Year"</f>
        <v>2016 Bridge Year</v>
      </c>
      <c r="I13" s="803" t="s">
        <v>122</v>
      </c>
      <c r="J13" s="66" t="str">
        <f>TestYear &amp; " Test Year"</f>
        <v>2017 Test Year</v>
      </c>
      <c r="K13" s="804" t="s">
        <v>122</v>
      </c>
    </row>
    <row r="14" spans="1:12" x14ac:dyDescent="0.2">
      <c r="A14" s="1923" t="s">
        <v>21</v>
      </c>
      <c r="B14" s="1924"/>
      <c r="C14" s="1081" t="s">
        <v>22</v>
      </c>
      <c r="D14" s="1081" t="s">
        <v>123</v>
      </c>
      <c r="E14" s="1081" t="s">
        <v>23</v>
      </c>
      <c r="F14" s="1081" t="s">
        <v>24</v>
      </c>
      <c r="G14" s="1081" t="s">
        <v>125</v>
      </c>
      <c r="H14" s="1081" t="s">
        <v>126</v>
      </c>
      <c r="I14" s="1081" t="s">
        <v>128</v>
      </c>
      <c r="J14" s="1081" t="s">
        <v>127</v>
      </c>
      <c r="K14" s="805" t="s">
        <v>129</v>
      </c>
    </row>
    <row r="15" spans="1:12" x14ac:dyDescent="0.2">
      <c r="A15" s="806">
        <v>1</v>
      </c>
      <c r="B15" s="807" t="s">
        <v>130</v>
      </c>
      <c r="C15" s="808">
        <v>5655</v>
      </c>
      <c r="D15" s="809"/>
      <c r="E15" s="810" t="s">
        <v>1294</v>
      </c>
      <c r="F15" s="809">
        <v>29970</v>
      </c>
      <c r="G15" s="809">
        <v>21687</v>
      </c>
      <c r="H15" s="809">
        <v>47481</v>
      </c>
      <c r="I15" s="811">
        <f>IF(G15=0,"",(H15-G15)/G15)</f>
        <v>1.1893761239452207</v>
      </c>
      <c r="J15" s="809">
        <v>47481</v>
      </c>
      <c r="K15" s="812">
        <f>IF(H15=0,"",(J15-H15)/H15)</f>
        <v>0</v>
      </c>
      <c r="L15" s="44"/>
    </row>
    <row r="16" spans="1:12" x14ac:dyDescent="0.2">
      <c r="A16" s="806">
        <v>2</v>
      </c>
      <c r="B16" s="807" t="s">
        <v>81</v>
      </c>
      <c r="C16" s="808">
        <v>5655</v>
      </c>
      <c r="D16" s="809"/>
      <c r="E16" s="810"/>
      <c r="F16" s="809"/>
      <c r="G16" s="809"/>
      <c r="H16" s="809"/>
      <c r="I16" s="811" t="str">
        <f t="shared" ref="I16:I28" si="0">IF(G16=0,"",(H16-G16)/G16)</f>
        <v/>
      </c>
      <c r="J16" s="809"/>
      <c r="K16" s="812" t="str">
        <f t="shared" ref="K16:K28" si="1">IF(H16=0,"",(J16-H16)/H16)</f>
        <v/>
      </c>
      <c r="L16" s="44"/>
    </row>
    <row r="17" spans="1:12" x14ac:dyDescent="0.2">
      <c r="A17" s="806">
        <v>3</v>
      </c>
      <c r="B17" s="807" t="s">
        <v>131</v>
      </c>
      <c r="C17" s="808">
        <v>5655</v>
      </c>
      <c r="D17" s="809"/>
      <c r="E17" s="810" t="s">
        <v>1294</v>
      </c>
      <c r="F17" s="809">
        <v>2000</v>
      </c>
      <c r="G17" s="809">
        <v>1984</v>
      </c>
      <c r="H17" s="809">
        <v>2143</v>
      </c>
      <c r="I17" s="811">
        <f t="shared" si="0"/>
        <v>8.0141129032258063E-2</v>
      </c>
      <c r="J17" s="809">
        <v>2143</v>
      </c>
      <c r="K17" s="812">
        <f t="shared" si="1"/>
        <v>0</v>
      </c>
      <c r="L17" s="44"/>
    </row>
    <row r="18" spans="1:12" ht="12.75" customHeight="1" x14ac:dyDescent="0.2">
      <c r="A18" s="806">
        <v>4</v>
      </c>
      <c r="B18" s="807" t="s">
        <v>132</v>
      </c>
      <c r="C18" s="808">
        <v>5655</v>
      </c>
      <c r="D18" s="809"/>
      <c r="E18" s="810"/>
      <c r="F18" s="809"/>
      <c r="G18" s="809"/>
      <c r="H18" s="809"/>
      <c r="I18" s="811" t="str">
        <f t="shared" si="0"/>
        <v/>
      </c>
      <c r="J18" s="809"/>
      <c r="K18" s="812" t="str">
        <f t="shared" si="1"/>
        <v/>
      </c>
      <c r="L18" s="44"/>
    </row>
    <row r="19" spans="1:12" x14ac:dyDescent="0.2">
      <c r="A19" s="806">
        <v>5</v>
      </c>
      <c r="B19" s="807" t="s">
        <v>133</v>
      </c>
      <c r="C19" s="808">
        <v>5655</v>
      </c>
      <c r="D19" s="809"/>
      <c r="E19" s="810" t="s">
        <v>1295</v>
      </c>
      <c r="F19" s="809">
        <v>25000</v>
      </c>
      <c r="G19" s="809">
        <v>0</v>
      </c>
      <c r="H19" s="809">
        <v>40000</v>
      </c>
      <c r="I19" s="811" t="str">
        <f t="shared" si="0"/>
        <v/>
      </c>
      <c r="J19" s="809">
        <v>40000</v>
      </c>
      <c r="K19" s="812">
        <f t="shared" si="1"/>
        <v>0</v>
      </c>
      <c r="L19" s="44"/>
    </row>
    <row r="20" spans="1:12" x14ac:dyDescent="0.2">
      <c r="A20" s="806">
        <v>6</v>
      </c>
      <c r="B20" s="807" t="s">
        <v>134</v>
      </c>
      <c r="C20" s="808">
        <v>5655</v>
      </c>
      <c r="D20" s="809"/>
      <c r="E20" s="810" t="s">
        <v>1295</v>
      </c>
      <c r="F20" s="809">
        <v>36925</v>
      </c>
      <c r="G20" s="809">
        <v>38376</v>
      </c>
      <c r="H20" s="809">
        <v>44425</v>
      </c>
      <c r="I20" s="811">
        <f t="shared" si="0"/>
        <v>0.15762455701480091</v>
      </c>
      <c r="J20" s="809">
        <v>44425</v>
      </c>
      <c r="K20" s="812">
        <f t="shared" si="1"/>
        <v>0</v>
      </c>
      <c r="L20" s="44"/>
    </row>
    <row r="21" spans="1:12" ht="25.5" customHeight="1" x14ac:dyDescent="0.2">
      <c r="A21" s="806">
        <v>7</v>
      </c>
      <c r="B21" s="807" t="s">
        <v>135</v>
      </c>
      <c r="C21" s="808">
        <v>5655</v>
      </c>
      <c r="D21" s="809"/>
      <c r="E21" s="810"/>
      <c r="F21" s="809"/>
      <c r="G21" s="809"/>
      <c r="H21" s="809"/>
      <c r="I21" s="811" t="str">
        <f t="shared" si="0"/>
        <v/>
      </c>
      <c r="J21" s="809"/>
      <c r="K21" s="812" t="str">
        <f t="shared" si="1"/>
        <v/>
      </c>
      <c r="L21" s="44"/>
    </row>
    <row r="22" spans="1:12" ht="26.25" customHeight="1" x14ac:dyDescent="0.2">
      <c r="A22" s="806">
        <v>8</v>
      </c>
      <c r="B22" s="807" t="s">
        <v>90</v>
      </c>
      <c r="C22" s="808">
        <v>5655</v>
      </c>
      <c r="D22" s="809"/>
      <c r="E22" s="810"/>
      <c r="F22" s="809"/>
      <c r="G22" s="809"/>
      <c r="H22" s="809"/>
      <c r="I22" s="811" t="str">
        <f t="shared" si="0"/>
        <v/>
      </c>
      <c r="J22" s="809"/>
      <c r="K22" s="812" t="str">
        <f t="shared" si="1"/>
        <v/>
      </c>
      <c r="L22" s="44"/>
    </row>
    <row r="23" spans="1:12" ht="13.5" customHeight="1" x14ac:dyDescent="0.2">
      <c r="A23" s="806">
        <v>9</v>
      </c>
      <c r="B23" s="807" t="s">
        <v>136</v>
      </c>
      <c r="C23" s="808">
        <v>5655</v>
      </c>
      <c r="D23" s="809"/>
      <c r="E23" s="810" t="s">
        <v>1294</v>
      </c>
      <c r="F23" s="809">
        <v>800</v>
      </c>
      <c r="G23" s="809">
        <v>800</v>
      </c>
      <c r="H23" s="809">
        <v>800</v>
      </c>
      <c r="I23" s="811">
        <f t="shared" si="0"/>
        <v>0</v>
      </c>
      <c r="J23" s="809">
        <v>800</v>
      </c>
      <c r="K23" s="812">
        <f t="shared" si="1"/>
        <v>0</v>
      </c>
      <c r="L23" s="44"/>
    </row>
    <row r="24" spans="1:12" ht="25.5" x14ac:dyDescent="0.2">
      <c r="A24" s="806">
        <v>10</v>
      </c>
      <c r="B24" s="807" t="s">
        <v>137</v>
      </c>
      <c r="C24" s="808">
        <v>5655</v>
      </c>
      <c r="D24" s="809"/>
      <c r="E24" s="810" t="s">
        <v>1294</v>
      </c>
      <c r="F24" s="809">
        <v>4561</v>
      </c>
      <c r="G24" s="809">
        <v>5847</v>
      </c>
      <c r="H24" s="809">
        <v>5179</v>
      </c>
      <c r="I24" s="811">
        <f t="shared" si="0"/>
        <v>-0.1142466221994185</v>
      </c>
      <c r="J24" s="809">
        <v>5179</v>
      </c>
      <c r="K24" s="812">
        <f t="shared" si="1"/>
        <v>0</v>
      </c>
      <c r="L24" s="44"/>
    </row>
    <row r="25" spans="1:12" ht="13.5" thickBot="1" x14ac:dyDescent="0.25">
      <c r="A25" s="813">
        <v>11</v>
      </c>
      <c r="B25" s="814" t="s">
        <v>138</v>
      </c>
      <c r="C25" s="808">
        <v>5655</v>
      </c>
      <c r="D25" s="815"/>
      <c r="E25" s="810" t="s">
        <v>1295</v>
      </c>
      <c r="F25" s="815">
        <v>11250</v>
      </c>
      <c r="G25" s="815">
        <v>0</v>
      </c>
      <c r="H25" s="815">
        <v>10000</v>
      </c>
      <c r="I25" s="816" t="str">
        <f t="shared" si="0"/>
        <v/>
      </c>
      <c r="J25" s="815">
        <v>10000</v>
      </c>
      <c r="K25" s="817">
        <f t="shared" si="1"/>
        <v>0</v>
      </c>
      <c r="L25" s="44"/>
    </row>
    <row r="26" spans="1:12" ht="14.25" x14ac:dyDescent="0.2">
      <c r="A26" s="818">
        <v>12</v>
      </c>
      <c r="B26" s="819" t="s">
        <v>92</v>
      </c>
      <c r="C26" s="820"/>
      <c r="D26" s="821">
        <f>SUMIF($E15:$E25,$E11,D15:D25)</f>
        <v>0</v>
      </c>
      <c r="E26" s="820"/>
      <c r="F26" s="821">
        <f>SUMIF($E15:$E25,$E11,F15:F25)</f>
        <v>0</v>
      </c>
      <c r="G26" s="821">
        <f>SUMIF($E15:$E25,$E11,G15:G25)</f>
        <v>0</v>
      </c>
      <c r="H26" s="821">
        <f>SUMIF($E15:$E25,$E11,H15:H25)</f>
        <v>0</v>
      </c>
      <c r="I26" s="822" t="str">
        <f t="shared" si="0"/>
        <v/>
      </c>
      <c r="J26" s="821">
        <f>SUMIF($E15:$E25,$E11,J15:J25)</f>
        <v>0</v>
      </c>
      <c r="K26" s="823" t="str">
        <f t="shared" si="1"/>
        <v/>
      </c>
      <c r="L26" s="44"/>
    </row>
    <row r="27" spans="1:12" ht="15" thickBot="1" x14ac:dyDescent="0.25">
      <c r="A27" s="824">
        <v>13</v>
      </c>
      <c r="B27" s="825" t="s">
        <v>93</v>
      </c>
      <c r="C27" s="826"/>
      <c r="D27" s="827">
        <f>SUMIF($E15:$E25,$E12,D15:D25)</f>
        <v>0</v>
      </c>
      <c r="E27" s="826"/>
      <c r="F27" s="827">
        <f>SUMIF($E15:$E25,$E12,F15:F25)</f>
        <v>0</v>
      </c>
      <c r="G27" s="827">
        <f>SUMIF($E15:$E25,$E12,G15:G25)</f>
        <v>0</v>
      </c>
      <c r="H27" s="827">
        <f>SUMIF($E15:$E25,$E12,H15:H25)</f>
        <v>0</v>
      </c>
      <c r="I27" s="828" t="str">
        <f t="shared" si="0"/>
        <v/>
      </c>
      <c r="J27" s="827">
        <f>SUMIF($E15:$E25,$E12,J15:J25)</f>
        <v>0</v>
      </c>
      <c r="K27" s="829" t="str">
        <f t="shared" si="1"/>
        <v/>
      </c>
      <c r="L27" s="44"/>
    </row>
    <row r="28" spans="1:12" ht="14.25" thickTop="1" thickBot="1" x14ac:dyDescent="0.25">
      <c r="A28" s="830">
        <v>14</v>
      </c>
      <c r="B28" s="831" t="s">
        <v>295</v>
      </c>
      <c r="C28" s="832"/>
      <c r="D28" s="833">
        <f>D26+D27</f>
        <v>0</v>
      </c>
      <c r="E28" s="832"/>
      <c r="F28" s="833">
        <f>F26+F27</f>
        <v>0</v>
      </c>
      <c r="G28" s="833">
        <f>G26+G27</f>
        <v>0</v>
      </c>
      <c r="H28" s="833">
        <f>H26+H27</f>
        <v>0</v>
      </c>
      <c r="I28" s="834" t="str">
        <f t="shared" si="0"/>
        <v/>
      </c>
      <c r="J28" s="833">
        <f>J26+J27</f>
        <v>0</v>
      </c>
      <c r="K28" s="835" t="str">
        <f t="shared" si="1"/>
        <v/>
      </c>
      <c r="L28" s="44"/>
    </row>
    <row r="31" spans="1:12" x14ac:dyDescent="0.2">
      <c r="A31" s="60" t="s">
        <v>605</v>
      </c>
    </row>
    <row r="32" spans="1:12" ht="13.5" thickBot="1" x14ac:dyDescent="0.25"/>
    <row r="33" spans="1:5" ht="26.25" thickBot="1" x14ac:dyDescent="0.25">
      <c r="C33" s="836" t="s">
        <v>238</v>
      </c>
      <c r="D33" s="836" t="str">
        <f>H13</f>
        <v>2016 Bridge Year</v>
      </c>
      <c r="E33" s="836" t="str">
        <f>J13</f>
        <v>2017 Test Year</v>
      </c>
    </row>
    <row r="34" spans="1:5" x14ac:dyDescent="0.2">
      <c r="A34" s="837">
        <v>4</v>
      </c>
      <c r="B34" s="838" t="s">
        <v>609</v>
      </c>
      <c r="C34" s="839"/>
      <c r="D34" s="839"/>
      <c r="E34" s="839"/>
    </row>
    <row r="35" spans="1:5" x14ac:dyDescent="0.2">
      <c r="A35" s="806">
        <v>5</v>
      </c>
      <c r="B35" s="840" t="s">
        <v>610</v>
      </c>
      <c r="C35" s="1440">
        <f>F19</f>
        <v>25000</v>
      </c>
      <c r="D35" s="1440">
        <f>H19</f>
        <v>40000</v>
      </c>
      <c r="E35" s="1440">
        <f>J19</f>
        <v>40000</v>
      </c>
    </row>
    <row r="36" spans="1:5" x14ac:dyDescent="0.2">
      <c r="A36" s="806">
        <v>6</v>
      </c>
      <c r="B36" s="841" t="s">
        <v>608</v>
      </c>
      <c r="C36" s="1441">
        <f>F20+G20</f>
        <v>75301</v>
      </c>
      <c r="D36" s="1441">
        <f>H20</f>
        <v>44425</v>
      </c>
      <c r="E36" s="1441">
        <f>J20</f>
        <v>44425</v>
      </c>
    </row>
    <row r="37" spans="1:5" ht="26.25" customHeight="1" x14ac:dyDescent="0.2">
      <c r="A37" s="806">
        <v>7</v>
      </c>
      <c r="B37" s="841" t="s">
        <v>606</v>
      </c>
      <c r="C37" s="842"/>
      <c r="D37" s="842"/>
      <c r="E37" s="842"/>
    </row>
    <row r="38" spans="1:5" ht="27" customHeight="1" x14ac:dyDescent="0.2">
      <c r="A38" s="806">
        <v>8</v>
      </c>
      <c r="B38" s="841" t="s">
        <v>607</v>
      </c>
      <c r="C38" s="842"/>
      <c r="D38" s="842"/>
      <c r="E38" s="842"/>
    </row>
    <row r="39" spans="1:5" ht="13.5" thickBot="1" x14ac:dyDescent="0.25">
      <c r="A39" s="813">
        <v>11</v>
      </c>
      <c r="B39" s="843" t="s">
        <v>138</v>
      </c>
      <c r="C39" s="1442">
        <f>F25</f>
        <v>11250</v>
      </c>
      <c r="D39" s="1442">
        <f>H25</f>
        <v>10000</v>
      </c>
      <c r="E39" s="1442">
        <f>J25</f>
        <v>10000</v>
      </c>
    </row>
    <row r="41" spans="1:5" x14ac:dyDescent="0.2">
      <c r="A41" s="60" t="s">
        <v>11</v>
      </c>
    </row>
    <row r="43" spans="1:5" ht="14.25" x14ac:dyDescent="0.2">
      <c r="A43" s="1426" t="s">
        <v>89</v>
      </c>
      <c r="B43" s="43" t="s">
        <v>141</v>
      </c>
    </row>
    <row r="44" spans="1:5" ht="14.25" x14ac:dyDescent="0.2">
      <c r="A44" s="1426" t="s">
        <v>94</v>
      </c>
      <c r="B44" s="43" t="s">
        <v>142</v>
      </c>
    </row>
    <row r="45" spans="1:5" ht="14.25" x14ac:dyDescent="0.2">
      <c r="A45" s="1426" t="s">
        <v>95</v>
      </c>
      <c r="B45" s="43" t="s">
        <v>139</v>
      </c>
    </row>
    <row r="46" spans="1:5" ht="14.25" x14ac:dyDescent="0.2">
      <c r="A46" s="1426" t="s">
        <v>96</v>
      </c>
      <c r="B46" s="43" t="s">
        <v>140</v>
      </c>
    </row>
  </sheetData>
  <mergeCells count="4">
    <mergeCell ref="A13:B13"/>
    <mergeCell ref="A14:B14"/>
    <mergeCell ref="A9:K9"/>
    <mergeCell ref="A10:K10"/>
  </mergeCells>
  <phoneticPr fontId="16" type="noConversion"/>
  <dataValidations count="2">
    <dataValidation type="list" allowBlank="1" showInputMessage="1" showErrorMessage="1" prompt="Please identify costs as One-time or ongoing by selecting from the drop-down list." sqref="E15:E25">
      <formula1>"One-Time, On-Going"</formula1>
    </dataValidation>
    <dataValidation allowBlank="1" showInputMessage="1" showErrorMessage="1" promptTitle="Date Format" prompt="E.g:  &quot;August 1, 2011&quot;" sqref="K7"/>
  </dataValidations>
  <pageMargins left="0.75" right="0.75" top="1" bottom="1" header="0.5" footer="0.5"/>
  <pageSetup scale="65" orientation="landscape" r:id="rId1"/>
  <headerFooter alignWithMargins="0"/>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4">
    <tabColor theme="7" tint="0.39997558519241921"/>
    <pageSetUpPr fitToPage="1"/>
  </sheetPr>
  <dimension ref="A1:G173"/>
  <sheetViews>
    <sheetView showGridLines="0" zoomScaleNormal="100" workbookViewId="0">
      <selection activeCell="A132" sqref="A132:F160"/>
    </sheetView>
  </sheetViews>
  <sheetFormatPr defaultRowHeight="12.75" x14ac:dyDescent="0.2"/>
  <cols>
    <col min="1" max="2" width="20.7109375" style="43" customWidth="1"/>
    <col min="3" max="3" width="15.7109375" style="43" customWidth="1"/>
    <col min="4" max="4" width="15.85546875" style="43" customWidth="1"/>
    <col min="5" max="5" width="14.85546875" style="43" customWidth="1"/>
    <col min="6" max="6" width="13.7109375" style="43" customWidth="1"/>
    <col min="7" max="7" width="17.28515625" style="43" customWidth="1"/>
    <col min="8" max="16384" width="9.140625" style="43"/>
  </cols>
  <sheetData>
    <row r="1" spans="1:7" x14ac:dyDescent="0.2">
      <c r="F1" s="562" t="s">
        <v>301</v>
      </c>
      <c r="G1" s="61" t="str">
        <f>EBNUMBER</f>
        <v>EB-2016-0066</v>
      </c>
    </row>
    <row r="2" spans="1:7" x14ac:dyDescent="0.2">
      <c r="F2" s="562" t="s">
        <v>302</v>
      </c>
      <c r="G2" s="62"/>
    </row>
    <row r="3" spans="1:7" x14ac:dyDescent="0.2">
      <c r="F3" s="562" t="s">
        <v>303</v>
      </c>
      <c r="G3" s="62"/>
    </row>
    <row r="4" spans="1:7" x14ac:dyDescent="0.2">
      <c r="F4" s="562" t="s">
        <v>304</v>
      </c>
      <c r="G4" s="62"/>
    </row>
    <row r="5" spans="1:7" x14ac:dyDescent="0.2">
      <c r="F5" s="562" t="s">
        <v>305</v>
      </c>
      <c r="G5" s="63"/>
    </row>
    <row r="6" spans="1:7" x14ac:dyDescent="0.2">
      <c r="F6" s="562"/>
      <c r="G6" s="61"/>
    </row>
    <row r="7" spans="1:7" x14ac:dyDescent="0.2">
      <c r="F7" s="562" t="s">
        <v>306</v>
      </c>
      <c r="G7" s="63"/>
    </row>
    <row r="9" spans="1:7" ht="18" x14ac:dyDescent="0.25">
      <c r="A9" s="1547" t="s">
        <v>33</v>
      </c>
      <c r="B9" s="1547"/>
      <c r="C9" s="1547"/>
      <c r="D9" s="1547"/>
      <c r="E9" s="1547"/>
      <c r="F9" s="1547"/>
      <c r="G9" s="64"/>
    </row>
    <row r="10" spans="1:7" ht="21" x14ac:dyDescent="0.25">
      <c r="A10" s="1547" t="s">
        <v>1010</v>
      </c>
      <c r="B10" s="1547"/>
      <c r="C10" s="1547"/>
      <c r="D10" s="1547"/>
      <c r="E10" s="1547"/>
      <c r="F10" s="1547"/>
      <c r="G10" s="64"/>
    </row>
    <row r="12" spans="1:7" x14ac:dyDescent="0.2">
      <c r="B12" s="473" t="s">
        <v>26</v>
      </c>
      <c r="C12" s="844">
        <v>2013</v>
      </c>
    </row>
    <row r="13" spans="1:7" x14ac:dyDescent="0.2">
      <c r="C13" s="473"/>
      <c r="D13" s="845"/>
    </row>
    <row r="14" spans="1:7" ht="15.75" x14ac:dyDescent="0.25">
      <c r="A14" s="1925" t="s">
        <v>242</v>
      </c>
      <c r="B14" s="1925"/>
      <c r="C14" s="1925"/>
      <c r="D14" s="1925"/>
      <c r="E14" s="1925"/>
      <c r="F14" s="1925"/>
    </row>
    <row r="15" spans="1:7" ht="13.5" thickBot="1" x14ac:dyDescent="0.25"/>
    <row r="16" spans="1:7" ht="13.5" customHeight="1" x14ac:dyDescent="0.2">
      <c r="A16" s="1926" t="s">
        <v>175</v>
      </c>
      <c r="B16" s="1927"/>
      <c r="C16" s="1939" t="s">
        <v>178</v>
      </c>
      <c r="D16" s="1939" t="s">
        <v>611</v>
      </c>
      <c r="E16" s="1931" t="s">
        <v>179</v>
      </c>
      <c r="F16" s="1931" t="s">
        <v>180</v>
      </c>
      <c r="G16" s="1949"/>
    </row>
    <row r="17" spans="1:7" ht="17.25" customHeight="1" x14ac:dyDescent="0.2">
      <c r="A17" s="1942" t="s">
        <v>176</v>
      </c>
      <c r="B17" s="1944" t="s">
        <v>177</v>
      </c>
      <c r="C17" s="1940"/>
      <c r="D17" s="1940"/>
      <c r="E17" s="1932"/>
      <c r="F17" s="1932"/>
      <c r="G17" s="1949"/>
    </row>
    <row r="18" spans="1:7" x14ac:dyDescent="0.2">
      <c r="A18" s="1943"/>
      <c r="B18" s="1945"/>
      <c r="C18" s="1941"/>
      <c r="D18" s="1941"/>
      <c r="E18" s="846" t="s">
        <v>170</v>
      </c>
      <c r="F18" s="846" t="s">
        <v>170</v>
      </c>
      <c r="G18" s="847"/>
    </row>
    <row r="19" spans="1:7" ht="51" x14ac:dyDescent="0.2">
      <c r="A19" s="771" t="s">
        <v>327</v>
      </c>
      <c r="B19" s="578" t="s">
        <v>1300</v>
      </c>
      <c r="C19" s="1443" t="s">
        <v>1302</v>
      </c>
      <c r="D19" s="1444" t="s">
        <v>264</v>
      </c>
      <c r="E19" s="578">
        <f>268000+8000</f>
        <v>276000</v>
      </c>
      <c r="F19" s="578">
        <f>268000+8000</f>
        <v>276000</v>
      </c>
      <c r="G19" s="848"/>
    </row>
    <row r="20" spans="1:7" ht="38.25" x14ac:dyDescent="0.2">
      <c r="A20" s="771" t="s">
        <v>327</v>
      </c>
      <c r="B20" s="578" t="s">
        <v>1301</v>
      </c>
      <c r="C20" s="1445" t="s">
        <v>1304</v>
      </c>
      <c r="D20" s="1445" t="s">
        <v>1303</v>
      </c>
      <c r="E20" s="578">
        <v>241000</v>
      </c>
      <c r="F20" s="578">
        <v>200000</v>
      </c>
      <c r="G20" s="848"/>
    </row>
    <row r="21" spans="1:7" x14ac:dyDescent="0.2">
      <c r="A21" s="771"/>
      <c r="B21" s="578"/>
      <c r="C21" s="578"/>
      <c r="D21" s="578"/>
      <c r="E21" s="578"/>
      <c r="F21" s="578"/>
      <c r="G21" s="848"/>
    </row>
    <row r="22" spans="1:7" x14ac:dyDescent="0.2">
      <c r="A22" s="771"/>
      <c r="B22" s="578"/>
      <c r="C22" s="578"/>
      <c r="D22" s="578"/>
      <c r="E22" s="578"/>
      <c r="F22" s="578"/>
      <c r="G22" s="848"/>
    </row>
    <row r="23" spans="1:7" x14ac:dyDescent="0.2">
      <c r="A23" s="771"/>
      <c r="B23" s="578"/>
      <c r="C23" s="578"/>
      <c r="D23" s="578"/>
      <c r="E23" s="578"/>
      <c r="F23" s="578"/>
      <c r="G23" s="848"/>
    </row>
    <row r="24" spans="1:7" x14ac:dyDescent="0.2">
      <c r="A24" s="771"/>
      <c r="B24" s="578"/>
      <c r="C24" s="578"/>
      <c r="D24" s="578"/>
      <c r="E24" s="578"/>
      <c r="F24" s="578"/>
      <c r="G24" s="848"/>
    </row>
    <row r="25" spans="1:7" x14ac:dyDescent="0.2">
      <c r="A25" s="771"/>
      <c r="B25" s="578"/>
      <c r="C25" s="578"/>
      <c r="D25" s="578"/>
      <c r="E25" s="578"/>
      <c r="F25" s="578"/>
      <c r="G25" s="848"/>
    </row>
    <row r="26" spans="1:7" ht="13.5" thickBot="1" x14ac:dyDescent="0.25">
      <c r="A26" s="849"/>
      <c r="B26" s="850"/>
      <c r="C26" s="850"/>
      <c r="D26" s="850"/>
      <c r="E26" s="850"/>
      <c r="F26" s="850"/>
      <c r="G26" s="848"/>
    </row>
    <row r="28" spans="1:7" ht="15.75" x14ac:dyDescent="0.25">
      <c r="A28" s="1925" t="s">
        <v>241</v>
      </c>
      <c r="B28" s="1925"/>
      <c r="C28" s="1925"/>
      <c r="D28" s="1925"/>
      <c r="E28" s="1925"/>
      <c r="F28" s="1925"/>
    </row>
    <row r="29" spans="1:7" ht="13.5" thickBot="1" x14ac:dyDescent="0.25"/>
    <row r="30" spans="1:7" ht="13.5" customHeight="1" x14ac:dyDescent="0.2">
      <c r="A30" s="1926" t="s">
        <v>175</v>
      </c>
      <c r="B30" s="1927"/>
      <c r="C30" s="1928" t="s">
        <v>178</v>
      </c>
      <c r="D30" s="1928" t="s">
        <v>611</v>
      </c>
      <c r="E30" s="1931" t="s">
        <v>240</v>
      </c>
      <c r="F30" s="1933" t="s">
        <v>243</v>
      </c>
    </row>
    <row r="31" spans="1:7" ht="17.25" customHeight="1" x14ac:dyDescent="0.2">
      <c r="A31" s="1935" t="s">
        <v>176</v>
      </c>
      <c r="B31" s="1937" t="s">
        <v>177</v>
      </c>
      <c r="C31" s="1929"/>
      <c r="D31" s="1929"/>
      <c r="E31" s="1932"/>
      <c r="F31" s="1934"/>
    </row>
    <row r="32" spans="1:7" x14ac:dyDescent="0.2">
      <c r="A32" s="1936"/>
      <c r="B32" s="1938"/>
      <c r="C32" s="1930"/>
      <c r="D32" s="1930"/>
      <c r="E32" s="846" t="s">
        <v>171</v>
      </c>
      <c r="F32" s="851" t="s">
        <v>170</v>
      </c>
    </row>
    <row r="33" spans="1:6" ht="51" x14ac:dyDescent="0.2">
      <c r="A33" s="771" t="s">
        <v>327</v>
      </c>
      <c r="B33" s="578" t="s">
        <v>1300</v>
      </c>
      <c r="C33" s="1443" t="s">
        <v>1302</v>
      </c>
      <c r="D33" s="1444" t="s">
        <v>264</v>
      </c>
      <c r="E33" s="578">
        <v>100</v>
      </c>
      <c r="F33" s="579">
        <f>268000+8000</f>
        <v>276000</v>
      </c>
    </row>
    <row r="34" spans="1:6" ht="38.25" x14ac:dyDescent="0.2">
      <c r="A34" s="771" t="s">
        <v>327</v>
      </c>
      <c r="B34" s="578" t="s">
        <v>1301</v>
      </c>
      <c r="C34" s="1445" t="s">
        <v>1304</v>
      </c>
      <c r="D34" s="1445" t="s">
        <v>1303</v>
      </c>
      <c r="E34" s="578">
        <v>100</v>
      </c>
      <c r="F34" s="579">
        <v>241000</v>
      </c>
    </row>
    <row r="35" spans="1:6" x14ac:dyDescent="0.2">
      <c r="A35" s="771"/>
      <c r="B35" s="578"/>
      <c r="C35" s="578"/>
      <c r="D35" s="578"/>
      <c r="E35" s="578"/>
      <c r="F35" s="579"/>
    </row>
    <row r="36" spans="1:6" x14ac:dyDescent="0.2">
      <c r="A36" s="771"/>
      <c r="B36" s="578"/>
      <c r="C36" s="578"/>
      <c r="D36" s="578"/>
      <c r="E36" s="578"/>
      <c r="F36" s="579"/>
    </row>
    <row r="37" spans="1:6" x14ac:dyDescent="0.2">
      <c r="A37" s="771"/>
      <c r="B37" s="578"/>
      <c r="C37" s="578"/>
      <c r="D37" s="578"/>
      <c r="E37" s="578"/>
      <c r="F37" s="579"/>
    </row>
    <row r="38" spans="1:6" x14ac:dyDescent="0.2">
      <c r="A38" s="771"/>
      <c r="B38" s="578"/>
      <c r="C38" s="578"/>
      <c r="D38" s="578"/>
      <c r="E38" s="578"/>
      <c r="F38" s="579"/>
    </row>
    <row r="39" spans="1:6" x14ac:dyDescent="0.2">
      <c r="A39" s="771"/>
      <c r="B39" s="578"/>
      <c r="C39" s="578"/>
      <c r="D39" s="578"/>
      <c r="E39" s="578"/>
      <c r="F39" s="579"/>
    </row>
    <row r="40" spans="1:6" ht="13.5" thickBot="1" x14ac:dyDescent="0.25">
      <c r="A40" s="849"/>
      <c r="B40" s="850"/>
      <c r="C40" s="850"/>
      <c r="D40" s="850"/>
      <c r="E40" s="850"/>
      <c r="F40" s="852"/>
    </row>
    <row r="42" spans="1:6" x14ac:dyDescent="0.2">
      <c r="B42" s="473" t="s">
        <v>26</v>
      </c>
      <c r="C42" s="844">
        <v>2014</v>
      </c>
    </row>
    <row r="43" spans="1:6" x14ac:dyDescent="0.2">
      <c r="C43" s="473"/>
      <c r="D43" s="845"/>
    </row>
    <row r="44" spans="1:6" ht="15.75" x14ac:dyDescent="0.25">
      <c r="A44" s="1925" t="s">
        <v>242</v>
      </c>
      <c r="B44" s="1925"/>
      <c r="C44" s="1925"/>
      <c r="D44" s="1925"/>
      <c r="E44" s="1925"/>
      <c r="F44" s="1925"/>
    </row>
    <row r="45" spans="1:6" ht="13.5" thickBot="1" x14ac:dyDescent="0.25"/>
    <row r="46" spans="1:6" x14ac:dyDescent="0.2">
      <c r="A46" s="1926" t="s">
        <v>175</v>
      </c>
      <c r="B46" s="1927"/>
      <c r="C46" s="1939" t="s">
        <v>178</v>
      </c>
      <c r="D46" s="1939" t="s">
        <v>611</v>
      </c>
      <c r="E46" s="1931" t="s">
        <v>179</v>
      </c>
      <c r="F46" s="1931" t="s">
        <v>180</v>
      </c>
    </row>
    <row r="47" spans="1:6" x14ac:dyDescent="0.2">
      <c r="A47" s="1942" t="s">
        <v>176</v>
      </c>
      <c r="B47" s="1944" t="s">
        <v>177</v>
      </c>
      <c r="C47" s="1940"/>
      <c r="D47" s="1940"/>
      <c r="E47" s="1932"/>
      <c r="F47" s="1932"/>
    </row>
    <row r="48" spans="1:6" x14ac:dyDescent="0.2">
      <c r="A48" s="1943"/>
      <c r="B48" s="1945"/>
      <c r="C48" s="1941"/>
      <c r="D48" s="1941"/>
      <c r="E48" s="846" t="s">
        <v>170</v>
      </c>
      <c r="F48" s="846" t="s">
        <v>170</v>
      </c>
    </row>
    <row r="49" spans="1:6" ht="51" x14ac:dyDescent="0.2">
      <c r="A49" s="771" t="s">
        <v>327</v>
      </c>
      <c r="B49" s="578" t="s">
        <v>1300</v>
      </c>
      <c r="C49" s="1443" t="s">
        <v>1302</v>
      </c>
      <c r="D49" s="1444" t="s">
        <v>264</v>
      </c>
      <c r="E49" s="578">
        <f>241000+8000</f>
        <v>249000</v>
      </c>
      <c r="F49" s="578">
        <f>241000+8000</f>
        <v>249000</v>
      </c>
    </row>
    <row r="50" spans="1:6" ht="38.25" x14ac:dyDescent="0.2">
      <c r="A50" s="771" t="s">
        <v>327</v>
      </c>
      <c r="B50" s="578" t="s">
        <v>1301</v>
      </c>
      <c r="C50" s="1445" t="s">
        <v>1304</v>
      </c>
      <c r="D50" s="1445" t="s">
        <v>1303</v>
      </c>
      <c r="E50" s="578">
        <v>249000</v>
      </c>
      <c r="F50" s="578">
        <v>207500</v>
      </c>
    </row>
    <row r="51" spans="1:6" x14ac:dyDescent="0.2">
      <c r="A51" s="771"/>
      <c r="B51" s="578"/>
      <c r="C51" s="578"/>
      <c r="D51" s="578"/>
      <c r="E51" s="578"/>
      <c r="F51" s="578"/>
    </row>
    <row r="52" spans="1:6" x14ac:dyDescent="0.2">
      <c r="A52" s="771"/>
      <c r="B52" s="578"/>
      <c r="C52" s="578"/>
      <c r="D52" s="578"/>
      <c r="E52" s="578"/>
      <c r="F52" s="578"/>
    </row>
    <row r="53" spans="1:6" x14ac:dyDescent="0.2">
      <c r="A53" s="771"/>
      <c r="B53" s="578"/>
      <c r="C53" s="578"/>
      <c r="D53" s="578"/>
      <c r="E53" s="578"/>
      <c r="F53" s="578"/>
    </row>
    <row r="54" spans="1:6" x14ac:dyDescent="0.2">
      <c r="A54" s="771"/>
      <c r="B54" s="578"/>
      <c r="C54" s="578"/>
      <c r="D54" s="578"/>
      <c r="E54" s="578"/>
      <c r="F54" s="578"/>
    </row>
    <row r="55" spans="1:6" x14ac:dyDescent="0.2">
      <c r="A55" s="771"/>
      <c r="B55" s="578"/>
      <c r="C55" s="578"/>
      <c r="D55" s="578"/>
      <c r="E55" s="578"/>
      <c r="F55" s="578"/>
    </row>
    <row r="56" spans="1:6" ht="13.5" thickBot="1" x14ac:dyDescent="0.25">
      <c r="A56" s="849"/>
      <c r="B56" s="850"/>
      <c r="C56" s="850"/>
      <c r="D56" s="850"/>
      <c r="E56" s="850"/>
      <c r="F56" s="850"/>
    </row>
    <row r="58" spans="1:6" ht="15.75" x14ac:dyDescent="0.25">
      <c r="A58" s="1925" t="s">
        <v>241</v>
      </c>
      <c r="B58" s="1925"/>
      <c r="C58" s="1925"/>
      <c r="D58" s="1925"/>
      <c r="E58" s="1925"/>
      <c r="F58" s="1925"/>
    </row>
    <row r="59" spans="1:6" ht="13.5" thickBot="1" x14ac:dyDescent="0.25"/>
    <row r="60" spans="1:6" x14ac:dyDescent="0.2">
      <c r="A60" s="1926" t="s">
        <v>175</v>
      </c>
      <c r="B60" s="1927"/>
      <c r="C60" s="1928" t="s">
        <v>178</v>
      </c>
      <c r="D60" s="1928" t="s">
        <v>611</v>
      </c>
      <c r="E60" s="1931" t="s">
        <v>240</v>
      </c>
      <c r="F60" s="1933" t="s">
        <v>243</v>
      </c>
    </row>
    <row r="61" spans="1:6" x14ac:dyDescent="0.2">
      <c r="A61" s="1935" t="s">
        <v>176</v>
      </c>
      <c r="B61" s="1937" t="s">
        <v>177</v>
      </c>
      <c r="C61" s="1929"/>
      <c r="D61" s="1929"/>
      <c r="E61" s="1932"/>
      <c r="F61" s="1934"/>
    </row>
    <row r="62" spans="1:6" x14ac:dyDescent="0.2">
      <c r="A62" s="1936"/>
      <c r="B62" s="1938"/>
      <c r="C62" s="1930"/>
      <c r="D62" s="1930"/>
      <c r="E62" s="846" t="s">
        <v>171</v>
      </c>
      <c r="F62" s="851" t="s">
        <v>170</v>
      </c>
    </row>
    <row r="63" spans="1:6" ht="51" x14ac:dyDescent="0.2">
      <c r="A63" s="771" t="s">
        <v>327</v>
      </c>
      <c r="B63" s="578" t="s">
        <v>1300</v>
      </c>
      <c r="C63" s="1443" t="s">
        <v>1302</v>
      </c>
      <c r="D63" s="1444" t="s">
        <v>264</v>
      </c>
      <c r="E63" s="578">
        <v>100</v>
      </c>
      <c r="F63" s="578">
        <f>241000+8000</f>
        <v>249000</v>
      </c>
    </row>
    <row r="64" spans="1:6" ht="38.25" x14ac:dyDescent="0.2">
      <c r="A64" s="771" t="s">
        <v>327</v>
      </c>
      <c r="B64" s="578" t="s">
        <v>1301</v>
      </c>
      <c r="C64" s="1445" t="s">
        <v>1304</v>
      </c>
      <c r="D64" s="1445" t="s">
        <v>1303</v>
      </c>
      <c r="E64" s="578">
        <v>100</v>
      </c>
      <c r="F64" s="579">
        <v>249000</v>
      </c>
    </row>
    <row r="65" spans="1:6" x14ac:dyDescent="0.2">
      <c r="A65" s="771"/>
      <c r="B65" s="578"/>
      <c r="C65" s="578"/>
      <c r="D65" s="578"/>
      <c r="E65" s="578"/>
      <c r="F65" s="579"/>
    </row>
    <row r="66" spans="1:6" x14ac:dyDescent="0.2">
      <c r="A66" s="771"/>
      <c r="B66" s="578"/>
      <c r="C66" s="578"/>
      <c r="D66" s="578"/>
      <c r="E66" s="578"/>
      <c r="F66" s="579"/>
    </row>
    <row r="67" spans="1:6" x14ac:dyDescent="0.2">
      <c r="A67" s="771"/>
      <c r="B67" s="578"/>
      <c r="C67" s="578"/>
      <c r="D67" s="578"/>
      <c r="E67" s="578"/>
      <c r="F67" s="579"/>
    </row>
    <row r="68" spans="1:6" x14ac:dyDescent="0.2">
      <c r="A68" s="771"/>
      <c r="B68" s="578"/>
      <c r="C68" s="578"/>
      <c r="D68" s="578"/>
      <c r="E68" s="578"/>
      <c r="F68" s="579"/>
    </row>
    <row r="69" spans="1:6" x14ac:dyDescent="0.2">
      <c r="A69" s="771"/>
      <c r="B69" s="578"/>
      <c r="C69" s="578"/>
      <c r="D69" s="578"/>
      <c r="E69" s="578"/>
      <c r="F69" s="579"/>
    </row>
    <row r="70" spans="1:6" ht="13.5" thickBot="1" x14ac:dyDescent="0.25">
      <c r="A70" s="849"/>
      <c r="B70" s="850"/>
      <c r="C70" s="850"/>
      <c r="D70" s="850"/>
      <c r="E70" s="850"/>
      <c r="F70" s="852"/>
    </row>
    <row r="72" spans="1:6" x14ac:dyDescent="0.2">
      <c r="B72" s="473" t="s">
        <v>26</v>
      </c>
      <c r="C72" s="844">
        <v>2015</v>
      </c>
    </row>
    <row r="73" spans="1:6" x14ac:dyDescent="0.2">
      <c r="C73" s="473"/>
      <c r="D73" s="845"/>
    </row>
    <row r="74" spans="1:6" ht="15.75" x14ac:dyDescent="0.25">
      <c r="A74" s="1925" t="s">
        <v>242</v>
      </c>
      <c r="B74" s="1925"/>
      <c r="C74" s="1925"/>
      <c r="D74" s="1925"/>
      <c r="E74" s="1925"/>
      <c r="F74" s="1925"/>
    </row>
    <row r="75" spans="1:6" ht="13.5" thickBot="1" x14ac:dyDescent="0.25"/>
    <row r="76" spans="1:6" x14ac:dyDescent="0.2">
      <c r="A76" s="1926" t="s">
        <v>175</v>
      </c>
      <c r="B76" s="1927"/>
      <c r="C76" s="1939" t="s">
        <v>178</v>
      </c>
      <c r="D76" s="1939" t="s">
        <v>611</v>
      </c>
      <c r="E76" s="1931" t="s">
        <v>179</v>
      </c>
      <c r="F76" s="1931" t="s">
        <v>180</v>
      </c>
    </row>
    <row r="77" spans="1:6" x14ac:dyDescent="0.2">
      <c r="A77" s="1942" t="s">
        <v>176</v>
      </c>
      <c r="B77" s="1944" t="s">
        <v>177</v>
      </c>
      <c r="C77" s="1940"/>
      <c r="D77" s="1940"/>
      <c r="E77" s="1932"/>
      <c r="F77" s="1932"/>
    </row>
    <row r="78" spans="1:6" x14ac:dyDescent="0.2">
      <c r="A78" s="1943"/>
      <c r="B78" s="1945"/>
      <c r="C78" s="1941"/>
      <c r="D78" s="1941"/>
      <c r="E78" s="846" t="s">
        <v>170</v>
      </c>
      <c r="F78" s="846" t="s">
        <v>170</v>
      </c>
    </row>
    <row r="79" spans="1:6" ht="51" x14ac:dyDescent="0.2">
      <c r="A79" s="771" t="s">
        <v>327</v>
      </c>
      <c r="B79" s="578" t="s">
        <v>1300</v>
      </c>
      <c r="C79" s="1443" t="s">
        <v>1302</v>
      </c>
      <c r="D79" s="1444" t="s">
        <v>264</v>
      </c>
      <c r="E79" s="578">
        <f>124000+8000</f>
        <v>132000</v>
      </c>
      <c r="F79" s="578">
        <f>124000+8000</f>
        <v>132000</v>
      </c>
    </row>
    <row r="80" spans="1:6" ht="38.25" x14ac:dyDescent="0.2">
      <c r="A80" s="771" t="s">
        <v>327</v>
      </c>
      <c r="B80" s="578" t="s">
        <v>1301</v>
      </c>
      <c r="C80" s="1445" t="s">
        <v>1304</v>
      </c>
      <c r="D80" s="1445" t="s">
        <v>1303</v>
      </c>
      <c r="E80" s="578">
        <v>335000</v>
      </c>
      <c r="F80" s="578">
        <v>279167</v>
      </c>
    </row>
    <row r="81" spans="1:6" x14ac:dyDescent="0.2">
      <c r="A81" s="771"/>
      <c r="B81" s="578"/>
      <c r="C81" s="578"/>
      <c r="D81" s="578"/>
      <c r="E81" s="578"/>
      <c r="F81" s="578"/>
    </row>
    <row r="82" spans="1:6" x14ac:dyDescent="0.2">
      <c r="A82" s="771"/>
      <c r="B82" s="578"/>
      <c r="C82" s="578"/>
      <c r="D82" s="578"/>
      <c r="E82" s="578"/>
      <c r="F82" s="578"/>
    </row>
    <row r="83" spans="1:6" x14ac:dyDescent="0.2">
      <c r="A83" s="771"/>
      <c r="B83" s="578"/>
      <c r="C83" s="578"/>
      <c r="D83" s="578"/>
      <c r="E83" s="578"/>
      <c r="F83" s="578"/>
    </row>
    <row r="84" spans="1:6" x14ac:dyDescent="0.2">
      <c r="A84" s="771"/>
      <c r="B84" s="578"/>
      <c r="C84" s="578"/>
      <c r="D84" s="578"/>
      <c r="E84" s="578"/>
      <c r="F84" s="578"/>
    </row>
    <row r="85" spans="1:6" x14ac:dyDescent="0.2">
      <c r="A85" s="771"/>
      <c r="B85" s="578"/>
      <c r="C85" s="578"/>
      <c r="D85" s="578"/>
      <c r="E85" s="578"/>
      <c r="F85" s="578"/>
    </row>
    <row r="86" spans="1:6" ht="13.5" thickBot="1" x14ac:dyDescent="0.25">
      <c r="A86" s="849"/>
      <c r="B86" s="850"/>
      <c r="C86" s="850"/>
      <c r="D86" s="850"/>
      <c r="E86" s="850"/>
      <c r="F86" s="850"/>
    </row>
    <row r="88" spans="1:6" ht="15.75" x14ac:dyDescent="0.25">
      <c r="A88" s="1925" t="s">
        <v>241</v>
      </c>
      <c r="B88" s="1925"/>
      <c r="C88" s="1925"/>
      <c r="D88" s="1925"/>
      <c r="E88" s="1925"/>
      <c r="F88" s="1925"/>
    </row>
    <row r="89" spans="1:6" ht="13.5" thickBot="1" x14ac:dyDescent="0.25"/>
    <row r="90" spans="1:6" x14ac:dyDescent="0.2">
      <c r="A90" s="1926" t="s">
        <v>175</v>
      </c>
      <c r="B90" s="1927"/>
      <c r="C90" s="1928" t="s">
        <v>178</v>
      </c>
      <c r="D90" s="1928" t="s">
        <v>611</v>
      </c>
      <c r="E90" s="1931" t="s">
        <v>240</v>
      </c>
      <c r="F90" s="1933" t="s">
        <v>243</v>
      </c>
    </row>
    <row r="91" spans="1:6" x14ac:dyDescent="0.2">
      <c r="A91" s="1935" t="s">
        <v>176</v>
      </c>
      <c r="B91" s="1937" t="s">
        <v>177</v>
      </c>
      <c r="C91" s="1929"/>
      <c r="D91" s="1929"/>
      <c r="E91" s="1932"/>
      <c r="F91" s="1934"/>
    </row>
    <row r="92" spans="1:6" x14ac:dyDescent="0.2">
      <c r="A92" s="1936"/>
      <c r="B92" s="1938"/>
      <c r="C92" s="1930"/>
      <c r="D92" s="1930"/>
      <c r="E92" s="846" t="s">
        <v>171</v>
      </c>
      <c r="F92" s="851" t="s">
        <v>170</v>
      </c>
    </row>
    <row r="93" spans="1:6" ht="51" x14ac:dyDescent="0.2">
      <c r="A93" s="771" t="s">
        <v>327</v>
      </c>
      <c r="B93" s="578" t="s">
        <v>1300</v>
      </c>
      <c r="C93" s="1443" t="s">
        <v>1302</v>
      </c>
      <c r="D93" s="1444" t="s">
        <v>264</v>
      </c>
      <c r="E93" s="578">
        <v>100</v>
      </c>
      <c r="F93" s="579">
        <f>124000+8000</f>
        <v>132000</v>
      </c>
    </row>
    <row r="94" spans="1:6" ht="38.25" x14ac:dyDescent="0.2">
      <c r="A94" s="771" t="s">
        <v>327</v>
      </c>
      <c r="B94" s="578" t="s">
        <v>1301</v>
      </c>
      <c r="C94" s="1445" t="s">
        <v>1304</v>
      </c>
      <c r="D94" s="1445" t="s">
        <v>1303</v>
      </c>
      <c r="E94" s="578">
        <v>100</v>
      </c>
      <c r="F94" s="579">
        <v>335000</v>
      </c>
    </row>
    <row r="95" spans="1:6" x14ac:dyDescent="0.2">
      <c r="A95" s="771"/>
      <c r="B95" s="578"/>
      <c r="C95" s="578"/>
      <c r="D95" s="578"/>
      <c r="E95" s="578"/>
      <c r="F95" s="579"/>
    </row>
    <row r="96" spans="1:6" x14ac:dyDescent="0.2">
      <c r="A96" s="771"/>
      <c r="B96" s="578"/>
      <c r="C96" s="578"/>
      <c r="D96" s="578"/>
      <c r="E96" s="578"/>
      <c r="F96" s="579"/>
    </row>
    <row r="97" spans="1:6" x14ac:dyDescent="0.2">
      <c r="A97" s="771"/>
      <c r="B97" s="578"/>
      <c r="C97" s="578"/>
      <c r="D97" s="578"/>
      <c r="E97" s="578"/>
      <c r="F97" s="579"/>
    </row>
    <row r="98" spans="1:6" x14ac:dyDescent="0.2">
      <c r="A98" s="771"/>
      <c r="B98" s="578"/>
      <c r="C98" s="578"/>
      <c r="D98" s="578"/>
      <c r="E98" s="578"/>
      <c r="F98" s="579"/>
    </row>
    <row r="99" spans="1:6" x14ac:dyDescent="0.2">
      <c r="A99" s="771"/>
      <c r="B99" s="578"/>
      <c r="C99" s="578"/>
      <c r="D99" s="578"/>
      <c r="E99" s="578"/>
      <c r="F99" s="579"/>
    </row>
    <row r="100" spans="1:6" ht="13.5" thickBot="1" x14ac:dyDescent="0.25">
      <c r="A100" s="849"/>
      <c r="B100" s="850"/>
      <c r="C100" s="850"/>
      <c r="D100" s="850"/>
      <c r="E100" s="850"/>
      <c r="F100" s="852"/>
    </row>
    <row r="102" spans="1:6" x14ac:dyDescent="0.2">
      <c r="B102" s="473" t="s">
        <v>26</v>
      </c>
      <c r="C102" s="844">
        <v>2016</v>
      </c>
    </row>
    <row r="103" spans="1:6" x14ac:dyDescent="0.2">
      <c r="C103" s="473"/>
      <c r="D103" s="845"/>
    </row>
    <row r="104" spans="1:6" ht="15.75" x14ac:dyDescent="0.25">
      <c r="A104" s="1925" t="s">
        <v>242</v>
      </c>
      <c r="B104" s="1925"/>
      <c r="C104" s="1925"/>
      <c r="D104" s="1925"/>
      <c r="E104" s="1925"/>
      <c r="F104" s="1925"/>
    </row>
    <row r="105" spans="1:6" ht="13.5" thickBot="1" x14ac:dyDescent="0.25"/>
    <row r="106" spans="1:6" x14ac:dyDescent="0.2">
      <c r="A106" s="1926" t="s">
        <v>175</v>
      </c>
      <c r="B106" s="1927"/>
      <c r="C106" s="1939" t="s">
        <v>178</v>
      </c>
      <c r="D106" s="1939" t="s">
        <v>611</v>
      </c>
      <c r="E106" s="1931" t="s">
        <v>179</v>
      </c>
      <c r="F106" s="1931" t="s">
        <v>180</v>
      </c>
    </row>
    <row r="107" spans="1:6" x14ac:dyDescent="0.2">
      <c r="A107" s="1942" t="s">
        <v>176</v>
      </c>
      <c r="B107" s="1944" t="s">
        <v>177</v>
      </c>
      <c r="C107" s="1940"/>
      <c r="D107" s="1940"/>
      <c r="E107" s="1932"/>
      <c r="F107" s="1932"/>
    </row>
    <row r="108" spans="1:6" x14ac:dyDescent="0.2">
      <c r="A108" s="1943"/>
      <c r="B108" s="1945"/>
      <c r="C108" s="1941"/>
      <c r="D108" s="1941"/>
      <c r="E108" s="846" t="s">
        <v>170</v>
      </c>
      <c r="F108" s="846" t="s">
        <v>170</v>
      </c>
    </row>
    <row r="109" spans="1:6" ht="51" x14ac:dyDescent="0.2">
      <c r="A109" s="771" t="s">
        <v>327</v>
      </c>
      <c r="B109" s="578" t="s">
        <v>1300</v>
      </c>
      <c r="C109" s="1443" t="s">
        <v>1302</v>
      </c>
      <c r="D109" s="1444" t="s">
        <v>264</v>
      </c>
      <c r="E109" s="578">
        <f>295000+8000</f>
        <v>303000</v>
      </c>
      <c r="F109" s="578">
        <f>295000+8000</f>
        <v>303000</v>
      </c>
    </row>
    <row r="110" spans="1:6" ht="38.25" x14ac:dyDescent="0.2">
      <c r="A110" s="771" t="s">
        <v>327</v>
      </c>
      <c r="B110" s="578" t="s">
        <v>1301</v>
      </c>
      <c r="C110" s="1445" t="s">
        <v>1304</v>
      </c>
      <c r="D110" s="1445" t="s">
        <v>1303</v>
      </c>
      <c r="E110" s="578">
        <v>341000</v>
      </c>
      <c r="F110" s="578">
        <v>284167</v>
      </c>
    </row>
    <row r="111" spans="1:6" x14ac:dyDescent="0.2">
      <c r="A111" s="771"/>
      <c r="B111" s="578"/>
      <c r="C111" s="578"/>
      <c r="D111" s="578"/>
      <c r="E111" s="578"/>
      <c r="F111" s="578"/>
    </row>
    <row r="112" spans="1:6" x14ac:dyDescent="0.2">
      <c r="A112" s="771"/>
      <c r="B112" s="578"/>
      <c r="C112" s="578"/>
      <c r="D112" s="578"/>
      <c r="E112" s="578"/>
      <c r="F112" s="578"/>
    </row>
    <row r="113" spans="1:6" x14ac:dyDescent="0.2">
      <c r="A113" s="771"/>
      <c r="B113" s="578"/>
      <c r="C113" s="578"/>
      <c r="D113" s="578"/>
      <c r="E113" s="578"/>
      <c r="F113" s="578"/>
    </row>
    <row r="114" spans="1:6" x14ac:dyDescent="0.2">
      <c r="A114" s="771"/>
      <c r="B114" s="578"/>
      <c r="C114" s="578"/>
      <c r="D114" s="578"/>
      <c r="E114" s="578"/>
      <c r="F114" s="578"/>
    </row>
    <row r="115" spans="1:6" x14ac:dyDescent="0.2">
      <c r="A115" s="771"/>
      <c r="B115" s="578"/>
      <c r="C115" s="578"/>
      <c r="D115" s="578"/>
      <c r="E115" s="578"/>
      <c r="F115" s="578"/>
    </row>
    <row r="116" spans="1:6" ht="13.5" thickBot="1" x14ac:dyDescent="0.25">
      <c r="A116" s="849"/>
      <c r="B116" s="850"/>
      <c r="C116" s="850"/>
      <c r="D116" s="850"/>
      <c r="E116" s="850"/>
      <c r="F116" s="850"/>
    </row>
    <row r="118" spans="1:6" ht="15.75" x14ac:dyDescent="0.25">
      <c r="A118" s="1925" t="s">
        <v>241</v>
      </c>
      <c r="B118" s="1925"/>
      <c r="C118" s="1925"/>
      <c r="D118" s="1925"/>
      <c r="E118" s="1925"/>
      <c r="F118" s="1925"/>
    </row>
    <row r="119" spans="1:6" ht="13.5" thickBot="1" x14ac:dyDescent="0.25"/>
    <row r="120" spans="1:6" x14ac:dyDescent="0.2">
      <c r="A120" s="1926" t="s">
        <v>175</v>
      </c>
      <c r="B120" s="1927"/>
      <c r="C120" s="1928" t="s">
        <v>178</v>
      </c>
      <c r="D120" s="1928" t="s">
        <v>611</v>
      </c>
      <c r="E120" s="1931" t="s">
        <v>240</v>
      </c>
      <c r="F120" s="1933" t="s">
        <v>243</v>
      </c>
    </row>
    <row r="121" spans="1:6" x14ac:dyDescent="0.2">
      <c r="A121" s="1935" t="s">
        <v>176</v>
      </c>
      <c r="B121" s="1937" t="s">
        <v>177</v>
      </c>
      <c r="C121" s="1929"/>
      <c r="D121" s="1929"/>
      <c r="E121" s="1932"/>
      <c r="F121" s="1934"/>
    </row>
    <row r="122" spans="1:6" x14ac:dyDescent="0.2">
      <c r="A122" s="1936"/>
      <c r="B122" s="1938"/>
      <c r="C122" s="1930"/>
      <c r="D122" s="1930"/>
      <c r="E122" s="846" t="s">
        <v>171</v>
      </c>
      <c r="F122" s="851" t="s">
        <v>170</v>
      </c>
    </row>
    <row r="123" spans="1:6" ht="51" x14ac:dyDescent="0.2">
      <c r="A123" s="771" t="s">
        <v>327</v>
      </c>
      <c r="B123" s="578" t="s">
        <v>1300</v>
      </c>
      <c r="C123" s="1443" t="s">
        <v>1302</v>
      </c>
      <c r="D123" s="1444" t="s">
        <v>264</v>
      </c>
      <c r="E123" s="578">
        <f>295000+8000</f>
        <v>303000</v>
      </c>
      <c r="F123" s="578">
        <f>295000+8000</f>
        <v>303000</v>
      </c>
    </row>
    <row r="124" spans="1:6" ht="38.25" x14ac:dyDescent="0.2">
      <c r="A124" s="771" t="s">
        <v>327</v>
      </c>
      <c r="B124" s="578" t="s">
        <v>1301</v>
      </c>
      <c r="C124" s="1445" t="s">
        <v>1304</v>
      </c>
      <c r="D124" s="1445" t="s">
        <v>1303</v>
      </c>
      <c r="E124" s="578">
        <v>341000</v>
      </c>
      <c r="F124" s="578">
        <v>284167</v>
      </c>
    </row>
    <row r="125" spans="1:6" x14ac:dyDescent="0.2">
      <c r="A125" s="771"/>
      <c r="B125" s="578"/>
      <c r="C125" s="578"/>
      <c r="D125" s="578"/>
      <c r="E125" s="578"/>
      <c r="F125" s="579"/>
    </row>
    <row r="126" spans="1:6" x14ac:dyDescent="0.2">
      <c r="A126" s="771"/>
      <c r="B126" s="578"/>
      <c r="C126" s="578"/>
      <c r="D126" s="578"/>
      <c r="E126" s="578"/>
      <c r="F126" s="579"/>
    </row>
    <row r="127" spans="1:6" x14ac:dyDescent="0.2">
      <c r="A127" s="771"/>
      <c r="B127" s="578"/>
      <c r="C127" s="578"/>
      <c r="D127" s="578"/>
      <c r="E127" s="578"/>
      <c r="F127" s="579"/>
    </row>
    <row r="128" spans="1:6" x14ac:dyDescent="0.2">
      <c r="A128" s="771"/>
      <c r="B128" s="578"/>
      <c r="C128" s="578"/>
      <c r="D128" s="578"/>
      <c r="E128" s="578"/>
      <c r="F128" s="579"/>
    </row>
    <row r="129" spans="1:6" x14ac:dyDescent="0.2">
      <c r="A129" s="771"/>
      <c r="B129" s="578"/>
      <c r="C129" s="578"/>
      <c r="D129" s="578"/>
      <c r="E129" s="578"/>
      <c r="F129" s="579"/>
    </row>
    <row r="130" spans="1:6" ht="13.5" thickBot="1" x14ac:dyDescent="0.25">
      <c r="A130" s="849"/>
      <c r="B130" s="850"/>
      <c r="C130" s="850"/>
      <c r="D130" s="850"/>
      <c r="E130" s="850"/>
      <c r="F130" s="852"/>
    </row>
    <row r="132" spans="1:6" x14ac:dyDescent="0.2">
      <c r="B132" s="473" t="s">
        <v>26</v>
      </c>
      <c r="C132" s="844">
        <v>2017</v>
      </c>
    </row>
    <row r="133" spans="1:6" x14ac:dyDescent="0.2">
      <c r="C133" s="473"/>
      <c r="D133" s="845"/>
    </row>
    <row r="134" spans="1:6" ht="15.75" x14ac:dyDescent="0.25">
      <c r="A134" s="1925" t="s">
        <v>242</v>
      </c>
      <c r="B134" s="1925"/>
      <c r="C134" s="1925"/>
      <c r="D134" s="1925"/>
      <c r="E134" s="1925"/>
      <c r="F134" s="1925"/>
    </row>
    <row r="135" spans="1:6" ht="13.5" thickBot="1" x14ac:dyDescent="0.25"/>
    <row r="136" spans="1:6" x14ac:dyDescent="0.2">
      <c r="A136" s="1926" t="s">
        <v>175</v>
      </c>
      <c r="B136" s="1927"/>
      <c r="C136" s="1939" t="s">
        <v>178</v>
      </c>
      <c r="D136" s="1939" t="s">
        <v>611</v>
      </c>
      <c r="E136" s="1931" t="s">
        <v>179</v>
      </c>
      <c r="F136" s="1931" t="s">
        <v>180</v>
      </c>
    </row>
    <row r="137" spans="1:6" x14ac:dyDescent="0.2">
      <c r="A137" s="1942" t="s">
        <v>176</v>
      </c>
      <c r="B137" s="1944" t="s">
        <v>177</v>
      </c>
      <c r="C137" s="1940"/>
      <c r="D137" s="1940"/>
      <c r="E137" s="1932"/>
      <c r="F137" s="1932"/>
    </row>
    <row r="138" spans="1:6" x14ac:dyDescent="0.2">
      <c r="A138" s="1943"/>
      <c r="B138" s="1945"/>
      <c r="C138" s="1941"/>
      <c r="D138" s="1941"/>
      <c r="E138" s="846" t="s">
        <v>170</v>
      </c>
      <c r="F138" s="846" t="s">
        <v>170</v>
      </c>
    </row>
    <row r="139" spans="1:6" ht="51" x14ac:dyDescent="0.2">
      <c r="A139" s="771" t="s">
        <v>327</v>
      </c>
      <c r="B139" s="578" t="s">
        <v>1300</v>
      </c>
      <c r="C139" s="1443" t="s">
        <v>1302</v>
      </c>
      <c r="D139" s="1444" t="s">
        <v>264</v>
      </c>
      <c r="E139" s="578">
        <f>295000+8000</f>
        <v>303000</v>
      </c>
      <c r="F139" s="578">
        <f>295000+8000</f>
        <v>303000</v>
      </c>
    </row>
    <row r="140" spans="1:6" ht="38.25" x14ac:dyDescent="0.2">
      <c r="A140" s="771" t="s">
        <v>327</v>
      </c>
      <c r="B140" s="578" t="s">
        <v>1301</v>
      </c>
      <c r="C140" s="1445" t="s">
        <v>1304</v>
      </c>
      <c r="D140" s="1445" t="s">
        <v>1303</v>
      </c>
      <c r="E140" s="578">
        <v>341000</v>
      </c>
      <c r="F140" s="578">
        <v>284167</v>
      </c>
    </row>
    <row r="141" spans="1:6" x14ac:dyDescent="0.2">
      <c r="A141" s="771"/>
      <c r="B141" s="578"/>
      <c r="C141" s="578"/>
      <c r="D141" s="578"/>
      <c r="E141" s="578"/>
      <c r="F141" s="578"/>
    </row>
    <row r="142" spans="1:6" x14ac:dyDescent="0.2">
      <c r="A142" s="771"/>
      <c r="B142" s="578"/>
      <c r="C142" s="578"/>
      <c r="D142" s="578"/>
      <c r="E142" s="578"/>
      <c r="F142" s="578"/>
    </row>
    <row r="143" spans="1:6" x14ac:dyDescent="0.2">
      <c r="A143" s="771"/>
      <c r="B143" s="578"/>
      <c r="C143" s="578"/>
      <c r="D143" s="578"/>
      <c r="E143" s="578"/>
      <c r="F143" s="578"/>
    </row>
    <row r="144" spans="1:6" x14ac:dyDescent="0.2">
      <c r="A144" s="771"/>
      <c r="B144" s="578"/>
      <c r="C144" s="578"/>
      <c r="D144" s="578"/>
      <c r="E144" s="578"/>
      <c r="F144" s="578"/>
    </row>
    <row r="145" spans="1:6" x14ac:dyDescent="0.2">
      <c r="A145" s="771"/>
      <c r="B145" s="578"/>
      <c r="C145" s="578"/>
      <c r="D145" s="578"/>
      <c r="E145" s="578"/>
      <c r="F145" s="578"/>
    </row>
    <row r="146" spans="1:6" ht="13.5" thickBot="1" x14ac:dyDescent="0.25">
      <c r="A146" s="849"/>
      <c r="B146" s="850"/>
      <c r="C146" s="850"/>
      <c r="D146" s="850"/>
      <c r="E146" s="850"/>
      <c r="F146" s="850"/>
    </row>
    <row r="148" spans="1:6" ht="15.75" x14ac:dyDescent="0.25">
      <c r="A148" s="1925" t="s">
        <v>241</v>
      </c>
      <c r="B148" s="1925"/>
      <c r="C148" s="1925"/>
      <c r="D148" s="1925"/>
      <c r="E148" s="1925"/>
      <c r="F148" s="1925"/>
    </row>
    <row r="149" spans="1:6" ht="13.5" thickBot="1" x14ac:dyDescent="0.25"/>
    <row r="150" spans="1:6" x14ac:dyDescent="0.2">
      <c r="A150" s="1926" t="s">
        <v>175</v>
      </c>
      <c r="B150" s="1927"/>
      <c r="C150" s="1928" t="s">
        <v>178</v>
      </c>
      <c r="D150" s="1928" t="s">
        <v>611</v>
      </c>
      <c r="E150" s="1931" t="s">
        <v>240</v>
      </c>
      <c r="F150" s="1933" t="s">
        <v>243</v>
      </c>
    </row>
    <row r="151" spans="1:6" x14ac:dyDescent="0.2">
      <c r="A151" s="1935" t="s">
        <v>176</v>
      </c>
      <c r="B151" s="1937" t="s">
        <v>177</v>
      </c>
      <c r="C151" s="1929"/>
      <c r="D151" s="1929"/>
      <c r="E151" s="1932"/>
      <c r="F151" s="1934"/>
    </row>
    <row r="152" spans="1:6" x14ac:dyDescent="0.2">
      <c r="A152" s="1936"/>
      <c r="B152" s="1938"/>
      <c r="C152" s="1930"/>
      <c r="D152" s="1930"/>
      <c r="E152" s="846" t="s">
        <v>171</v>
      </c>
      <c r="F152" s="851" t="s">
        <v>170</v>
      </c>
    </row>
    <row r="153" spans="1:6" ht="51" x14ac:dyDescent="0.2">
      <c r="A153" s="771" t="s">
        <v>327</v>
      </c>
      <c r="B153" s="578" t="s">
        <v>1300</v>
      </c>
      <c r="C153" s="1443" t="s">
        <v>1302</v>
      </c>
      <c r="D153" s="1444" t="s">
        <v>264</v>
      </c>
      <c r="E153" s="578">
        <f>295000+8000</f>
        <v>303000</v>
      </c>
      <c r="F153" s="578">
        <f>295000+8000</f>
        <v>303000</v>
      </c>
    </row>
    <row r="154" spans="1:6" ht="38.25" x14ac:dyDescent="0.2">
      <c r="A154" s="771" t="s">
        <v>327</v>
      </c>
      <c r="B154" s="578" t="s">
        <v>1301</v>
      </c>
      <c r="C154" s="1445" t="s">
        <v>1304</v>
      </c>
      <c r="D154" s="1445" t="s">
        <v>1303</v>
      </c>
      <c r="E154" s="578">
        <v>341000</v>
      </c>
      <c r="F154" s="578">
        <v>284167</v>
      </c>
    </row>
    <row r="155" spans="1:6" x14ac:dyDescent="0.2">
      <c r="A155" s="771"/>
      <c r="B155" s="578"/>
      <c r="C155" s="578"/>
      <c r="D155" s="578"/>
      <c r="E155" s="578"/>
      <c r="F155" s="579"/>
    </row>
    <row r="156" spans="1:6" x14ac:dyDescent="0.2">
      <c r="A156" s="771"/>
      <c r="B156" s="578"/>
      <c r="C156" s="578"/>
      <c r="D156" s="578"/>
      <c r="E156" s="578"/>
      <c r="F156" s="579"/>
    </row>
    <row r="157" spans="1:6" x14ac:dyDescent="0.2">
      <c r="A157" s="771"/>
      <c r="B157" s="578"/>
      <c r="C157" s="578"/>
      <c r="D157" s="578"/>
      <c r="E157" s="578"/>
      <c r="F157" s="579"/>
    </row>
    <row r="158" spans="1:6" x14ac:dyDescent="0.2">
      <c r="A158" s="771"/>
      <c r="B158" s="578"/>
      <c r="C158" s="578"/>
      <c r="D158" s="578"/>
      <c r="E158" s="578"/>
      <c r="F158" s="579"/>
    </row>
    <row r="159" spans="1:6" x14ac:dyDescent="0.2">
      <c r="A159" s="771"/>
      <c r="B159" s="578"/>
      <c r="C159" s="578"/>
      <c r="D159" s="578"/>
      <c r="E159" s="578"/>
      <c r="F159" s="579"/>
    </row>
    <row r="160" spans="1:6" ht="13.5" thickBot="1" x14ac:dyDescent="0.25">
      <c r="A160" s="849"/>
      <c r="B160" s="850"/>
      <c r="C160" s="850"/>
      <c r="D160" s="850"/>
      <c r="E160" s="850"/>
      <c r="F160" s="852"/>
    </row>
    <row r="161" spans="1:7" ht="18" customHeight="1" x14ac:dyDescent="0.2">
      <c r="A161" s="853" t="s">
        <v>98</v>
      </c>
      <c r="B161" s="854"/>
      <c r="C161" s="854"/>
      <c r="D161" s="854"/>
      <c r="E161" s="854"/>
      <c r="F161" s="854"/>
      <c r="G161" s="854"/>
    </row>
    <row r="162" spans="1:7" x14ac:dyDescent="0.2">
      <c r="A162" s="853">
        <v>1</v>
      </c>
      <c r="B162" s="1948" t="s">
        <v>628</v>
      </c>
      <c r="C162" s="1948"/>
      <c r="D162" s="1948"/>
      <c r="E162" s="1948"/>
      <c r="F162" s="1948"/>
      <c r="G162" s="1083"/>
    </row>
    <row r="163" spans="1:7" x14ac:dyDescent="0.2">
      <c r="A163" s="1083"/>
      <c r="B163" s="1948"/>
      <c r="C163" s="1948"/>
      <c r="D163" s="1948"/>
      <c r="E163" s="1948"/>
      <c r="F163" s="1948"/>
      <c r="G163" s="1083"/>
    </row>
    <row r="165" spans="1:7" x14ac:dyDescent="0.2">
      <c r="A165" s="855" t="s">
        <v>625</v>
      </c>
    </row>
    <row r="166" spans="1:7" ht="27" customHeight="1" x14ac:dyDescent="0.2">
      <c r="A166" s="1946" t="s">
        <v>612</v>
      </c>
      <c r="B166" s="1947"/>
      <c r="C166" s="1947"/>
      <c r="D166" s="1947"/>
      <c r="E166" s="1947"/>
      <c r="F166" s="1947"/>
    </row>
    <row r="167" spans="1:7" ht="15" x14ac:dyDescent="0.2">
      <c r="A167" s="856"/>
    </row>
    <row r="168" spans="1:7" x14ac:dyDescent="0.2">
      <c r="A168" s="855" t="s">
        <v>626</v>
      </c>
    </row>
    <row r="169" spans="1:7" ht="51.75" customHeight="1" x14ac:dyDescent="0.2">
      <c r="A169" s="1946" t="s">
        <v>613</v>
      </c>
      <c r="B169" s="1947"/>
      <c r="C169" s="1947"/>
      <c r="D169" s="1947"/>
      <c r="E169" s="1947"/>
      <c r="F169" s="1947"/>
    </row>
    <row r="170" spans="1:7" ht="15" x14ac:dyDescent="0.2">
      <c r="A170" s="856"/>
    </row>
    <row r="171" spans="1:7" x14ac:dyDescent="0.2">
      <c r="A171" s="855" t="s">
        <v>627</v>
      </c>
    </row>
    <row r="172" spans="1:7" ht="38.25" customHeight="1" x14ac:dyDescent="0.2">
      <c r="A172" s="1946" t="s">
        <v>614</v>
      </c>
      <c r="B172" s="1947"/>
      <c r="C172" s="1947"/>
      <c r="D172" s="1947"/>
      <c r="E172" s="1947"/>
      <c r="F172" s="1947"/>
    </row>
    <row r="173" spans="1:7" ht="15" x14ac:dyDescent="0.2">
      <c r="A173" s="87"/>
    </row>
  </sheetData>
  <mergeCells count="87">
    <mergeCell ref="G16:G17"/>
    <mergeCell ref="A30:B30"/>
    <mergeCell ref="C30:C32"/>
    <mergeCell ref="D30:D32"/>
    <mergeCell ref="F30:F31"/>
    <mergeCell ref="E30:E31"/>
    <mergeCell ref="A31:A32"/>
    <mergeCell ref="B31:B32"/>
    <mergeCell ref="A28:F28"/>
    <mergeCell ref="A166:F166"/>
    <mergeCell ref="A169:F169"/>
    <mergeCell ref="A172:F172"/>
    <mergeCell ref="A14:F14"/>
    <mergeCell ref="A9:F9"/>
    <mergeCell ref="A10:F10"/>
    <mergeCell ref="B162:F163"/>
    <mergeCell ref="A17:A18"/>
    <mergeCell ref="B17:B18"/>
    <mergeCell ref="C16:C18"/>
    <mergeCell ref="D16:D18"/>
    <mergeCell ref="A16:B16"/>
    <mergeCell ref="E16:E17"/>
    <mergeCell ref="F16:F17"/>
    <mergeCell ref="A44:F44"/>
    <mergeCell ref="A46:B46"/>
    <mergeCell ref="C46:C48"/>
    <mergeCell ref="D46:D48"/>
    <mergeCell ref="E46:E47"/>
    <mergeCell ref="F46:F47"/>
    <mergeCell ref="A47:A48"/>
    <mergeCell ref="B47:B48"/>
    <mergeCell ref="A58:F58"/>
    <mergeCell ref="A60:B60"/>
    <mergeCell ref="C60:C62"/>
    <mergeCell ref="D60:D62"/>
    <mergeCell ref="E60:E61"/>
    <mergeCell ref="F60:F61"/>
    <mergeCell ref="A61:A62"/>
    <mergeCell ref="B61:B62"/>
    <mergeCell ref="A74:F74"/>
    <mergeCell ref="A76:B76"/>
    <mergeCell ref="C76:C78"/>
    <mergeCell ref="D76:D78"/>
    <mergeCell ref="E76:E77"/>
    <mergeCell ref="F76:F77"/>
    <mergeCell ref="A77:A78"/>
    <mergeCell ref="B77:B78"/>
    <mergeCell ref="A88:F88"/>
    <mergeCell ref="A90:B90"/>
    <mergeCell ref="C90:C92"/>
    <mergeCell ref="D90:D92"/>
    <mergeCell ref="E90:E91"/>
    <mergeCell ref="F90:F91"/>
    <mergeCell ref="A91:A92"/>
    <mergeCell ref="B91:B92"/>
    <mergeCell ref="A104:F104"/>
    <mergeCell ref="A106:B106"/>
    <mergeCell ref="C106:C108"/>
    <mergeCell ref="D106:D108"/>
    <mergeCell ref="E106:E107"/>
    <mergeCell ref="F106:F107"/>
    <mergeCell ref="A107:A108"/>
    <mergeCell ref="B107:B108"/>
    <mergeCell ref="A118:F118"/>
    <mergeCell ref="A120:B120"/>
    <mergeCell ref="C120:C122"/>
    <mergeCell ref="D120:D122"/>
    <mergeCell ref="E120:E121"/>
    <mergeCell ref="F120:F121"/>
    <mergeCell ref="A121:A122"/>
    <mergeCell ref="B121:B122"/>
    <mergeCell ref="A134:F134"/>
    <mergeCell ref="A136:B136"/>
    <mergeCell ref="C136:C138"/>
    <mergeCell ref="D136:D138"/>
    <mergeCell ref="E136:E137"/>
    <mergeCell ref="F136:F137"/>
    <mergeCell ref="A137:A138"/>
    <mergeCell ref="B137:B138"/>
    <mergeCell ref="A148:F148"/>
    <mergeCell ref="A150:B150"/>
    <mergeCell ref="C150:C152"/>
    <mergeCell ref="D150:D152"/>
    <mergeCell ref="E150:E151"/>
    <mergeCell ref="F150:F151"/>
    <mergeCell ref="A151:A152"/>
    <mergeCell ref="B151:B152"/>
  </mergeCells>
  <phoneticPr fontId="16" type="noConversion"/>
  <dataValidations count="1">
    <dataValidation allowBlank="1" showInputMessage="1" showErrorMessage="1" promptTitle="Date Format" prompt="E.g:  &quot;August 1, 2011&quot;" sqref="G7"/>
  </dataValidations>
  <pageMargins left="0.75" right="0.75" top="1" bottom="1" header="0.5" footer="0.5"/>
  <pageSetup scale="60" orientation="landscape" r:id="rId1"/>
  <headerFooter alignWithMargins="0"/>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7">
    <tabColor theme="5" tint="0.39997558519241921"/>
    <pageSetUpPr autoPageBreaks="0" fitToPage="1"/>
  </sheetPr>
  <dimension ref="A1:P64"/>
  <sheetViews>
    <sheetView showGridLines="0" zoomScaleNormal="100" workbookViewId="0">
      <selection activeCell="O56" sqref="O56"/>
    </sheetView>
  </sheetViews>
  <sheetFormatPr defaultRowHeight="12.75" x14ac:dyDescent="0.2"/>
  <cols>
    <col min="1" max="1" width="6.42578125" style="52" customWidth="1"/>
    <col min="2" max="2" width="5.5703125" style="52" customWidth="1"/>
    <col min="3" max="3" width="16.5703125" style="52" customWidth="1"/>
    <col min="4" max="4" width="3" style="52" customWidth="1"/>
    <col min="5" max="5" width="11.140625" style="52" customWidth="1"/>
    <col min="6" max="6" width="1.42578125" style="52" customWidth="1"/>
    <col min="7" max="7" width="3.42578125" style="52" customWidth="1"/>
    <col min="8" max="8" width="1.42578125" style="52" customWidth="1"/>
    <col min="9" max="9" width="13.7109375" style="52" customWidth="1"/>
    <col min="10" max="10" width="3.28515625" style="52" customWidth="1"/>
    <col min="11" max="11" width="12.85546875" style="52" customWidth="1"/>
    <col min="12" max="12" width="1.42578125" style="52" customWidth="1"/>
    <col min="13" max="13" width="3.5703125" style="52" customWidth="1"/>
    <col min="14" max="14" width="1.7109375" style="52" customWidth="1"/>
    <col min="15" max="15" width="14" style="52" customWidth="1"/>
    <col min="16" max="16" width="2.140625" style="52" customWidth="1"/>
    <col min="17" max="255" width="9.140625" style="52"/>
    <col min="256" max="256" width="2.85546875" style="52" customWidth="1"/>
    <col min="257" max="257" width="6.42578125" style="52" customWidth="1"/>
    <col min="258" max="258" width="3.85546875" style="52" customWidth="1"/>
    <col min="259" max="259" width="16.5703125" style="52" customWidth="1"/>
    <col min="260" max="260" width="3" style="52" customWidth="1"/>
    <col min="261" max="261" width="11.140625" style="52" customWidth="1"/>
    <col min="262" max="262" width="1.42578125" style="52" customWidth="1"/>
    <col min="263" max="263" width="3.42578125" style="52" customWidth="1"/>
    <col min="264" max="264" width="1.42578125" style="52" customWidth="1"/>
    <col min="265" max="265" width="12.5703125" style="52" customWidth="1"/>
    <col min="266" max="266" width="3.28515625" style="52" customWidth="1"/>
    <col min="267" max="267" width="12.85546875" style="52" customWidth="1"/>
    <col min="268" max="268" width="1.42578125" style="52" customWidth="1"/>
    <col min="269" max="269" width="3.5703125" style="52" customWidth="1"/>
    <col min="270" max="270" width="1.7109375" style="52" customWidth="1"/>
    <col min="271" max="271" width="14" style="52" customWidth="1"/>
    <col min="272" max="272" width="2.140625" style="52" customWidth="1"/>
    <col min="273" max="511" width="9.140625" style="52"/>
    <col min="512" max="512" width="2.85546875" style="52" customWidth="1"/>
    <col min="513" max="513" width="6.42578125" style="52" customWidth="1"/>
    <col min="514" max="514" width="3.85546875" style="52" customWidth="1"/>
    <col min="515" max="515" width="16.5703125" style="52" customWidth="1"/>
    <col min="516" max="516" width="3" style="52" customWidth="1"/>
    <col min="517" max="517" width="11.140625" style="52" customWidth="1"/>
    <col min="518" max="518" width="1.42578125" style="52" customWidth="1"/>
    <col min="519" max="519" width="3.42578125" style="52" customWidth="1"/>
    <col min="520" max="520" width="1.42578125" style="52" customWidth="1"/>
    <col min="521" max="521" width="12.5703125" style="52" customWidth="1"/>
    <col min="522" max="522" width="3.28515625" style="52" customWidth="1"/>
    <col min="523" max="523" width="12.85546875" style="52" customWidth="1"/>
    <col min="524" max="524" width="1.42578125" style="52" customWidth="1"/>
    <col min="525" max="525" width="3.5703125" style="52" customWidth="1"/>
    <col min="526" max="526" width="1.7109375" style="52" customWidth="1"/>
    <col min="527" max="527" width="14" style="52" customWidth="1"/>
    <col min="528" max="528" width="2.140625" style="52" customWidth="1"/>
    <col min="529" max="767" width="9.140625" style="52"/>
    <col min="768" max="768" width="2.85546875" style="52" customWidth="1"/>
    <col min="769" max="769" width="6.42578125" style="52" customWidth="1"/>
    <col min="770" max="770" width="3.85546875" style="52" customWidth="1"/>
    <col min="771" max="771" width="16.5703125" style="52" customWidth="1"/>
    <col min="772" max="772" width="3" style="52" customWidth="1"/>
    <col min="773" max="773" width="11.140625" style="52" customWidth="1"/>
    <col min="774" max="774" width="1.42578125" style="52" customWidth="1"/>
    <col min="775" max="775" width="3.42578125" style="52" customWidth="1"/>
    <col min="776" max="776" width="1.42578125" style="52" customWidth="1"/>
    <col min="777" max="777" width="12.5703125" style="52" customWidth="1"/>
    <col min="778" max="778" width="3.28515625" style="52" customWidth="1"/>
    <col min="779" max="779" width="12.85546875" style="52" customWidth="1"/>
    <col min="780" max="780" width="1.42578125" style="52" customWidth="1"/>
    <col min="781" max="781" width="3.5703125" style="52" customWidth="1"/>
    <col min="782" max="782" width="1.7109375" style="52" customWidth="1"/>
    <col min="783" max="783" width="14" style="52" customWidth="1"/>
    <col min="784" max="784" width="2.140625" style="52" customWidth="1"/>
    <col min="785" max="1023" width="9.140625" style="52"/>
    <col min="1024" max="1024" width="2.85546875" style="52" customWidth="1"/>
    <col min="1025" max="1025" width="6.42578125" style="52" customWidth="1"/>
    <col min="1026" max="1026" width="3.85546875" style="52" customWidth="1"/>
    <col min="1027" max="1027" width="16.5703125" style="52" customWidth="1"/>
    <col min="1028" max="1028" width="3" style="52" customWidth="1"/>
    <col min="1029" max="1029" width="11.140625" style="52" customWidth="1"/>
    <col min="1030" max="1030" width="1.42578125" style="52" customWidth="1"/>
    <col min="1031" max="1031" width="3.42578125" style="52" customWidth="1"/>
    <col min="1032" max="1032" width="1.42578125" style="52" customWidth="1"/>
    <col min="1033" max="1033" width="12.5703125" style="52" customWidth="1"/>
    <col min="1034" max="1034" width="3.28515625" style="52" customWidth="1"/>
    <col min="1035" max="1035" width="12.85546875" style="52" customWidth="1"/>
    <col min="1036" max="1036" width="1.42578125" style="52" customWidth="1"/>
    <col min="1037" max="1037" width="3.5703125" style="52" customWidth="1"/>
    <col min="1038" max="1038" width="1.7109375" style="52" customWidth="1"/>
    <col min="1039" max="1039" width="14" style="52" customWidth="1"/>
    <col min="1040" max="1040" width="2.140625" style="52" customWidth="1"/>
    <col min="1041" max="1279" width="9.140625" style="52"/>
    <col min="1280" max="1280" width="2.85546875" style="52" customWidth="1"/>
    <col min="1281" max="1281" width="6.42578125" style="52" customWidth="1"/>
    <col min="1282" max="1282" width="3.85546875" style="52" customWidth="1"/>
    <col min="1283" max="1283" width="16.5703125" style="52" customWidth="1"/>
    <col min="1284" max="1284" width="3" style="52" customWidth="1"/>
    <col min="1285" max="1285" width="11.140625" style="52" customWidth="1"/>
    <col min="1286" max="1286" width="1.42578125" style="52" customWidth="1"/>
    <col min="1287" max="1287" width="3.42578125" style="52" customWidth="1"/>
    <col min="1288" max="1288" width="1.42578125" style="52" customWidth="1"/>
    <col min="1289" max="1289" width="12.5703125" style="52" customWidth="1"/>
    <col min="1290" max="1290" width="3.28515625" style="52" customWidth="1"/>
    <col min="1291" max="1291" width="12.85546875" style="52" customWidth="1"/>
    <col min="1292" max="1292" width="1.42578125" style="52" customWidth="1"/>
    <col min="1293" max="1293" width="3.5703125" style="52" customWidth="1"/>
    <col min="1294" max="1294" width="1.7109375" style="52" customWidth="1"/>
    <col min="1295" max="1295" width="14" style="52" customWidth="1"/>
    <col min="1296" max="1296" width="2.140625" style="52" customWidth="1"/>
    <col min="1297" max="1535" width="9.140625" style="52"/>
    <col min="1536" max="1536" width="2.85546875" style="52" customWidth="1"/>
    <col min="1537" max="1537" width="6.42578125" style="52" customWidth="1"/>
    <col min="1538" max="1538" width="3.85546875" style="52" customWidth="1"/>
    <col min="1539" max="1539" width="16.5703125" style="52" customWidth="1"/>
    <col min="1540" max="1540" width="3" style="52" customWidth="1"/>
    <col min="1541" max="1541" width="11.140625" style="52" customWidth="1"/>
    <col min="1542" max="1542" width="1.42578125" style="52" customWidth="1"/>
    <col min="1543" max="1543" width="3.42578125" style="52" customWidth="1"/>
    <col min="1544" max="1544" width="1.42578125" style="52" customWidth="1"/>
    <col min="1545" max="1545" width="12.5703125" style="52" customWidth="1"/>
    <col min="1546" max="1546" width="3.28515625" style="52" customWidth="1"/>
    <col min="1547" max="1547" width="12.85546875" style="52" customWidth="1"/>
    <col min="1548" max="1548" width="1.42578125" style="52" customWidth="1"/>
    <col min="1549" max="1549" width="3.5703125" style="52" customWidth="1"/>
    <col min="1550" max="1550" width="1.7109375" style="52" customWidth="1"/>
    <col min="1551" max="1551" width="14" style="52" customWidth="1"/>
    <col min="1552" max="1552" width="2.140625" style="52" customWidth="1"/>
    <col min="1553" max="1791" width="9.140625" style="52"/>
    <col min="1792" max="1792" width="2.85546875" style="52" customWidth="1"/>
    <col min="1793" max="1793" width="6.42578125" style="52" customWidth="1"/>
    <col min="1794" max="1794" width="3.85546875" style="52" customWidth="1"/>
    <col min="1795" max="1795" width="16.5703125" style="52" customWidth="1"/>
    <col min="1796" max="1796" width="3" style="52" customWidth="1"/>
    <col min="1797" max="1797" width="11.140625" style="52" customWidth="1"/>
    <col min="1798" max="1798" width="1.42578125" style="52" customWidth="1"/>
    <col min="1799" max="1799" width="3.42578125" style="52" customWidth="1"/>
    <col min="1800" max="1800" width="1.42578125" style="52" customWidth="1"/>
    <col min="1801" max="1801" width="12.5703125" style="52" customWidth="1"/>
    <col min="1802" max="1802" width="3.28515625" style="52" customWidth="1"/>
    <col min="1803" max="1803" width="12.85546875" style="52" customWidth="1"/>
    <col min="1804" max="1804" width="1.42578125" style="52" customWidth="1"/>
    <col min="1805" max="1805" width="3.5703125" style="52" customWidth="1"/>
    <col min="1806" max="1806" width="1.7109375" style="52" customWidth="1"/>
    <col min="1807" max="1807" width="14" style="52" customWidth="1"/>
    <col min="1808" max="1808" width="2.140625" style="52" customWidth="1"/>
    <col min="1809" max="2047" width="9.140625" style="52"/>
    <col min="2048" max="2048" width="2.85546875" style="52" customWidth="1"/>
    <col min="2049" max="2049" width="6.42578125" style="52" customWidth="1"/>
    <col min="2050" max="2050" width="3.85546875" style="52" customWidth="1"/>
    <col min="2051" max="2051" width="16.5703125" style="52" customWidth="1"/>
    <col min="2052" max="2052" width="3" style="52" customWidth="1"/>
    <col min="2053" max="2053" width="11.140625" style="52" customWidth="1"/>
    <col min="2054" max="2054" width="1.42578125" style="52" customWidth="1"/>
    <col min="2055" max="2055" width="3.42578125" style="52" customWidth="1"/>
    <col min="2056" max="2056" width="1.42578125" style="52" customWidth="1"/>
    <col min="2057" max="2057" width="12.5703125" style="52" customWidth="1"/>
    <col min="2058" max="2058" width="3.28515625" style="52" customWidth="1"/>
    <col min="2059" max="2059" width="12.85546875" style="52" customWidth="1"/>
    <col min="2060" max="2060" width="1.42578125" style="52" customWidth="1"/>
    <col min="2061" max="2061" width="3.5703125" style="52" customWidth="1"/>
    <col min="2062" max="2062" width="1.7109375" style="52" customWidth="1"/>
    <col min="2063" max="2063" width="14" style="52" customWidth="1"/>
    <col min="2064" max="2064" width="2.140625" style="52" customWidth="1"/>
    <col min="2065" max="2303" width="9.140625" style="52"/>
    <col min="2304" max="2304" width="2.85546875" style="52" customWidth="1"/>
    <col min="2305" max="2305" width="6.42578125" style="52" customWidth="1"/>
    <col min="2306" max="2306" width="3.85546875" style="52" customWidth="1"/>
    <col min="2307" max="2307" width="16.5703125" style="52" customWidth="1"/>
    <col min="2308" max="2308" width="3" style="52" customWidth="1"/>
    <col min="2309" max="2309" width="11.140625" style="52" customWidth="1"/>
    <col min="2310" max="2310" width="1.42578125" style="52" customWidth="1"/>
    <col min="2311" max="2311" width="3.42578125" style="52" customWidth="1"/>
    <col min="2312" max="2312" width="1.42578125" style="52" customWidth="1"/>
    <col min="2313" max="2313" width="12.5703125" style="52" customWidth="1"/>
    <col min="2314" max="2314" width="3.28515625" style="52" customWidth="1"/>
    <col min="2315" max="2315" width="12.85546875" style="52" customWidth="1"/>
    <col min="2316" max="2316" width="1.42578125" style="52" customWidth="1"/>
    <col min="2317" max="2317" width="3.5703125" style="52" customWidth="1"/>
    <col min="2318" max="2318" width="1.7109375" style="52" customWidth="1"/>
    <col min="2319" max="2319" width="14" style="52" customWidth="1"/>
    <col min="2320" max="2320" width="2.140625" style="52" customWidth="1"/>
    <col min="2321" max="2559" width="9.140625" style="52"/>
    <col min="2560" max="2560" width="2.85546875" style="52" customWidth="1"/>
    <col min="2561" max="2561" width="6.42578125" style="52" customWidth="1"/>
    <col min="2562" max="2562" width="3.85546875" style="52" customWidth="1"/>
    <col min="2563" max="2563" width="16.5703125" style="52" customWidth="1"/>
    <col min="2564" max="2564" width="3" style="52" customWidth="1"/>
    <col min="2565" max="2565" width="11.140625" style="52" customWidth="1"/>
    <col min="2566" max="2566" width="1.42578125" style="52" customWidth="1"/>
    <col min="2567" max="2567" width="3.42578125" style="52" customWidth="1"/>
    <col min="2568" max="2568" width="1.42578125" style="52" customWidth="1"/>
    <col min="2569" max="2569" width="12.5703125" style="52" customWidth="1"/>
    <col min="2570" max="2570" width="3.28515625" style="52" customWidth="1"/>
    <col min="2571" max="2571" width="12.85546875" style="52" customWidth="1"/>
    <col min="2572" max="2572" width="1.42578125" style="52" customWidth="1"/>
    <col min="2573" max="2573" width="3.5703125" style="52" customWidth="1"/>
    <col min="2574" max="2574" width="1.7109375" style="52" customWidth="1"/>
    <col min="2575" max="2575" width="14" style="52" customWidth="1"/>
    <col min="2576" max="2576" width="2.140625" style="52" customWidth="1"/>
    <col min="2577" max="2815" width="9.140625" style="52"/>
    <col min="2816" max="2816" width="2.85546875" style="52" customWidth="1"/>
    <col min="2817" max="2817" width="6.42578125" style="52" customWidth="1"/>
    <col min="2818" max="2818" width="3.85546875" style="52" customWidth="1"/>
    <col min="2819" max="2819" width="16.5703125" style="52" customWidth="1"/>
    <col min="2820" max="2820" width="3" style="52" customWidth="1"/>
    <col min="2821" max="2821" width="11.140625" style="52" customWidth="1"/>
    <col min="2822" max="2822" width="1.42578125" style="52" customWidth="1"/>
    <col min="2823" max="2823" width="3.42578125" style="52" customWidth="1"/>
    <col min="2824" max="2824" width="1.42578125" style="52" customWidth="1"/>
    <col min="2825" max="2825" width="12.5703125" style="52" customWidth="1"/>
    <col min="2826" max="2826" width="3.28515625" style="52" customWidth="1"/>
    <col min="2827" max="2827" width="12.85546875" style="52" customWidth="1"/>
    <col min="2828" max="2828" width="1.42578125" style="52" customWidth="1"/>
    <col min="2829" max="2829" width="3.5703125" style="52" customWidth="1"/>
    <col min="2830" max="2830" width="1.7109375" style="52" customWidth="1"/>
    <col min="2831" max="2831" width="14" style="52" customWidth="1"/>
    <col min="2832" max="2832" width="2.140625" style="52" customWidth="1"/>
    <col min="2833" max="3071" width="9.140625" style="52"/>
    <col min="3072" max="3072" width="2.85546875" style="52" customWidth="1"/>
    <col min="3073" max="3073" width="6.42578125" style="52" customWidth="1"/>
    <col min="3074" max="3074" width="3.85546875" style="52" customWidth="1"/>
    <col min="3075" max="3075" width="16.5703125" style="52" customWidth="1"/>
    <col min="3076" max="3076" width="3" style="52" customWidth="1"/>
    <col min="3077" max="3077" width="11.140625" style="52" customWidth="1"/>
    <col min="3078" max="3078" width="1.42578125" style="52" customWidth="1"/>
    <col min="3079" max="3079" width="3.42578125" style="52" customWidth="1"/>
    <col min="3080" max="3080" width="1.42578125" style="52" customWidth="1"/>
    <col min="3081" max="3081" width="12.5703125" style="52" customWidth="1"/>
    <col min="3082" max="3082" width="3.28515625" style="52" customWidth="1"/>
    <col min="3083" max="3083" width="12.85546875" style="52" customWidth="1"/>
    <col min="3084" max="3084" width="1.42578125" style="52" customWidth="1"/>
    <col min="3085" max="3085" width="3.5703125" style="52" customWidth="1"/>
    <col min="3086" max="3086" width="1.7109375" style="52" customWidth="1"/>
    <col min="3087" max="3087" width="14" style="52" customWidth="1"/>
    <col min="3088" max="3088" width="2.140625" style="52" customWidth="1"/>
    <col min="3089" max="3327" width="9.140625" style="52"/>
    <col min="3328" max="3328" width="2.85546875" style="52" customWidth="1"/>
    <col min="3329" max="3329" width="6.42578125" style="52" customWidth="1"/>
    <col min="3330" max="3330" width="3.85546875" style="52" customWidth="1"/>
    <col min="3331" max="3331" width="16.5703125" style="52" customWidth="1"/>
    <col min="3332" max="3332" width="3" style="52" customWidth="1"/>
    <col min="3333" max="3333" width="11.140625" style="52" customWidth="1"/>
    <col min="3334" max="3334" width="1.42578125" style="52" customWidth="1"/>
    <col min="3335" max="3335" width="3.42578125" style="52" customWidth="1"/>
    <col min="3336" max="3336" width="1.42578125" style="52" customWidth="1"/>
    <col min="3337" max="3337" width="12.5703125" style="52" customWidth="1"/>
    <col min="3338" max="3338" width="3.28515625" style="52" customWidth="1"/>
    <col min="3339" max="3339" width="12.85546875" style="52" customWidth="1"/>
    <col min="3340" max="3340" width="1.42578125" style="52" customWidth="1"/>
    <col min="3341" max="3341" width="3.5703125" style="52" customWidth="1"/>
    <col min="3342" max="3342" width="1.7109375" style="52" customWidth="1"/>
    <col min="3343" max="3343" width="14" style="52" customWidth="1"/>
    <col min="3344" max="3344" width="2.140625" style="52" customWidth="1"/>
    <col min="3345" max="3583" width="9.140625" style="52"/>
    <col min="3584" max="3584" width="2.85546875" style="52" customWidth="1"/>
    <col min="3585" max="3585" width="6.42578125" style="52" customWidth="1"/>
    <col min="3586" max="3586" width="3.85546875" style="52" customWidth="1"/>
    <col min="3587" max="3587" width="16.5703125" style="52" customWidth="1"/>
    <col min="3588" max="3588" width="3" style="52" customWidth="1"/>
    <col min="3589" max="3589" width="11.140625" style="52" customWidth="1"/>
    <col min="3590" max="3590" width="1.42578125" style="52" customWidth="1"/>
    <col min="3591" max="3591" width="3.42578125" style="52" customWidth="1"/>
    <col min="3592" max="3592" width="1.42578125" style="52" customWidth="1"/>
    <col min="3593" max="3593" width="12.5703125" style="52" customWidth="1"/>
    <col min="3594" max="3594" width="3.28515625" style="52" customWidth="1"/>
    <col min="3595" max="3595" width="12.85546875" style="52" customWidth="1"/>
    <col min="3596" max="3596" width="1.42578125" style="52" customWidth="1"/>
    <col min="3597" max="3597" width="3.5703125" style="52" customWidth="1"/>
    <col min="3598" max="3598" width="1.7109375" style="52" customWidth="1"/>
    <col min="3599" max="3599" width="14" style="52" customWidth="1"/>
    <col min="3600" max="3600" width="2.140625" style="52" customWidth="1"/>
    <col min="3601" max="3839" width="9.140625" style="52"/>
    <col min="3840" max="3840" width="2.85546875" style="52" customWidth="1"/>
    <col min="3841" max="3841" width="6.42578125" style="52" customWidth="1"/>
    <col min="3842" max="3842" width="3.85546875" style="52" customWidth="1"/>
    <col min="3843" max="3843" width="16.5703125" style="52" customWidth="1"/>
    <col min="3844" max="3844" width="3" style="52" customWidth="1"/>
    <col min="3845" max="3845" width="11.140625" style="52" customWidth="1"/>
    <col min="3846" max="3846" width="1.42578125" style="52" customWidth="1"/>
    <col min="3847" max="3847" width="3.42578125" style="52" customWidth="1"/>
    <col min="3848" max="3848" width="1.42578125" style="52" customWidth="1"/>
    <col min="3849" max="3849" width="12.5703125" style="52" customWidth="1"/>
    <col min="3850" max="3850" width="3.28515625" style="52" customWidth="1"/>
    <col min="3851" max="3851" width="12.85546875" style="52" customWidth="1"/>
    <col min="3852" max="3852" width="1.42578125" style="52" customWidth="1"/>
    <col min="3853" max="3853" width="3.5703125" style="52" customWidth="1"/>
    <col min="3854" max="3854" width="1.7109375" style="52" customWidth="1"/>
    <col min="3855" max="3855" width="14" style="52" customWidth="1"/>
    <col min="3856" max="3856" width="2.140625" style="52" customWidth="1"/>
    <col min="3857" max="4095" width="9.140625" style="52"/>
    <col min="4096" max="4096" width="2.85546875" style="52" customWidth="1"/>
    <col min="4097" max="4097" width="6.42578125" style="52" customWidth="1"/>
    <col min="4098" max="4098" width="3.85546875" style="52" customWidth="1"/>
    <col min="4099" max="4099" width="16.5703125" style="52" customWidth="1"/>
    <col min="4100" max="4100" width="3" style="52" customWidth="1"/>
    <col min="4101" max="4101" width="11.140625" style="52" customWidth="1"/>
    <col min="4102" max="4102" width="1.42578125" style="52" customWidth="1"/>
    <col min="4103" max="4103" width="3.42578125" style="52" customWidth="1"/>
    <col min="4104" max="4104" width="1.42578125" style="52" customWidth="1"/>
    <col min="4105" max="4105" width="12.5703125" style="52" customWidth="1"/>
    <col min="4106" max="4106" width="3.28515625" style="52" customWidth="1"/>
    <col min="4107" max="4107" width="12.85546875" style="52" customWidth="1"/>
    <col min="4108" max="4108" width="1.42578125" style="52" customWidth="1"/>
    <col min="4109" max="4109" width="3.5703125" style="52" customWidth="1"/>
    <col min="4110" max="4110" width="1.7109375" style="52" customWidth="1"/>
    <col min="4111" max="4111" width="14" style="52" customWidth="1"/>
    <col min="4112" max="4112" width="2.140625" style="52" customWidth="1"/>
    <col min="4113" max="4351" width="9.140625" style="52"/>
    <col min="4352" max="4352" width="2.85546875" style="52" customWidth="1"/>
    <col min="4353" max="4353" width="6.42578125" style="52" customWidth="1"/>
    <col min="4354" max="4354" width="3.85546875" style="52" customWidth="1"/>
    <col min="4355" max="4355" width="16.5703125" style="52" customWidth="1"/>
    <col min="4356" max="4356" width="3" style="52" customWidth="1"/>
    <col min="4357" max="4357" width="11.140625" style="52" customWidth="1"/>
    <col min="4358" max="4358" width="1.42578125" style="52" customWidth="1"/>
    <col min="4359" max="4359" width="3.42578125" style="52" customWidth="1"/>
    <col min="4360" max="4360" width="1.42578125" style="52" customWidth="1"/>
    <col min="4361" max="4361" width="12.5703125" style="52" customWidth="1"/>
    <col min="4362" max="4362" width="3.28515625" style="52" customWidth="1"/>
    <col min="4363" max="4363" width="12.85546875" style="52" customWidth="1"/>
    <col min="4364" max="4364" width="1.42578125" style="52" customWidth="1"/>
    <col min="4365" max="4365" width="3.5703125" style="52" customWidth="1"/>
    <col min="4366" max="4366" width="1.7109375" style="52" customWidth="1"/>
    <col min="4367" max="4367" width="14" style="52" customWidth="1"/>
    <col min="4368" max="4368" width="2.140625" style="52" customWidth="1"/>
    <col min="4369" max="4607" width="9.140625" style="52"/>
    <col min="4608" max="4608" width="2.85546875" style="52" customWidth="1"/>
    <col min="4609" max="4609" width="6.42578125" style="52" customWidth="1"/>
    <col min="4610" max="4610" width="3.85546875" style="52" customWidth="1"/>
    <col min="4611" max="4611" width="16.5703125" style="52" customWidth="1"/>
    <col min="4612" max="4612" width="3" style="52" customWidth="1"/>
    <col min="4613" max="4613" width="11.140625" style="52" customWidth="1"/>
    <col min="4614" max="4614" width="1.42578125" style="52" customWidth="1"/>
    <col min="4615" max="4615" width="3.42578125" style="52" customWidth="1"/>
    <col min="4616" max="4616" width="1.42578125" style="52" customWidth="1"/>
    <col min="4617" max="4617" width="12.5703125" style="52" customWidth="1"/>
    <col min="4618" max="4618" width="3.28515625" style="52" customWidth="1"/>
    <col min="4619" max="4619" width="12.85546875" style="52" customWidth="1"/>
    <col min="4620" max="4620" width="1.42578125" style="52" customWidth="1"/>
    <col min="4621" max="4621" width="3.5703125" style="52" customWidth="1"/>
    <col min="4622" max="4622" width="1.7109375" style="52" customWidth="1"/>
    <col min="4623" max="4623" width="14" style="52" customWidth="1"/>
    <col min="4624" max="4624" width="2.140625" style="52" customWidth="1"/>
    <col min="4625" max="4863" width="9.140625" style="52"/>
    <col min="4864" max="4864" width="2.85546875" style="52" customWidth="1"/>
    <col min="4865" max="4865" width="6.42578125" style="52" customWidth="1"/>
    <col min="4866" max="4866" width="3.85546875" style="52" customWidth="1"/>
    <col min="4867" max="4867" width="16.5703125" style="52" customWidth="1"/>
    <col min="4868" max="4868" width="3" style="52" customWidth="1"/>
    <col min="4869" max="4869" width="11.140625" style="52" customWidth="1"/>
    <col min="4870" max="4870" width="1.42578125" style="52" customWidth="1"/>
    <col min="4871" max="4871" width="3.42578125" style="52" customWidth="1"/>
    <col min="4872" max="4872" width="1.42578125" style="52" customWidth="1"/>
    <col min="4873" max="4873" width="12.5703125" style="52" customWidth="1"/>
    <col min="4874" max="4874" width="3.28515625" style="52" customWidth="1"/>
    <col min="4875" max="4875" width="12.85546875" style="52" customWidth="1"/>
    <col min="4876" max="4876" width="1.42578125" style="52" customWidth="1"/>
    <col min="4877" max="4877" width="3.5703125" style="52" customWidth="1"/>
    <col min="4878" max="4878" width="1.7109375" style="52" customWidth="1"/>
    <col min="4879" max="4879" width="14" style="52" customWidth="1"/>
    <col min="4880" max="4880" width="2.140625" style="52" customWidth="1"/>
    <col min="4881" max="5119" width="9.140625" style="52"/>
    <col min="5120" max="5120" width="2.85546875" style="52" customWidth="1"/>
    <col min="5121" max="5121" width="6.42578125" style="52" customWidth="1"/>
    <col min="5122" max="5122" width="3.85546875" style="52" customWidth="1"/>
    <col min="5123" max="5123" width="16.5703125" style="52" customWidth="1"/>
    <col min="5124" max="5124" width="3" style="52" customWidth="1"/>
    <col min="5125" max="5125" width="11.140625" style="52" customWidth="1"/>
    <col min="5126" max="5126" width="1.42578125" style="52" customWidth="1"/>
    <col min="5127" max="5127" width="3.42578125" style="52" customWidth="1"/>
    <col min="5128" max="5128" width="1.42578125" style="52" customWidth="1"/>
    <col min="5129" max="5129" width="12.5703125" style="52" customWidth="1"/>
    <col min="5130" max="5130" width="3.28515625" style="52" customWidth="1"/>
    <col min="5131" max="5131" width="12.85546875" style="52" customWidth="1"/>
    <col min="5132" max="5132" width="1.42578125" style="52" customWidth="1"/>
    <col min="5133" max="5133" width="3.5703125" style="52" customWidth="1"/>
    <col min="5134" max="5134" width="1.7109375" style="52" customWidth="1"/>
    <col min="5135" max="5135" width="14" style="52" customWidth="1"/>
    <col min="5136" max="5136" width="2.140625" style="52" customWidth="1"/>
    <col min="5137" max="5375" width="9.140625" style="52"/>
    <col min="5376" max="5376" width="2.85546875" style="52" customWidth="1"/>
    <col min="5377" max="5377" width="6.42578125" style="52" customWidth="1"/>
    <col min="5378" max="5378" width="3.85546875" style="52" customWidth="1"/>
    <col min="5379" max="5379" width="16.5703125" style="52" customWidth="1"/>
    <col min="5380" max="5380" width="3" style="52" customWidth="1"/>
    <col min="5381" max="5381" width="11.140625" style="52" customWidth="1"/>
    <col min="5382" max="5382" width="1.42578125" style="52" customWidth="1"/>
    <col min="5383" max="5383" width="3.42578125" style="52" customWidth="1"/>
    <col min="5384" max="5384" width="1.42578125" style="52" customWidth="1"/>
    <col min="5385" max="5385" width="12.5703125" style="52" customWidth="1"/>
    <col min="5386" max="5386" width="3.28515625" style="52" customWidth="1"/>
    <col min="5387" max="5387" width="12.85546875" style="52" customWidth="1"/>
    <col min="5388" max="5388" width="1.42578125" style="52" customWidth="1"/>
    <col min="5389" max="5389" width="3.5703125" style="52" customWidth="1"/>
    <col min="5390" max="5390" width="1.7109375" style="52" customWidth="1"/>
    <col min="5391" max="5391" width="14" style="52" customWidth="1"/>
    <col min="5392" max="5392" width="2.140625" style="52" customWidth="1"/>
    <col min="5393" max="5631" width="9.140625" style="52"/>
    <col min="5632" max="5632" width="2.85546875" style="52" customWidth="1"/>
    <col min="5633" max="5633" width="6.42578125" style="52" customWidth="1"/>
    <col min="5634" max="5634" width="3.85546875" style="52" customWidth="1"/>
    <col min="5635" max="5635" width="16.5703125" style="52" customWidth="1"/>
    <col min="5636" max="5636" width="3" style="52" customWidth="1"/>
    <col min="5637" max="5637" width="11.140625" style="52" customWidth="1"/>
    <col min="5638" max="5638" width="1.42578125" style="52" customWidth="1"/>
    <col min="5639" max="5639" width="3.42578125" style="52" customWidth="1"/>
    <col min="5640" max="5640" width="1.42578125" style="52" customWidth="1"/>
    <col min="5641" max="5641" width="12.5703125" style="52" customWidth="1"/>
    <col min="5642" max="5642" width="3.28515625" style="52" customWidth="1"/>
    <col min="5643" max="5643" width="12.85546875" style="52" customWidth="1"/>
    <col min="5644" max="5644" width="1.42578125" style="52" customWidth="1"/>
    <col min="5645" max="5645" width="3.5703125" style="52" customWidth="1"/>
    <col min="5646" max="5646" width="1.7109375" style="52" customWidth="1"/>
    <col min="5647" max="5647" width="14" style="52" customWidth="1"/>
    <col min="5648" max="5648" width="2.140625" style="52" customWidth="1"/>
    <col min="5649" max="5887" width="9.140625" style="52"/>
    <col min="5888" max="5888" width="2.85546875" style="52" customWidth="1"/>
    <col min="5889" max="5889" width="6.42578125" style="52" customWidth="1"/>
    <col min="5890" max="5890" width="3.85546875" style="52" customWidth="1"/>
    <col min="5891" max="5891" width="16.5703125" style="52" customWidth="1"/>
    <col min="5892" max="5892" width="3" style="52" customWidth="1"/>
    <col min="5893" max="5893" width="11.140625" style="52" customWidth="1"/>
    <col min="5894" max="5894" width="1.42578125" style="52" customWidth="1"/>
    <col min="5895" max="5895" width="3.42578125" style="52" customWidth="1"/>
    <col min="5896" max="5896" width="1.42578125" style="52" customWidth="1"/>
    <col min="5897" max="5897" width="12.5703125" style="52" customWidth="1"/>
    <col min="5898" max="5898" width="3.28515625" style="52" customWidth="1"/>
    <col min="5899" max="5899" width="12.85546875" style="52" customWidth="1"/>
    <col min="5900" max="5900" width="1.42578125" style="52" customWidth="1"/>
    <col min="5901" max="5901" width="3.5703125" style="52" customWidth="1"/>
    <col min="5902" max="5902" width="1.7109375" style="52" customWidth="1"/>
    <col min="5903" max="5903" width="14" style="52" customWidth="1"/>
    <col min="5904" max="5904" width="2.140625" style="52" customWidth="1"/>
    <col min="5905" max="6143" width="9.140625" style="52"/>
    <col min="6144" max="6144" width="2.85546875" style="52" customWidth="1"/>
    <col min="6145" max="6145" width="6.42578125" style="52" customWidth="1"/>
    <col min="6146" max="6146" width="3.85546875" style="52" customWidth="1"/>
    <col min="6147" max="6147" width="16.5703125" style="52" customWidth="1"/>
    <col min="6148" max="6148" width="3" style="52" customWidth="1"/>
    <col min="6149" max="6149" width="11.140625" style="52" customWidth="1"/>
    <col min="6150" max="6150" width="1.42578125" style="52" customWidth="1"/>
    <col min="6151" max="6151" width="3.42578125" style="52" customWidth="1"/>
    <col min="6152" max="6152" width="1.42578125" style="52" customWidth="1"/>
    <col min="6153" max="6153" width="12.5703125" style="52" customWidth="1"/>
    <col min="6154" max="6154" width="3.28515625" style="52" customWidth="1"/>
    <col min="6155" max="6155" width="12.85546875" style="52" customWidth="1"/>
    <col min="6156" max="6156" width="1.42578125" style="52" customWidth="1"/>
    <col min="6157" max="6157" width="3.5703125" style="52" customWidth="1"/>
    <col min="6158" max="6158" width="1.7109375" style="52" customWidth="1"/>
    <col min="6159" max="6159" width="14" style="52" customWidth="1"/>
    <col min="6160" max="6160" width="2.140625" style="52" customWidth="1"/>
    <col min="6161" max="6399" width="9.140625" style="52"/>
    <col min="6400" max="6400" width="2.85546875" style="52" customWidth="1"/>
    <col min="6401" max="6401" width="6.42578125" style="52" customWidth="1"/>
    <col min="6402" max="6402" width="3.85546875" style="52" customWidth="1"/>
    <col min="6403" max="6403" width="16.5703125" style="52" customWidth="1"/>
    <col min="6404" max="6404" width="3" style="52" customWidth="1"/>
    <col min="6405" max="6405" width="11.140625" style="52" customWidth="1"/>
    <col min="6406" max="6406" width="1.42578125" style="52" customWidth="1"/>
    <col min="6407" max="6407" width="3.42578125" style="52" customWidth="1"/>
    <col min="6408" max="6408" width="1.42578125" style="52" customWidth="1"/>
    <col min="6409" max="6409" width="12.5703125" style="52" customWidth="1"/>
    <col min="6410" max="6410" width="3.28515625" style="52" customWidth="1"/>
    <col min="6411" max="6411" width="12.85546875" style="52" customWidth="1"/>
    <col min="6412" max="6412" width="1.42578125" style="52" customWidth="1"/>
    <col min="6413" max="6413" width="3.5703125" style="52" customWidth="1"/>
    <col min="6414" max="6414" width="1.7109375" style="52" customWidth="1"/>
    <col min="6415" max="6415" width="14" style="52" customWidth="1"/>
    <col min="6416" max="6416" width="2.140625" style="52" customWidth="1"/>
    <col min="6417" max="6655" width="9.140625" style="52"/>
    <col min="6656" max="6656" width="2.85546875" style="52" customWidth="1"/>
    <col min="6657" max="6657" width="6.42578125" style="52" customWidth="1"/>
    <col min="6658" max="6658" width="3.85546875" style="52" customWidth="1"/>
    <col min="6659" max="6659" width="16.5703125" style="52" customWidth="1"/>
    <col min="6660" max="6660" width="3" style="52" customWidth="1"/>
    <col min="6661" max="6661" width="11.140625" style="52" customWidth="1"/>
    <col min="6662" max="6662" width="1.42578125" style="52" customWidth="1"/>
    <col min="6663" max="6663" width="3.42578125" style="52" customWidth="1"/>
    <col min="6664" max="6664" width="1.42578125" style="52" customWidth="1"/>
    <col min="6665" max="6665" width="12.5703125" style="52" customWidth="1"/>
    <col min="6666" max="6666" width="3.28515625" style="52" customWidth="1"/>
    <col min="6667" max="6667" width="12.85546875" style="52" customWidth="1"/>
    <col min="6668" max="6668" width="1.42578125" style="52" customWidth="1"/>
    <col min="6669" max="6669" width="3.5703125" style="52" customWidth="1"/>
    <col min="6670" max="6670" width="1.7109375" style="52" customWidth="1"/>
    <col min="6671" max="6671" width="14" style="52" customWidth="1"/>
    <col min="6672" max="6672" width="2.140625" style="52" customWidth="1"/>
    <col min="6673" max="6911" width="9.140625" style="52"/>
    <col min="6912" max="6912" width="2.85546875" style="52" customWidth="1"/>
    <col min="6913" max="6913" width="6.42578125" style="52" customWidth="1"/>
    <col min="6914" max="6914" width="3.85546875" style="52" customWidth="1"/>
    <col min="6915" max="6915" width="16.5703125" style="52" customWidth="1"/>
    <col min="6916" max="6916" width="3" style="52" customWidth="1"/>
    <col min="6917" max="6917" width="11.140625" style="52" customWidth="1"/>
    <col min="6918" max="6918" width="1.42578125" style="52" customWidth="1"/>
    <col min="6919" max="6919" width="3.42578125" style="52" customWidth="1"/>
    <col min="6920" max="6920" width="1.42578125" style="52" customWidth="1"/>
    <col min="6921" max="6921" width="12.5703125" style="52" customWidth="1"/>
    <col min="6922" max="6922" width="3.28515625" style="52" customWidth="1"/>
    <col min="6923" max="6923" width="12.85546875" style="52" customWidth="1"/>
    <col min="6924" max="6924" width="1.42578125" style="52" customWidth="1"/>
    <col min="6925" max="6925" width="3.5703125" style="52" customWidth="1"/>
    <col min="6926" max="6926" width="1.7109375" style="52" customWidth="1"/>
    <col min="6927" max="6927" width="14" style="52" customWidth="1"/>
    <col min="6928" max="6928" width="2.140625" style="52" customWidth="1"/>
    <col min="6929" max="7167" width="9.140625" style="52"/>
    <col min="7168" max="7168" width="2.85546875" style="52" customWidth="1"/>
    <col min="7169" max="7169" width="6.42578125" style="52" customWidth="1"/>
    <col min="7170" max="7170" width="3.85546875" style="52" customWidth="1"/>
    <col min="7171" max="7171" width="16.5703125" style="52" customWidth="1"/>
    <col min="7172" max="7172" width="3" style="52" customWidth="1"/>
    <col min="7173" max="7173" width="11.140625" style="52" customWidth="1"/>
    <col min="7174" max="7174" width="1.42578125" style="52" customWidth="1"/>
    <col min="7175" max="7175" width="3.42578125" style="52" customWidth="1"/>
    <col min="7176" max="7176" width="1.42578125" style="52" customWidth="1"/>
    <col min="7177" max="7177" width="12.5703125" style="52" customWidth="1"/>
    <col min="7178" max="7178" width="3.28515625" style="52" customWidth="1"/>
    <col min="7179" max="7179" width="12.85546875" style="52" customWidth="1"/>
    <col min="7180" max="7180" width="1.42578125" style="52" customWidth="1"/>
    <col min="7181" max="7181" width="3.5703125" style="52" customWidth="1"/>
    <col min="7182" max="7182" width="1.7109375" style="52" customWidth="1"/>
    <col min="7183" max="7183" width="14" style="52" customWidth="1"/>
    <col min="7184" max="7184" width="2.140625" style="52" customWidth="1"/>
    <col min="7185" max="7423" width="9.140625" style="52"/>
    <col min="7424" max="7424" width="2.85546875" style="52" customWidth="1"/>
    <col min="7425" max="7425" width="6.42578125" style="52" customWidth="1"/>
    <col min="7426" max="7426" width="3.85546875" style="52" customWidth="1"/>
    <col min="7427" max="7427" width="16.5703125" style="52" customWidth="1"/>
    <col min="7428" max="7428" width="3" style="52" customWidth="1"/>
    <col min="7429" max="7429" width="11.140625" style="52" customWidth="1"/>
    <col min="7430" max="7430" width="1.42578125" style="52" customWidth="1"/>
    <col min="7431" max="7431" width="3.42578125" style="52" customWidth="1"/>
    <col min="7432" max="7432" width="1.42578125" style="52" customWidth="1"/>
    <col min="7433" max="7433" width="12.5703125" style="52" customWidth="1"/>
    <col min="7434" max="7434" width="3.28515625" style="52" customWidth="1"/>
    <col min="7435" max="7435" width="12.85546875" style="52" customWidth="1"/>
    <col min="7436" max="7436" width="1.42578125" style="52" customWidth="1"/>
    <col min="7437" max="7437" width="3.5703125" style="52" customWidth="1"/>
    <col min="7438" max="7438" width="1.7109375" style="52" customWidth="1"/>
    <col min="7439" max="7439" width="14" style="52" customWidth="1"/>
    <col min="7440" max="7440" width="2.140625" style="52" customWidth="1"/>
    <col min="7441" max="7679" width="9.140625" style="52"/>
    <col min="7680" max="7680" width="2.85546875" style="52" customWidth="1"/>
    <col min="7681" max="7681" width="6.42578125" style="52" customWidth="1"/>
    <col min="7682" max="7682" width="3.85546875" style="52" customWidth="1"/>
    <col min="7683" max="7683" width="16.5703125" style="52" customWidth="1"/>
    <col min="7684" max="7684" width="3" style="52" customWidth="1"/>
    <col min="7685" max="7685" width="11.140625" style="52" customWidth="1"/>
    <col min="7686" max="7686" width="1.42578125" style="52" customWidth="1"/>
    <col min="7687" max="7687" width="3.42578125" style="52" customWidth="1"/>
    <col min="7688" max="7688" width="1.42578125" style="52" customWidth="1"/>
    <col min="7689" max="7689" width="12.5703125" style="52" customWidth="1"/>
    <col min="7690" max="7690" width="3.28515625" style="52" customWidth="1"/>
    <col min="7691" max="7691" width="12.85546875" style="52" customWidth="1"/>
    <col min="7692" max="7692" width="1.42578125" style="52" customWidth="1"/>
    <col min="7693" max="7693" width="3.5703125" style="52" customWidth="1"/>
    <col min="7694" max="7694" width="1.7109375" style="52" customWidth="1"/>
    <col min="7695" max="7695" width="14" style="52" customWidth="1"/>
    <col min="7696" max="7696" width="2.140625" style="52" customWidth="1"/>
    <col min="7697" max="7935" width="9.140625" style="52"/>
    <col min="7936" max="7936" width="2.85546875" style="52" customWidth="1"/>
    <col min="7937" max="7937" width="6.42578125" style="52" customWidth="1"/>
    <col min="7938" max="7938" width="3.85546875" style="52" customWidth="1"/>
    <col min="7939" max="7939" width="16.5703125" style="52" customWidth="1"/>
    <col min="7940" max="7940" width="3" style="52" customWidth="1"/>
    <col min="7941" max="7941" width="11.140625" style="52" customWidth="1"/>
    <col min="7942" max="7942" width="1.42578125" style="52" customWidth="1"/>
    <col min="7943" max="7943" width="3.42578125" style="52" customWidth="1"/>
    <col min="7944" max="7944" width="1.42578125" style="52" customWidth="1"/>
    <col min="7945" max="7945" width="12.5703125" style="52" customWidth="1"/>
    <col min="7946" max="7946" width="3.28515625" style="52" customWidth="1"/>
    <col min="7947" max="7947" width="12.85546875" style="52" customWidth="1"/>
    <col min="7948" max="7948" width="1.42578125" style="52" customWidth="1"/>
    <col min="7949" max="7949" width="3.5703125" style="52" customWidth="1"/>
    <col min="7950" max="7950" width="1.7109375" style="52" customWidth="1"/>
    <col min="7951" max="7951" width="14" style="52" customWidth="1"/>
    <col min="7952" max="7952" width="2.140625" style="52" customWidth="1"/>
    <col min="7953" max="8191" width="9.140625" style="52"/>
    <col min="8192" max="8192" width="2.85546875" style="52" customWidth="1"/>
    <col min="8193" max="8193" width="6.42578125" style="52" customWidth="1"/>
    <col min="8194" max="8194" width="3.85546875" style="52" customWidth="1"/>
    <col min="8195" max="8195" width="16.5703125" style="52" customWidth="1"/>
    <col min="8196" max="8196" width="3" style="52" customWidth="1"/>
    <col min="8197" max="8197" width="11.140625" style="52" customWidth="1"/>
    <col min="8198" max="8198" width="1.42578125" style="52" customWidth="1"/>
    <col min="8199" max="8199" width="3.42578125" style="52" customWidth="1"/>
    <col min="8200" max="8200" width="1.42578125" style="52" customWidth="1"/>
    <col min="8201" max="8201" width="12.5703125" style="52" customWidth="1"/>
    <col min="8202" max="8202" width="3.28515625" style="52" customWidth="1"/>
    <col min="8203" max="8203" width="12.85546875" style="52" customWidth="1"/>
    <col min="8204" max="8204" width="1.42578125" style="52" customWidth="1"/>
    <col min="8205" max="8205" width="3.5703125" style="52" customWidth="1"/>
    <col min="8206" max="8206" width="1.7109375" style="52" customWidth="1"/>
    <col min="8207" max="8207" width="14" style="52" customWidth="1"/>
    <col min="8208" max="8208" width="2.140625" style="52" customWidth="1"/>
    <col min="8209" max="8447" width="9.140625" style="52"/>
    <col min="8448" max="8448" width="2.85546875" style="52" customWidth="1"/>
    <col min="8449" max="8449" width="6.42578125" style="52" customWidth="1"/>
    <col min="8450" max="8450" width="3.85546875" style="52" customWidth="1"/>
    <col min="8451" max="8451" width="16.5703125" style="52" customWidth="1"/>
    <col min="8452" max="8452" width="3" style="52" customWidth="1"/>
    <col min="8453" max="8453" width="11.140625" style="52" customWidth="1"/>
    <col min="8454" max="8454" width="1.42578125" style="52" customWidth="1"/>
    <col min="8455" max="8455" width="3.42578125" style="52" customWidth="1"/>
    <col min="8456" max="8456" width="1.42578125" style="52" customWidth="1"/>
    <col min="8457" max="8457" width="12.5703125" style="52" customWidth="1"/>
    <col min="8458" max="8458" width="3.28515625" style="52" customWidth="1"/>
    <col min="8459" max="8459" width="12.85546875" style="52" customWidth="1"/>
    <col min="8460" max="8460" width="1.42578125" style="52" customWidth="1"/>
    <col min="8461" max="8461" width="3.5703125" style="52" customWidth="1"/>
    <col min="8462" max="8462" width="1.7109375" style="52" customWidth="1"/>
    <col min="8463" max="8463" width="14" style="52" customWidth="1"/>
    <col min="8464" max="8464" width="2.140625" style="52" customWidth="1"/>
    <col min="8465" max="8703" width="9.140625" style="52"/>
    <col min="8704" max="8704" width="2.85546875" style="52" customWidth="1"/>
    <col min="8705" max="8705" width="6.42578125" style="52" customWidth="1"/>
    <col min="8706" max="8706" width="3.85546875" style="52" customWidth="1"/>
    <col min="8707" max="8707" width="16.5703125" style="52" customWidth="1"/>
    <col min="8708" max="8708" width="3" style="52" customWidth="1"/>
    <col min="8709" max="8709" width="11.140625" style="52" customWidth="1"/>
    <col min="8710" max="8710" width="1.42578125" style="52" customWidth="1"/>
    <col min="8711" max="8711" width="3.42578125" style="52" customWidth="1"/>
    <col min="8712" max="8712" width="1.42578125" style="52" customWidth="1"/>
    <col min="8713" max="8713" width="12.5703125" style="52" customWidth="1"/>
    <col min="8714" max="8714" width="3.28515625" style="52" customWidth="1"/>
    <col min="8715" max="8715" width="12.85546875" style="52" customWidth="1"/>
    <col min="8716" max="8716" width="1.42578125" style="52" customWidth="1"/>
    <col min="8717" max="8717" width="3.5703125" style="52" customWidth="1"/>
    <col min="8718" max="8718" width="1.7109375" style="52" customWidth="1"/>
    <col min="8719" max="8719" width="14" style="52" customWidth="1"/>
    <col min="8720" max="8720" width="2.140625" style="52" customWidth="1"/>
    <col min="8721" max="8959" width="9.140625" style="52"/>
    <col min="8960" max="8960" width="2.85546875" style="52" customWidth="1"/>
    <col min="8961" max="8961" width="6.42578125" style="52" customWidth="1"/>
    <col min="8962" max="8962" width="3.85546875" style="52" customWidth="1"/>
    <col min="8963" max="8963" width="16.5703125" style="52" customWidth="1"/>
    <col min="8964" max="8964" width="3" style="52" customWidth="1"/>
    <col min="8965" max="8965" width="11.140625" style="52" customWidth="1"/>
    <col min="8966" max="8966" width="1.42578125" style="52" customWidth="1"/>
    <col min="8967" max="8967" width="3.42578125" style="52" customWidth="1"/>
    <col min="8968" max="8968" width="1.42578125" style="52" customWidth="1"/>
    <col min="8969" max="8969" width="12.5703125" style="52" customWidth="1"/>
    <col min="8970" max="8970" width="3.28515625" style="52" customWidth="1"/>
    <col min="8971" max="8971" width="12.85546875" style="52" customWidth="1"/>
    <col min="8972" max="8972" width="1.42578125" style="52" customWidth="1"/>
    <col min="8973" max="8973" width="3.5703125" style="52" customWidth="1"/>
    <col min="8974" max="8974" width="1.7109375" style="52" customWidth="1"/>
    <col min="8975" max="8975" width="14" style="52" customWidth="1"/>
    <col min="8976" max="8976" width="2.140625" style="52" customWidth="1"/>
    <col min="8977" max="9215" width="9.140625" style="52"/>
    <col min="9216" max="9216" width="2.85546875" style="52" customWidth="1"/>
    <col min="9217" max="9217" width="6.42578125" style="52" customWidth="1"/>
    <col min="9218" max="9218" width="3.85546875" style="52" customWidth="1"/>
    <col min="9219" max="9219" width="16.5703125" style="52" customWidth="1"/>
    <col min="9220" max="9220" width="3" style="52" customWidth="1"/>
    <col min="9221" max="9221" width="11.140625" style="52" customWidth="1"/>
    <col min="9222" max="9222" width="1.42578125" style="52" customWidth="1"/>
    <col min="9223" max="9223" width="3.42578125" style="52" customWidth="1"/>
    <col min="9224" max="9224" width="1.42578125" style="52" customWidth="1"/>
    <col min="9225" max="9225" width="12.5703125" style="52" customWidth="1"/>
    <col min="9226" max="9226" width="3.28515625" style="52" customWidth="1"/>
    <col min="9227" max="9227" width="12.85546875" style="52" customWidth="1"/>
    <col min="9228" max="9228" width="1.42578125" style="52" customWidth="1"/>
    <col min="9229" max="9229" width="3.5703125" style="52" customWidth="1"/>
    <col min="9230" max="9230" width="1.7109375" style="52" customWidth="1"/>
    <col min="9231" max="9231" width="14" style="52" customWidth="1"/>
    <col min="9232" max="9232" width="2.140625" style="52" customWidth="1"/>
    <col min="9233" max="9471" width="9.140625" style="52"/>
    <col min="9472" max="9472" width="2.85546875" style="52" customWidth="1"/>
    <col min="9473" max="9473" width="6.42578125" style="52" customWidth="1"/>
    <col min="9474" max="9474" width="3.85546875" style="52" customWidth="1"/>
    <col min="9475" max="9475" width="16.5703125" style="52" customWidth="1"/>
    <col min="9476" max="9476" width="3" style="52" customWidth="1"/>
    <col min="9477" max="9477" width="11.140625" style="52" customWidth="1"/>
    <col min="9478" max="9478" width="1.42578125" style="52" customWidth="1"/>
    <col min="9479" max="9479" width="3.42578125" style="52" customWidth="1"/>
    <col min="9480" max="9480" width="1.42578125" style="52" customWidth="1"/>
    <col min="9481" max="9481" width="12.5703125" style="52" customWidth="1"/>
    <col min="9482" max="9482" width="3.28515625" style="52" customWidth="1"/>
    <col min="9483" max="9483" width="12.85546875" style="52" customWidth="1"/>
    <col min="9484" max="9484" width="1.42578125" style="52" customWidth="1"/>
    <col min="9485" max="9485" width="3.5703125" style="52" customWidth="1"/>
    <col min="9486" max="9486" width="1.7109375" style="52" customWidth="1"/>
    <col min="9487" max="9487" width="14" style="52" customWidth="1"/>
    <col min="9488" max="9488" width="2.140625" style="52" customWidth="1"/>
    <col min="9489" max="9727" width="9.140625" style="52"/>
    <col min="9728" max="9728" width="2.85546875" style="52" customWidth="1"/>
    <col min="9729" max="9729" width="6.42578125" style="52" customWidth="1"/>
    <col min="9730" max="9730" width="3.85546875" style="52" customWidth="1"/>
    <col min="9731" max="9731" width="16.5703125" style="52" customWidth="1"/>
    <col min="9732" max="9732" width="3" style="52" customWidth="1"/>
    <col min="9733" max="9733" width="11.140625" style="52" customWidth="1"/>
    <col min="9734" max="9734" width="1.42578125" style="52" customWidth="1"/>
    <col min="9735" max="9735" width="3.42578125" style="52" customWidth="1"/>
    <col min="9736" max="9736" width="1.42578125" style="52" customWidth="1"/>
    <col min="9737" max="9737" width="12.5703125" style="52" customWidth="1"/>
    <col min="9738" max="9738" width="3.28515625" style="52" customWidth="1"/>
    <col min="9739" max="9739" width="12.85546875" style="52" customWidth="1"/>
    <col min="9740" max="9740" width="1.42578125" style="52" customWidth="1"/>
    <col min="9741" max="9741" width="3.5703125" style="52" customWidth="1"/>
    <col min="9742" max="9742" width="1.7109375" style="52" customWidth="1"/>
    <col min="9743" max="9743" width="14" style="52" customWidth="1"/>
    <col min="9744" max="9744" width="2.140625" style="52" customWidth="1"/>
    <col min="9745" max="9983" width="9.140625" style="52"/>
    <col min="9984" max="9984" width="2.85546875" style="52" customWidth="1"/>
    <col min="9985" max="9985" width="6.42578125" style="52" customWidth="1"/>
    <col min="9986" max="9986" width="3.85546875" style="52" customWidth="1"/>
    <col min="9987" max="9987" width="16.5703125" style="52" customWidth="1"/>
    <col min="9988" max="9988" width="3" style="52" customWidth="1"/>
    <col min="9989" max="9989" width="11.140625" style="52" customWidth="1"/>
    <col min="9990" max="9990" width="1.42578125" style="52" customWidth="1"/>
    <col min="9991" max="9991" width="3.42578125" style="52" customWidth="1"/>
    <col min="9992" max="9992" width="1.42578125" style="52" customWidth="1"/>
    <col min="9993" max="9993" width="12.5703125" style="52" customWidth="1"/>
    <col min="9994" max="9994" width="3.28515625" style="52" customWidth="1"/>
    <col min="9995" max="9995" width="12.85546875" style="52" customWidth="1"/>
    <col min="9996" max="9996" width="1.42578125" style="52" customWidth="1"/>
    <col min="9997" max="9997" width="3.5703125" style="52" customWidth="1"/>
    <col min="9998" max="9998" width="1.7109375" style="52" customWidth="1"/>
    <col min="9999" max="9999" width="14" style="52" customWidth="1"/>
    <col min="10000" max="10000" width="2.140625" style="52" customWidth="1"/>
    <col min="10001" max="10239" width="9.140625" style="52"/>
    <col min="10240" max="10240" width="2.85546875" style="52" customWidth="1"/>
    <col min="10241" max="10241" width="6.42578125" style="52" customWidth="1"/>
    <col min="10242" max="10242" width="3.85546875" style="52" customWidth="1"/>
    <col min="10243" max="10243" width="16.5703125" style="52" customWidth="1"/>
    <col min="10244" max="10244" width="3" style="52" customWidth="1"/>
    <col min="10245" max="10245" width="11.140625" style="52" customWidth="1"/>
    <col min="10246" max="10246" width="1.42578125" style="52" customWidth="1"/>
    <col min="10247" max="10247" width="3.42578125" style="52" customWidth="1"/>
    <col min="10248" max="10248" width="1.42578125" style="52" customWidth="1"/>
    <col min="10249" max="10249" width="12.5703125" style="52" customWidth="1"/>
    <col min="10250" max="10250" width="3.28515625" style="52" customWidth="1"/>
    <col min="10251" max="10251" width="12.85546875" style="52" customWidth="1"/>
    <col min="10252" max="10252" width="1.42578125" style="52" customWidth="1"/>
    <col min="10253" max="10253" width="3.5703125" style="52" customWidth="1"/>
    <col min="10254" max="10254" width="1.7109375" style="52" customWidth="1"/>
    <col min="10255" max="10255" width="14" style="52" customWidth="1"/>
    <col min="10256" max="10256" width="2.140625" style="52" customWidth="1"/>
    <col min="10257" max="10495" width="9.140625" style="52"/>
    <col min="10496" max="10496" width="2.85546875" style="52" customWidth="1"/>
    <col min="10497" max="10497" width="6.42578125" style="52" customWidth="1"/>
    <col min="10498" max="10498" width="3.85546875" style="52" customWidth="1"/>
    <col min="10499" max="10499" width="16.5703125" style="52" customWidth="1"/>
    <col min="10500" max="10500" width="3" style="52" customWidth="1"/>
    <col min="10501" max="10501" width="11.140625" style="52" customWidth="1"/>
    <col min="10502" max="10502" width="1.42578125" style="52" customWidth="1"/>
    <col min="10503" max="10503" width="3.42578125" style="52" customWidth="1"/>
    <col min="10504" max="10504" width="1.42578125" style="52" customWidth="1"/>
    <col min="10505" max="10505" width="12.5703125" style="52" customWidth="1"/>
    <col min="10506" max="10506" width="3.28515625" style="52" customWidth="1"/>
    <col min="10507" max="10507" width="12.85546875" style="52" customWidth="1"/>
    <col min="10508" max="10508" width="1.42578125" style="52" customWidth="1"/>
    <col min="10509" max="10509" width="3.5703125" style="52" customWidth="1"/>
    <col min="10510" max="10510" width="1.7109375" style="52" customWidth="1"/>
    <col min="10511" max="10511" width="14" style="52" customWidth="1"/>
    <col min="10512" max="10512" width="2.140625" style="52" customWidth="1"/>
    <col min="10513" max="10751" width="9.140625" style="52"/>
    <col min="10752" max="10752" width="2.85546875" style="52" customWidth="1"/>
    <col min="10753" max="10753" width="6.42578125" style="52" customWidth="1"/>
    <col min="10754" max="10754" width="3.85546875" style="52" customWidth="1"/>
    <col min="10755" max="10755" width="16.5703125" style="52" customWidth="1"/>
    <col min="10756" max="10756" width="3" style="52" customWidth="1"/>
    <col min="10757" max="10757" width="11.140625" style="52" customWidth="1"/>
    <col min="10758" max="10758" width="1.42578125" style="52" customWidth="1"/>
    <col min="10759" max="10759" width="3.42578125" style="52" customWidth="1"/>
    <col min="10760" max="10760" width="1.42578125" style="52" customWidth="1"/>
    <col min="10761" max="10761" width="12.5703125" style="52" customWidth="1"/>
    <col min="10762" max="10762" width="3.28515625" style="52" customWidth="1"/>
    <col min="10763" max="10763" width="12.85546875" style="52" customWidth="1"/>
    <col min="10764" max="10764" width="1.42578125" style="52" customWidth="1"/>
    <col min="10765" max="10765" width="3.5703125" style="52" customWidth="1"/>
    <col min="10766" max="10766" width="1.7109375" style="52" customWidth="1"/>
    <col min="10767" max="10767" width="14" style="52" customWidth="1"/>
    <col min="10768" max="10768" width="2.140625" style="52" customWidth="1"/>
    <col min="10769" max="11007" width="9.140625" style="52"/>
    <col min="11008" max="11008" width="2.85546875" style="52" customWidth="1"/>
    <col min="11009" max="11009" width="6.42578125" style="52" customWidth="1"/>
    <col min="11010" max="11010" width="3.85546875" style="52" customWidth="1"/>
    <col min="11011" max="11011" width="16.5703125" style="52" customWidth="1"/>
    <col min="11012" max="11012" width="3" style="52" customWidth="1"/>
    <col min="11013" max="11013" width="11.140625" style="52" customWidth="1"/>
    <col min="11014" max="11014" width="1.42578125" style="52" customWidth="1"/>
    <col min="11015" max="11015" width="3.42578125" style="52" customWidth="1"/>
    <col min="11016" max="11016" width="1.42578125" style="52" customWidth="1"/>
    <col min="11017" max="11017" width="12.5703125" style="52" customWidth="1"/>
    <col min="11018" max="11018" width="3.28515625" style="52" customWidth="1"/>
    <col min="11019" max="11019" width="12.85546875" style="52" customWidth="1"/>
    <col min="11020" max="11020" width="1.42578125" style="52" customWidth="1"/>
    <col min="11021" max="11021" width="3.5703125" style="52" customWidth="1"/>
    <col min="11022" max="11022" width="1.7109375" style="52" customWidth="1"/>
    <col min="11023" max="11023" width="14" style="52" customWidth="1"/>
    <col min="11024" max="11024" width="2.140625" style="52" customWidth="1"/>
    <col min="11025" max="11263" width="9.140625" style="52"/>
    <col min="11264" max="11264" width="2.85546875" style="52" customWidth="1"/>
    <col min="11265" max="11265" width="6.42578125" style="52" customWidth="1"/>
    <col min="11266" max="11266" width="3.85546875" style="52" customWidth="1"/>
    <col min="11267" max="11267" width="16.5703125" style="52" customWidth="1"/>
    <col min="11268" max="11268" width="3" style="52" customWidth="1"/>
    <col min="11269" max="11269" width="11.140625" style="52" customWidth="1"/>
    <col min="11270" max="11270" width="1.42578125" style="52" customWidth="1"/>
    <col min="11271" max="11271" width="3.42578125" style="52" customWidth="1"/>
    <col min="11272" max="11272" width="1.42578125" style="52" customWidth="1"/>
    <col min="11273" max="11273" width="12.5703125" style="52" customWidth="1"/>
    <col min="11274" max="11274" width="3.28515625" style="52" customWidth="1"/>
    <col min="11275" max="11275" width="12.85546875" style="52" customWidth="1"/>
    <col min="11276" max="11276" width="1.42578125" style="52" customWidth="1"/>
    <col min="11277" max="11277" width="3.5703125" style="52" customWidth="1"/>
    <col min="11278" max="11278" width="1.7109375" style="52" customWidth="1"/>
    <col min="11279" max="11279" width="14" style="52" customWidth="1"/>
    <col min="11280" max="11280" width="2.140625" style="52" customWidth="1"/>
    <col min="11281" max="11519" width="9.140625" style="52"/>
    <col min="11520" max="11520" width="2.85546875" style="52" customWidth="1"/>
    <col min="11521" max="11521" width="6.42578125" style="52" customWidth="1"/>
    <col min="11522" max="11522" width="3.85546875" style="52" customWidth="1"/>
    <col min="11523" max="11523" width="16.5703125" style="52" customWidth="1"/>
    <col min="11524" max="11524" width="3" style="52" customWidth="1"/>
    <col min="11525" max="11525" width="11.140625" style="52" customWidth="1"/>
    <col min="11526" max="11526" width="1.42578125" style="52" customWidth="1"/>
    <col min="11527" max="11527" width="3.42578125" style="52" customWidth="1"/>
    <col min="11528" max="11528" width="1.42578125" style="52" customWidth="1"/>
    <col min="11529" max="11529" width="12.5703125" style="52" customWidth="1"/>
    <col min="11530" max="11530" width="3.28515625" style="52" customWidth="1"/>
    <col min="11531" max="11531" width="12.85546875" style="52" customWidth="1"/>
    <col min="11532" max="11532" width="1.42578125" style="52" customWidth="1"/>
    <col min="11533" max="11533" width="3.5703125" style="52" customWidth="1"/>
    <col min="11534" max="11534" width="1.7109375" style="52" customWidth="1"/>
    <col min="11535" max="11535" width="14" style="52" customWidth="1"/>
    <col min="11536" max="11536" width="2.140625" style="52" customWidth="1"/>
    <col min="11537" max="11775" width="9.140625" style="52"/>
    <col min="11776" max="11776" width="2.85546875" style="52" customWidth="1"/>
    <col min="11777" max="11777" width="6.42578125" style="52" customWidth="1"/>
    <col min="11778" max="11778" width="3.85546875" style="52" customWidth="1"/>
    <col min="11779" max="11779" width="16.5703125" style="52" customWidth="1"/>
    <col min="11780" max="11780" width="3" style="52" customWidth="1"/>
    <col min="11781" max="11781" width="11.140625" style="52" customWidth="1"/>
    <col min="11782" max="11782" width="1.42578125" style="52" customWidth="1"/>
    <col min="11783" max="11783" width="3.42578125" style="52" customWidth="1"/>
    <col min="11784" max="11784" width="1.42578125" style="52" customWidth="1"/>
    <col min="11785" max="11785" width="12.5703125" style="52" customWidth="1"/>
    <col min="11786" max="11786" width="3.28515625" style="52" customWidth="1"/>
    <col min="11787" max="11787" width="12.85546875" style="52" customWidth="1"/>
    <col min="11788" max="11788" width="1.42578125" style="52" customWidth="1"/>
    <col min="11789" max="11789" width="3.5703125" style="52" customWidth="1"/>
    <col min="11790" max="11790" width="1.7109375" style="52" customWidth="1"/>
    <col min="11791" max="11791" width="14" style="52" customWidth="1"/>
    <col min="11792" max="11792" width="2.140625" style="52" customWidth="1"/>
    <col min="11793" max="12031" width="9.140625" style="52"/>
    <col min="12032" max="12032" width="2.85546875" style="52" customWidth="1"/>
    <col min="12033" max="12033" width="6.42578125" style="52" customWidth="1"/>
    <col min="12034" max="12034" width="3.85546875" style="52" customWidth="1"/>
    <col min="12035" max="12035" width="16.5703125" style="52" customWidth="1"/>
    <col min="12036" max="12036" width="3" style="52" customWidth="1"/>
    <col min="12037" max="12037" width="11.140625" style="52" customWidth="1"/>
    <col min="12038" max="12038" width="1.42578125" style="52" customWidth="1"/>
    <col min="12039" max="12039" width="3.42578125" style="52" customWidth="1"/>
    <col min="12040" max="12040" width="1.42578125" style="52" customWidth="1"/>
    <col min="12041" max="12041" width="12.5703125" style="52" customWidth="1"/>
    <col min="12042" max="12042" width="3.28515625" style="52" customWidth="1"/>
    <col min="12043" max="12043" width="12.85546875" style="52" customWidth="1"/>
    <col min="12044" max="12044" width="1.42578125" style="52" customWidth="1"/>
    <col min="12045" max="12045" width="3.5703125" style="52" customWidth="1"/>
    <col min="12046" max="12046" width="1.7109375" style="52" customWidth="1"/>
    <col min="12047" max="12047" width="14" style="52" customWidth="1"/>
    <col min="12048" max="12048" width="2.140625" style="52" customWidth="1"/>
    <col min="12049" max="12287" width="9.140625" style="52"/>
    <col min="12288" max="12288" width="2.85546875" style="52" customWidth="1"/>
    <col min="12289" max="12289" width="6.42578125" style="52" customWidth="1"/>
    <col min="12290" max="12290" width="3.85546875" style="52" customWidth="1"/>
    <col min="12291" max="12291" width="16.5703125" style="52" customWidth="1"/>
    <col min="12292" max="12292" width="3" style="52" customWidth="1"/>
    <col min="12293" max="12293" width="11.140625" style="52" customWidth="1"/>
    <col min="12294" max="12294" width="1.42578125" style="52" customWidth="1"/>
    <col min="12295" max="12295" width="3.42578125" style="52" customWidth="1"/>
    <col min="12296" max="12296" width="1.42578125" style="52" customWidth="1"/>
    <col min="12297" max="12297" width="12.5703125" style="52" customWidth="1"/>
    <col min="12298" max="12298" width="3.28515625" style="52" customWidth="1"/>
    <col min="12299" max="12299" width="12.85546875" style="52" customWidth="1"/>
    <col min="12300" max="12300" width="1.42578125" style="52" customWidth="1"/>
    <col min="12301" max="12301" width="3.5703125" style="52" customWidth="1"/>
    <col min="12302" max="12302" width="1.7109375" style="52" customWidth="1"/>
    <col min="12303" max="12303" width="14" style="52" customWidth="1"/>
    <col min="12304" max="12304" width="2.140625" style="52" customWidth="1"/>
    <col min="12305" max="12543" width="9.140625" style="52"/>
    <col min="12544" max="12544" width="2.85546875" style="52" customWidth="1"/>
    <col min="12545" max="12545" width="6.42578125" style="52" customWidth="1"/>
    <col min="12546" max="12546" width="3.85546875" style="52" customWidth="1"/>
    <col min="12547" max="12547" width="16.5703125" style="52" customWidth="1"/>
    <col min="12548" max="12548" width="3" style="52" customWidth="1"/>
    <col min="12549" max="12549" width="11.140625" style="52" customWidth="1"/>
    <col min="12550" max="12550" width="1.42578125" style="52" customWidth="1"/>
    <col min="12551" max="12551" width="3.42578125" style="52" customWidth="1"/>
    <col min="12552" max="12552" width="1.42578125" style="52" customWidth="1"/>
    <col min="12553" max="12553" width="12.5703125" style="52" customWidth="1"/>
    <col min="12554" max="12554" width="3.28515625" style="52" customWidth="1"/>
    <col min="12555" max="12555" width="12.85546875" style="52" customWidth="1"/>
    <col min="12556" max="12556" width="1.42578125" style="52" customWidth="1"/>
    <col min="12557" max="12557" width="3.5703125" style="52" customWidth="1"/>
    <col min="12558" max="12558" width="1.7109375" style="52" customWidth="1"/>
    <col min="12559" max="12559" width="14" style="52" customWidth="1"/>
    <col min="12560" max="12560" width="2.140625" style="52" customWidth="1"/>
    <col min="12561" max="12799" width="9.140625" style="52"/>
    <col min="12800" max="12800" width="2.85546875" style="52" customWidth="1"/>
    <col min="12801" max="12801" width="6.42578125" style="52" customWidth="1"/>
    <col min="12802" max="12802" width="3.85546875" style="52" customWidth="1"/>
    <col min="12803" max="12803" width="16.5703125" style="52" customWidth="1"/>
    <col min="12804" max="12804" width="3" style="52" customWidth="1"/>
    <col min="12805" max="12805" width="11.140625" style="52" customWidth="1"/>
    <col min="12806" max="12806" width="1.42578125" style="52" customWidth="1"/>
    <col min="12807" max="12807" width="3.42578125" style="52" customWidth="1"/>
    <col min="12808" max="12808" width="1.42578125" style="52" customWidth="1"/>
    <col min="12809" max="12809" width="12.5703125" style="52" customWidth="1"/>
    <col min="12810" max="12810" width="3.28515625" style="52" customWidth="1"/>
    <col min="12811" max="12811" width="12.85546875" style="52" customWidth="1"/>
    <col min="12812" max="12812" width="1.42578125" style="52" customWidth="1"/>
    <col min="12813" max="12813" width="3.5703125" style="52" customWidth="1"/>
    <col min="12814" max="12814" width="1.7109375" style="52" customWidth="1"/>
    <col min="12815" max="12815" width="14" style="52" customWidth="1"/>
    <col min="12816" max="12816" width="2.140625" style="52" customWidth="1"/>
    <col min="12817" max="13055" width="9.140625" style="52"/>
    <col min="13056" max="13056" width="2.85546875" style="52" customWidth="1"/>
    <col min="13057" max="13057" width="6.42578125" style="52" customWidth="1"/>
    <col min="13058" max="13058" width="3.85546875" style="52" customWidth="1"/>
    <col min="13059" max="13059" width="16.5703125" style="52" customWidth="1"/>
    <col min="13060" max="13060" width="3" style="52" customWidth="1"/>
    <col min="13061" max="13061" width="11.140625" style="52" customWidth="1"/>
    <col min="13062" max="13062" width="1.42578125" style="52" customWidth="1"/>
    <col min="13063" max="13063" width="3.42578125" style="52" customWidth="1"/>
    <col min="13064" max="13064" width="1.42578125" style="52" customWidth="1"/>
    <col min="13065" max="13065" width="12.5703125" style="52" customWidth="1"/>
    <col min="13066" max="13066" width="3.28515625" style="52" customWidth="1"/>
    <col min="13067" max="13067" width="12.85546875" style="52" customWidth="1"/>
    <col min="13068" max="13068" width="1.42578125" style="52" customWidth="1"/>
    <col min="13069" max="13069" width="3.5703125" style="52" customWidth="1"/>
    <col min="13070" max="13070" width="1.7109375" style="52" customWidth="1"/>
    <col min="13071" max="13071" width="14" style="52" customWidth="1"/>
    <col min="13072" max="13072" width="2.140625" style="52" customWidth="1"/>
    <col min="13073" max="13311" width="9.140625" style="52"/>
    <col min="13312" max="13312" width="2.85546875" style="52" customWidth="1"/>
    <col min="13313" max="13313" width="6.42578125" style="52" customWidth="1"/>
    <col min="13314" max="13314" width="3.85546875" style="52" customWidth="1"/>
    <col min="13315" max="13315" width="16.5703125" style="52" customWidth="1"/>
    <col min="13316" max="13316" width="3" style="52" customWidth="1"/>
    <col min="13317" max="13317" width="11.140625" style="52" customWidth="1"/>
    <col min="13318" max="13318" width="1.42578125" style="52" customWidth="1"/>
    <col min="13319" max="13319" width="3.42578125" style="52" customWidth="1"/>
    <col min="13320" max="13320" width="1.42578125" style="52" customWidth="1"/>
    <col min="13321" max="13321" width="12.5703125" style="52" customWidth="1"/>
    <col min="13322" max="13322" width="3.28515625" style="52" customWidth="1"/>
    <col min="13323" max="13323" width="12.85546875" style="52" customWidth="1"/>
    <col min="13324" max="13324" width="1.42578125" style="52" customWidth="1"/>
    <col min="13325" max="13325" width="3.5703125" style="52" customWidth="1"/>
    <col min="13326" max="13326" width="1.7109375" style="52" customWidth="1"/>
    <col min="13327" max="13327" width="14" style="52" customWidth="1"/>
    <col min="13328" max="13328" width="2.140625" style="52" customWidth="1"/>
    <col min="13329" max="13567" width="9.140625" style="52"/>
    <col min="13568" max="13568" width="2.85546875" style="52" customWidth="1"/>
    <col min="13569" max="13569" width="6.42578125" style="52" customWidth="1"/>
    <col min="13570" max="13570" width="3.85546875" style="52" customWidth="1"/>
    <col min="13571" max="13571" width="16.5703125" style="52" customWidth="1"/>
    <col min="13572" max="13572" width="3" style="52" customWidth="1"/>
    <col min="13573" max="13573" width="11.140625" style="52" customWidth="1"/>
    <col min="13574" max="13574" width="1.42578125" style="52" customWidth="1"/>
    <col min="13575" max="13575" width="3.42578125" style="52" customWidth="1"/>
    <col min="13576" max="13576" width="1.42578125" style="52" customWidth="1"/>
    <col min="13577" max="13577" width="12.5703125" style="52" customWidth="1"/>
    <col min="13578" max="13578" width="3.28515625" style="52" customWidth="1"/>
    <col min="13579" max="13579" width="12.85546875" style="52" customWidth="1"/>
    <col min="13580" max="13580" width="1.42578125" style="52" customWidth="1"/>
    <col min="13581" max="13581" width="3.5703125" style="52" customWidth="1"/>
    <col min="13582" max="13582" width="1.7109375" style="52" customWidth="1"/>
    <col min="13583" max="13583" width="14" style="52" customWidth="1"/>
    <col min="13584" max="13584" width="2.140625" style="52" customWidth="1"/>
    <col min="13585" max="13823" width="9.140625" style="52"/>
    <col min="13824" max="13824" width="2.85546875" style="52" customWidth="1"/>
    <col min="13825" max="13825" width="6.42578125" style="52" customWidth="1"/>
    <col min="13826" max="13826" width="3.85546875" style="52" customWidth="1"/>
    <col min="13827" max="13827" width="16.5703125" style="52" customWidth="1"/>
    <col min="13828" max="13828" width="3" style="52" customWidth="1"/>
    <col min="13829" max="13829" width="11.140625" style="52" customWidth="1"/>
    <col min="13830" max="13830" width="1.42578125" style="52" customWidth="1"/>
    <col min="13831" max="13831" width="3.42578125" style="52" customWidth="1"/>
    <col min="13832" max="13832" width="1.42578125" style="52" customWidth="1"/>
    <col min="13833" max="13833" width="12.5703125" style="52" customWidth="1"/>
    <col min="13834" max="13834" width="3.28515625" style="52" customWidth="1"/>
    <col min="13835" max="13835" width="12.85546875" style="52" customWidth="1"/>
    <col min="13836" max="13836" width="1.42578125" style="52" customWidth="1"/>
    <col min="13837" max="13837" width="3.5703125" style="52" customWidth="1"/>
    <col min="13838" max="13838" width="1.7109375" style="52" customWidth="1"/>
    <col min="13839" max="13839" width="14" style="52" customWidth="1"/>
    <col min="13840" max="13840" width="2.140625" style="52" customWidth="1"/>
    <col min="13841" max="14079" width="9.140625" style="52"/>
    <col min="14080" max="14080" width="2.85546875" style="52" customWidth="1"/>
    <col min="14081" max="14081" width="6.42578125" style="52" customWidth="1"/>
    <col min="14082" max="14082" width="3.85546875" style="52" customWidth="1"/>
    <col min="14083" max="14083" width="16.5703125" style="52" customWidth="1"/>
    <col min="14084" max="14084" width="3" style="52" customWidth="1"/>
    <col min="14085" max="14085" width="11.140625" style="52" customWidth="1"/>
    <col min="14086" max="14086" width="1.42578125" style="52" customWidth="1"/>
    <col min="14087" max="14087" width="3.42578125" style="52" customWidth="1"/>
    <col min="14088" max="14088" width="1.42578125" style="52" customWidth="1"/>
    <col min="14089" max="14089" width="12.5703125" style="52" customWidth="1"/>
    <col min="14090" max="14090" width="3.28515625" style="52" customWidth="1"/>
    <col min="14091" max="14091" width="12.85546875" style="52" customWidth="1"/>
    <col min="14092" max="14092" width="1.42578125" style="52" customWidth="1"/>
    <col min="14093" max="14093" width="3.5703125" style="52" customWidth="1"/>
    <col min="14094" max="14094" width="1.7109375" style="52" customWidth="1"/>
    <col min="14095" max="14095" width="14" style="52" customWidth="1"/>
    <col min="14096" max="14096" width="2.140625" style="52" customWidth="1"/>
    <col min="14097" max="14335" width="9.140625" style="52"/>
    <col min="14336" max="14336" width="2.85546875" style="52" customWidth="1"/>
    <col min="14337" max="14337" width="6.42578125" style="52" customWidth="1"/>
    <col min="14338" max="14338" width="3.85546875" style="52" customWidth="1"/>
    <col min="14339" max="14339" width="16.5703125" style="52" customWidth="1"/>
    <col min="14340" max="14340" width="3" style="52" customWidth="1"/>
    <col min="14341" max="14341" width="11.140625" style="52" customWidth="1"/>
    <col min="14342" max="14342" width="1.42578125" style="52" customWidth="1"/>
    <col min="14343" max="14343" width="3.42578125" style="52" customWidth="1"/>
    <col min="14344" max="14344" width="1.42578125" style="52" customWidth="1"/>
    <col min="14345" max="14345" width="12.5703125" style="52" customWidth="1"/>
    <col min="14346" max="14346" width="3.28515625" style="52" customWidth="1"/>
    <col min="14347" max="14347" width="12.85546875" style="52" customWidth="1"/>
    <col min="14348" max="14348" width="1.42578125" style="52" customWidth="1"/>
    <col min="14349" max="14349" width="3.5703125" style="52" customWidth="1"/>
    <col min="14350" max="14350" width="1.7109375" style="52" customWidth="1"/>
    <col min="14351" max="14351" width="14" style="52" customWidth="1"/>
    <col min="14352" max="14352" width="2.140625" style="52" customWidth="1"/>
    <col min="14353" max="14591" width="9.140625" style="52"/>
    <col min="14592" max="14592" width="2.85546875" style="52" customWidth="1"/>
    <col min="14593" max="14593" width="6.42578125" style="52" customWidth="1"/>
    <col min="14594" max="14594" width="3.85546875" style="52" customWidth="1"/>
    <col min="14595" max="14595" width="16.5703125" style="52" customWidth="1"/>
    <col min="14596" max="14596" width="3" style="52" customWidth="1"/>
    <col min="14597" max="14597" width="11.140625" style="52" customWidth="1"/>
    <col min="14598" max="14598" width="1.42578125" style="52" customWidth="1"/>
    <col min="14599" max="14599" width="3.42578125" style="52" customWidth="1"/>
    <col min="14600" max="14600" width="1.42578125" style="52" customWidth="1"/>
    <col min="14601" max="14601" width="12.5703125" style="52" customWidth="1"/>
    <col min="14602" max="14602" width="3.28515625" style="52" customWidth="1"/>
    <col min="14603" max="14603" width="12.85546875" style="52" customWidth="1"/>
    <col min="14604" max="14604" width="1.42578125" style="52" customWidth="1"/>
    <col min="14605" max="14605" width="3.5703125" style="52" customWidth="1"/>
    <col min="14606" max="14606" width="1.7109375" style="52" customWidth="1"/>
    <col min="14607" max="14607" width="14" style="52" customWidth="1"/>
    <col min="14608" max="14608" width="2.140625" style="52" customWidth="1"/>
    <col min="14609" max="14847" width="9.140625" style="52"/>
    <col min="14848" max="14848" width="2.85546875" style="52" customWidth="1"/>
    <col min="14849" max="14849" width="6.42578125" style="52" customWidth="1"/>
    <col min="14850" max="14850" width="3.85546875" style="52" customWidth="1"/>
    <col min="14851" max="14851" width="16.5703125" style="52" customWidth="1"/>
    <col min="14852" max="14852" width="3" style="52" customWidth="1"/>
    <col min="14853" max="14853" width="11.140625" style="52" customWidth="1"/>
    <col min="14854" max="14854" width="1.42578125" style="52" customWidth="1"/>
    <col min="14855" max="14855" width="3.42578125" style="52" customWidth="1"/>
    <col min="14856" max="14856" width="1.42578125" style="52" customWidth="1"/>
    <col min="14857" max="14857" width="12.5703125" style="52" customWidth="1"/>
    <col min="14858" max="14858" width="3.28515625" style="52" customWidth="1"/>
    <col min="14859" max="14859" width="12.85546875" style="52" customWidth="1"/>
    <col min="14860" max="14860" width="1.42578125" style="52" customWidth="1"/>
    <col min="14861" max="14861" width="3.5703125" style="52" customWidth="1"/>
    <col min="14862" max="14862" width="1.7109375" style="52" customWidth="1"/>
    <col min="14863" max="14863" width="14" style="52" customWidth="1"/>
    <col min="14864" max="14864" width="2.140625" style="52" customWidth="1"/>
    <col min="14865" max="15103" width="9.140625" style="52"/>
    <col min="15104" max="15104" width="2.85546875" style="52" customWidth="1"/>
    <col min="15105" max="15105" width="6.42578125" style="52" customWidth="1"/>
    <col min="15106" max="15106" width="3.85546875" style="52" customWidth="1"/>
    <col min="15107" max="15107" width="16.5703125" style="52" customWidth="1"/>
    <col min="15108" max="15108" width="3" style="52" customWidth="1"/>
    <col min="15109" max="15109" width="11.140625" style="52" customWidth="1"/>
    <col min="15110" max="15110" width="1.42578125" style="52" customWidth="1"/>
    <col min="15111" max="15111" width="3.42578125" style="52" customWidth="1"/>
    <col min="15112" max="15112" width="1.42578125" style="52" customWidth="1"/>
    <col min="15113" max="15113" width="12.5703125" style="52" customWidth="1"/>
    <col min="15114" max="15114" width="3.28515625" style="52" customWidth="1"/>
    <col min="15115" max="15115" width="12.85546875" style="52" customWidth="1"/>
    <col min="15116" max="15116" width="1.42578125" style="52" customWidth="1"/>
    <col min="15117" max="15117" width="3.5703125" style="52" customWidth="1"/>
    <col min="15118" max="15118" width="1.7109375" style="52" customWidth="1"/>
    <col min="15119" max="15119" width="14" style="52" customWidth="1"/>
    <col min="15120" max="15120" width="2.140625" style="52" customWidth="1"/>
    <col min="15121" max="15359" width="9.140625" style="52"/>
    <col min="15360" max="15360" width="2.85546875" style="52" customWidth="1"/>
    <col min="15361" max="15361" width="6.42578125" style="52" customWidth="1"/>
    <col min="15362" max="15362" width="3.85546875" style="52" customWidth="1"/>
    <col min="15363" max="15363" width="16.5703125" style="52" customWidth="1"/>
    <col min="15364" max="15364" width="3" style="52" customWidth="1"/>
    <col min="15365" max="15365" width="11.140625" style="52" customWidth="1"/>
    <col min="15366" max="15366" width="1.42578125" style="52" customWidth="1"/>
    <col min="15367" max="15367" width="3.42578125" style="52" customWidth="1"/>
    <col min="15368" max="15368" width="1.42578125" style="52" customWidth="1"/>
    <col min="15369" max="15369" width="12.5703125" style="52" customWidth="1"/>
    <col min="15370" max="15370" width="3.28515625" style="52" customWidth="1"/>
    <col min="15371" max="15371" width="12.85546875" style="52" customWidth="1"/>
    <col min="15372" max="15372" width="1.42578125" style="52" customWidth="1"/>
    <col min="15373" max="15373" width="3.5703125" style="52" customWidth="1"/>
    <col min="15374" max="15374" width="1.7109375" style="52" customWidth="1"/>
    <col min="15375" max="15375" width="14" style="52" customWidth="1"/>
    <col min="15376" max="15376" width="2.140625" style="52" customWidth="1"/>
    <col min="15377" max="15615" width="9.140625" style="52"/>
    <col min="15616" max="15616" width="2.85546875" style="52" customWidth="1"/>
    <col min="15617" max="15617" width="6.42578125" style="52" customWidth="1"/>
    <col min="15618" max="15618" width="3.85546875" style="52" customWidth="1"/>
    <col min="15619" max="15619" width="16.5703125" style="52" customWidth="1"/>
    <col min="15620" max="15620" width="3" style="52" customWidth="1"/>
    <col min="15621" max="15621" width="11.140625" style="52" customWidth="1"/>
    <col min="15622" max="15622" width="1.42578125" style="52" customWidth="1"/>
    <col min="15623" max="15623" width="3.42578125" style="52" customWidth="1"/>
    <col min="15624" max="15624" width="1.42578125" style="52" customWidth="1"/>
    <col min="15625" max="15625" width="12.5703125" style="52" customWidth="1"/>
    <col min="15626" max="15626" width="3.28515625" style="52" customWidth="1"/>
    <col min="15627" max="15627" width="12.85546875" style="52" customWidth="1"/>
    <col min="15628" max="15628" width="1.42578125" style="52" customWidth="1"/>
    <col min="15629" max="15629" width="3.5703125" style="52" customWidth="1"/>
    <col min="15630" max="15630" width="1.7109375" style="52" customWidth="1"/>
    <col min="15631" max="15631" width="14" style="52" customWidth="1"/>
    <col min="15632" max="15632" width="2.140625" style="52" customWidth="1"/>
    <col min="15633" max="15871" width="9.140625" style="52"/>
    <col min="15872" max="15872" width="2.85546875" style="52" customWidth="1"/>
    <col min="15873" max="15873" width="6.42578125" style="52" customWidth="1"/>
    <col min="15874" max="15874" width="3.85546875" style="52" customWidth="1"/>
    <col min="15875" max="15875" width="16.5703125" style="52" customWidth="1"/>
    <col min="15876" max="15876" width="3" style="52" customWidth="1"/>
    <col min="15877" max="15877" width="11.140625" style="52" customWidth="1"/>
    <col min="15878" max="15878" width="1.42578125" style="52" customWidth="1"/>
    <col min="15879" max="15879" width="3.42578125" style="52" customWidth="1"/>
    <col min="15880" max="15880" width="1.42578125" style="52" customWidth="1"/>
    <col min="15881" max="15881" width="12.5703125" style="52" customWidth="1"/>
    <col min="15882" max="15882" width="3.28515625" style="52" customWidth="1"/>
    <col min="15883" max="15883" width="12.85546875" style="52" customWidth="1"/>
    <col min="15884" max="15884" width="1.42578125" style="52" customWidth="1"/>
    <col min="15885" max="15885" width="3.5703125" style="52" customWidth="1"/>
    <col min="15886" max="15886" width="1.7109375" style="52" customWidth="1"/>
    <col min="15887" max="15887" width="14" style="52" customWidth="1"/>
    <col min="15888" max="15888" width="2.140625" style="52" customWidth="1"/>
    <col min="15889" max="16127" width="9.140625" style="52"/>
    <col min="16128" max="16128" width="2.85546875" style="52" customWidth="1"/>
    <col min="16129" max="16129" width="6.42578125" style="52" customWidth="1"/>
    <col min="16130" max="16130" width="3.85546875" style="52" customWidth="1"/>
    <col min="16131" max="16131" width="16.5703125" style="52" customWidth="1"/>
    <col min="16132" max="16132" width="3" style="52" customWidth="1"/>
    <col min="16133" max="16133" width="11.140625" style="52" customWidth="1"/>
    <col min="16134" max="16134" width="1.42578125" style="52" customWidth="1"/>
    <col min="16135" max="16135" width="3.42578125" style="52" customWidth="1"/>
    <col min="16136" max="16136" width="1.42578125" style="52" customWidth="1"/>
    <col min="16137" max="16137" width="12.5703125" style="52" customWidth="1"/>
    <col min="16138" max="16138" width="3.28515625" style="52" customWidth="1"/>
    <col min="16139" max="16139" width="12.85546875" style="52" customWidth="1"/>
    <col min="16140" max="16140" width="1.42578125" style="52" customWidth="1"/>
    <col min="16141" max="16141" width="3.5703125" style="52" customWidth="1"/>
    <col min="16142" max="16142" width="1.7109375" style="52" customWidth="1"/>
    <col min="16143" max="16143" width="14" style="52" customWidth="1"/>
    <col min="16144" max="16144" width="2.140625" style="52" customWidth="1"/>
    <col min="16145" max="16384" width="9.140625" style="52"/>
  </cols>
  <sheetData>
    <row r="1" spans="1:15" x14ac:dyDescent="0.2">
      <c r="K1" s="562" t="s">
        <v>301</v>
      </c>
      <c r="O1" s="61" t="str">
        <f>EBNUMBER</f>
        <v>EB-2016-0066</v>
      </c>
    </row>
    <row r="2" spans="1:15" x14ac:dyDescent="0.2">
      <c r="K2" s="562" t="s">
        <v>302</v>
      </c>
      <c r="O2" s="62"/>
    </row>
    <row r="3" spans="1:15" x14ac:dyDescent="0.2">
      <c r="K3" s="562" t="s">
        <v>303</v>
      </c>
      <c r="O3" s="62"/>
    </row>
    <row r="4" spans="1:15" x14ac:dyDescent="0.2">
      <c r="K4" s="562" t="s">
        <v>304</v>
      </c>
      <c r="O4" s="62"/>
    </row>
    <row r="5" spans="1:15" x14ac:dyDescent="0.2">
      <c r="K5" s="562" t="s">
        <v>305</v>
      </c>
      <c r="O5" s="63"/>
    </row>
    <row r="6" spans="1:15" x14ac:dyDescent="0.2">
      <c r="K6" s="562"/>
      <c r="O6" s="61"/>
    </row>
    <row r="7" spans="1:15" x14ac:dyDescent="0.2">
      <c r="K7" s="562" t="s">
        <v>306</v>
      </c>
      <c r="O7" s="63"/>
    </row>
    <row r="10" spans="1:15" ht="18" x14ac:dyDescent="0.25">
      <c r="C10" s="1591" t="s">
        <v>473</v>
      </c>
      <c r="D10" s="1591"/>
      <c r="E10" s="1591"/>
      <c r="F10" s="1591"/>
      <c r="G10" s="1591"/>
      <c r="H10" s="1591"/>
      <c r="I10" s="1591"/>
      <c r="J10" s="1591"/>
      <c r="K10" s="1591"/>
      <c r="L10" s="1591"/>
      <c r="M10" s="1591"/>
      <c r="N10" s="1591"/>
      <c r="O10" s="1591"/>
    </row>
    <row r="11" spans="1:15" ht="18" x14ac:dyDescent="0.2">
      <c r="C11" s="1950" t="s">
        <v>458</v>
      </c>
      <c r="D11" s="1950"/>
      <c r="E11" s="1950"/>
      <c r="F11" s="1950"/>
      <c r="G11" s="1950"/>
      <c r="H11" s="1950"/>
      <c r="I11" s="1950"/>
      <c r="J11" s="1950"/>
      <c r="K11" s="1950"/>
      <c r="L11" s="1950"/>
      <c r="M11" s="1950"/>
      <c r="N11" s="1950"/>
      <c r="O11" s="1950"/>
    </row>
    <row r="13" spans="1:15" x14ac:dyDescent="0.2">
      <c r="A13" s="1956" t="s">
        <v>1039</v>
      </c>
      <c r="B13" s="1956"/>
      <c r="C13" s="1956"/>
      <c r="D13" s="1956"/>
      <c r="E13" s="1956"/>
      <c r="F13" s="1956"/>
      <c r="G13" s="1956"/>
      <c r="H13" s="1956"/>
      <c r="I13" s="1956"/>
      <c r="J13" s="1956"/>
      <c r="K13" s="1956"/>
      <c r="L13" s="1956"/>
      <c r="M13" s="1956"/>
      <c r="N13" s="1956"/>
      <c r="O13" s="1956"/>
    </row>
    <row r="14" spans="1:15" x14ac:dyDescent="0.2">
      <c r="A14" s="1084"/>
      <c r="B14" s="1084"/>
      <c r="C14" s="1084"/>
      <c r="D14" s="1084"/>
      <c r="E14" s="1084"/>
      <c r="F14" s="1084"/>
      <c r="G14" s="1084"/>
      <c r="H14" s="1084"/>
      <c r="I14" s="1084"/>
      <c r="J14" s="1084"/>
      <c r="K14" s="1084"/>
      <c r="L14" s="1084"/>
      <c r="M14" s="1084"/>
      <c r="N14" s="1084"/>
      <c r="O14" s="1084"/>
    </row>
    <row r="15" spans="1:15" s="43" customFormat="1" x14ac:dyDescent="0.2">
      <c r="B15" s="52"/>
      <c r="C15" s="52"/>
      <c r="G15" s="473" t="s">
        <v>26</v>
      </c>
      <c r="H15" s="1954">
        <v>2012</v>
      </c>
      <c r="I15" s="1954"/>
      <c r="J15" s="1954"/>
    </row>
    <row r="17" spans="1:16" x14ac:dyDescent="0.2">
      <c r="A17" s="1951" t="s">
        <v>459</v>
      </c>
      <c r="B17" s="159"/>
      <c r="C17" s="159"/>
      <c r="D17" s="159"/>
      <c r="E17" s="159"/>
      <c r="F17" s="159"/>
      <c r="G17" s="159"/>
      <c r="H17" s="159"/>
      <c r="I17" s="159"/>
      <c r="J17" s="159"/>
      <c r="K17" s="159"/>
      <c r="L17" s="159"/>
      <c r="M17" s="159"/>
      <c r="N17" s="159"/>
      <c r="O17" s="159"/>
    </row>
    <row r="18" spans="1:16" x14ac:dyDescent="0.2">
      <c r="A18" s="1952"/>
      <c r="B18" s="159"/>
      <c r="C18" s="1085" t="s">
        <v>460</v>
      </c>
      <c r="D18" s="159"/>
      <c r="E18" s="1953" t="s">
        <v>461</v>
      </c>
      <c r="F18" s="1953"/>
      <c r="G18" s="1953"/>
      <c r="H18" s="1953"/>
      <c r="I18" s="1953"/>
      <c r="J18" s="857"/>
      <c r="K18" s="1085" t="s">
        <v>307</v>
      </c>
      <c r="L18" s="858"/>
      <c r="M18" s="159"/>
      <c r="N18" s="159"/>
      <c r="O18" s="1085" t="s">
        <v>462</v>
      </c>
    </row>
    <row r="19" spans="1:16" x14ac:dyDescent="0.2">
      <c r="A19" s="152"/>
      <c r="B19" s="159"/>
      <c r="C19" s="159"/>
      <c r="D19" s="159"/>
      <c r="E19" s="159"/>
      <c r="F19" s="159"/>
      <c r="G19" s="159"/>
      <c r="H19" s="159"/>
      <c r="I19" s="859"/>
      <c r="J19" s="859"/>
      <c r="K19" s="159"/>
      <c r="L19" s="159"/>
      <c r="M19" s="159"/>
      <c r="N19" s="159"/>
      <c r="O19" s="159"/>
    </row>
    <row r="20" spans="1:16" x14ac:dyDescent="0.2">
      <c r="A20" s="290"/>
      <c r="B20" s="159"/>
      <c r="C20" s="159"/>
      <c r="D20" s="159"/>
      <c r="E20" s="860" t="s">
        <v>308</v>
      </c>
      <c r="F20" s="861"/>
      <c r="G20" s="861"/>
      <c r="H20" s="861"/>
      <c r="I20" s="860" t="s">
        <v>309</v>
      </c>
      <c r="J20" s="159"/>
      <c r="K20" s="860" t="s">
        <v>308</v>
      </c>
      <c r="L20" s="861"/>
      <c r="M20" s="159"/>
      <c r="N20" s="159"/>
      <c r="O20" s="859" t="s">
        <v>309</v>
      </c>
      <c r="P20" s="159"/>
    </row>
    <row r="21" spans="1:16" x14ac:dyDescent="0.2">
      <c r="A21" s="290"/>
      <c r="B21" s="159"/>
      <c r="C21" s="862" t="s">
        <v>463</v>
      </c>
      <c r="D21" s="159"/>
      <c r="E21" s="159"/>
      <c r="F21" s="159"/>
      <c r="G21" s="159"/>
      <c r="H21" s="159"/>
      <c r="I21" s="159"/>
      <c r="J21" s="159"/>
      <c r="K21" s="159"/>
      <c r="L21" s="159"/>
      <c r="M21" s="159"/>
      <c r="N21" s="159"/>
      <c r="O21" s="159"/>
      <c r="P21" s="159"/>
    </row>
    <row r="22" spans="1:16" x14ac:dyDescent="0.2">
      <c r="A22" s="290">
        <v>1</v>
      </c>
      <c r="B22" s="159"/>
      <c r="C22" s="863" t="s">
        <v>464</v>
      </c>
      <c r="D22" s="159"/>
      <c r="E22" s="864">
        <v>0.56000000000000005</v>
      </c>
      <c r="F22" s="865"/>
      <c r="G22" s="32"/>
      <c r="H22" s="30"/>
      <c r="I22" s="866">
        <f>$I$31*E22</f>
        <v>7025249.2800000003</v>
      </c>
      <c r="J22" s="159"/>
      <c r="K22" s="864">
        <v>2.7099999999999999E-2</v>
      </c>
      <c r="L22" s="865"/>
      <c r="M22" s="32"/>
      <c r="N22" s="30"/>
      <c r="O22" s="866">
        <f>K22*I22</f>
        <v>190384.255488</v>
      </c>
      <c r="P22" s="159"/>
    </row>
    <row r="23" spans="1:16" x14ac:dyDescent="0.2">
      <c r="A23" s="290">
        <v>2</v>
      </c>
      <c r="B23" s="159"/>
      <c r="C23" s="863" t="s">
        <v>465</v>
      </c>
      <c r="D23" s="159"/>
      <c r="E23" s="867">
        <v>0.04</v>
      </c>
      <c r="F23" s="865"/>
      <c r="G23" s="31" t="s">
        <v>310</v>
      </c>
      <c r="H23" s="31"/>
      <c r="I23" s="868">
        <f>$I$31*E23</f>
        <v>501803.52000000002</v>
      </c>
      <c r="J23" s="159"/>
      <c r="K23" s="867">
        <v>2.0799999999999999E-2</v>
      </c>
      <c r="L23" s="865"/>
      <c r="M23" s="32"/>
      <c r="N23" s="30"/>
      <c r="O23" s="868">
        <f>K23*I23</f>
        <v>10437.513215999999</v>
      </c>
      <c r="P23" s="159"/>
    </row>
    <row r="24" spans="1:16" ht="13.5" thickBot="1" x14ac:dyDescent="0.25">
      <c r="A24" s="290">
        <v>3</v>
      </c>
      <c r="B24" s="159"/>
      <c r="C24" s="290" t="s">
        <v>466</v>
      </c>
      <c r="D24" s="159"/>
      <c r="E24" s="869">
        <f>SUM(E22:E23)</f>
        <v>0.60000000000000009</v>
      </c>
      <c r="F24" s="870"/>
      <c r="G24" s="869"/>
      <c r="H24" s="870"/>
      <c r="I24" s="871">
        <f>SUM(I22:I23)</f>
        <v>7527052.8000000007</v>
      </c>
      <c r="J24" s="159"/>
      <c r="K24" s="872">
        <f>IF(E24=0,0,SUMPRODUCT(E22:E23,K22:K23)/E24)</f>
        <v>2.6679999999999999E-2</v>
      </c>
      <c r="L24" s="865"/>
      <c r="M24" s="873"/>
      <c r="N24" s="194"/>
      <c r="O24" s="871">
        <f>SUM(O22:O23)</f>
        <v>200821.76870399999</v>
      </c>
      <c r="P24" s="159"/>
    </row>
    <row r="25" spans="1:16" ht="13.5" thickTop="1" x14ac:dyDescent="0.2">
      <c r="A25" s="290"/>
      <c r="B25" s="159"/>
      <c r="C25" s="159"/>
      <c r="D25" s="159"/>
      <c r="E25" s="874"/>
      <c r="F25" s="875"/>
      <c r="G25" s="874"/>
      <c r="H25" s="875"/>
      <c r="I25" s="876"/>
      <c r="J25" s="159"/>
      <c r="K25" s="877"/>
      <c r="L25" s="865"/>
      <c r="M25" s="194"/>
      <c r="N25" s="194"/>
      <c r="O25" s="876"/>
      <c r="P25" s="159"/>
    </row>
    <row r="26" spans="1:16" x14ac:dyDescent="0.2">
      <c r="A26" s="290"/>
      <c r="B26" s="159"/>
      <c r="C26" s="862" t="s">
        <v>467</v>
      </c>
      <c r="D26" s="159"/>
      <c r="E26" s="874"/>
      <c r="F26" s="875"/>
      <c r="G26" s="874"/>
      <c r="H26" s="875"/>
      <c r="I26" s="876"/>
      <c r="J26" s="159"/>
      <c r="K26" s="877"/>
      <c r="L26" s="865"/>
      <c r="M26" s="194"/>
      <c r="N26" s="194"/>
      <c r="O26" s="876"/>
      <c r="P26" s="159"/>
    </row>
    <row r="27" spans="1:16" x14ac:dyDescent="0.2">
      <c r="A27" s="878">
        <v>4</v>
      </c>
      <c r="B27" s="879"/>
      <c r="C27" s="880" t="s">
        <v>468</v>
      </c>
      <c r="D27" s="879"/>
      <c r="E27" s="881">
        <v>0.4</v>
      </c>
      <c r="F27" s="882"/>
      <c r="G27" s="32"/>
      <c r="H27" s="30"/>
      <c r="I27" s="883">
        <f>$I$31*E27</f>
        <v>5018035.2</v>
      </c>
      <c r="J27" s="879"/>
      <c r="K27" s="881">
        <v>9.1200000000000003E-2</v>
      </c>
      <c r="L27" s="882"/>
      <c r="M27" s="32"/>
      <c r="N27" s="30"/>
      <c r="O27" s="883">
        <f>K27*I27</f>
        <v>457644.81024000002</v>
      </c>
      <c r="P27" s="159"/>
    </row>
    <row r="28" spans="1:16" x14ac:dyDescent="0.2">
      <c r="A28" s="878">
        <v>5</v>
      </c>
      <c r="B28" s="879"/>
      <c r="C28" s="880" t="s">
        <v>469</v>
      </c>
      <c r="D28" s="879"/>
      <c r="E28" s="884">
        <v>0</v>
      </c>
      <c r="F28" s="882"/>
      <c r="G28" s="32"/>
      <c r="H28" s="30"/>
      <c r="I28" s="885">
        <f>$I$31*E28</f>
        <v>0</v>
      </c>
      <c r="J28" s="879"/>
      <c r="K28" s="884">
        <v>0</v>
      </c>
      <c r="L28" s="882"/>
      <c r="M28" s="32"/>
      <c r="N28" s="30"/>
      <c r="O28" s="885">
        <f>K28*I28</f>
        <v>0</v>
      </c>
      <c r="P28" s="159"/>
    </row>
    <row r="29" spans="1:16" ht="13.5" thickBot="1" x14ac:dyDescent="0.25">
      <c r="A29" s="290">
        <v>6</v>
      </c>
      <c r="B29" s="159"/>
      <c r="C29" s="290" t="s">
        <v>470</v>
      </c>
      <c r="D29" s="159"/>
      <c r="E29" s="869">
        <f>SUM(E27:E28)</f>
        <v>0.4</v>
      </c>
      <c r="F29" s="869"/>
      <c r="G29" s="869"/>
      <c r="H29" s="870"/>
      <c r="I29" s="871">
        <f>SUM(I27:I28)</f>
        <v>5018035.2</v>
      </c>
      <c r="J29" s="159"/>
      <c r="K29" s="872">
        <f>IF(E29=0,0,SUMPRODUCT(E27:E28,K27:K28)/E29)</f>
        <v>9.1200000000000003E-2</v>
      </c>
      <c r="L29" s="865"/>
      <c r="M29" s="194"/>
      <c r="N29" s="194"/>
      <c r="O29" s="871">
        <f>SUM(O27:O28)</f>
        <v>457644.81024000002</v>
      </c>
      <c r="P29" s="159"/>
    </row>
    <row r="30" spans="1:16" ht="13.5" thickTop="1" x14ac:dyDescent="0.2">
      <c r="A30" s="290"/>
      <c r="B30" s="159"/>
      <c r="C30" s="159"/>
      <c r="D30" s="159"/>
      <c r="E30" s="159"/>
      <c r="F30" s="159"/>
      <c r="G30" s="159"/>
      <c r="H30" s="159"/>
      <c r="I30" s="876"/>
      <c r="J30" s="159"/>
      <c r="K30" s="877"/>
      <c r="L30" s="877"/>
      <c r="M30" s="194"/>
      <c r="N30" s="194"/>
      <c r="O30" s="876"/>
      <c r="P30" s="159"/>
    </row>
    <row r="31" spans="1:16" ht="13.5" thickBot="1" x14ac:dyDescent="0.25">
      <c r="A31" s="290">
        <v>7</v>
      </c>
      <c r="B31" s="159"/>
      <c r="C31" s="862" t="s">
        <v>295</v>
      </c>
      <c r="D31" s="159"/>
      <c r="E31" s="886">
        <v>1</v>
      </c>
      <c r="F31" s="886"/>
      <c r="G31" s="887"/>
      <c r="H31" s="887"/>
      <c r="I31" s="888">
        <v>12545088</v>
      </c>
      <c r="J31" s="159"/>
      <c r="K31" s="889">
        <f>(K24*E24)+(K29*E29)</f>
        <v>5.2488000000000007E-2</v>
      </c>
      <c r="L31" s="877"/>
      <c r="M31" s="159"/>
      <c r="N31" s="159"/>
      <c r="O31" s="890">
        <f>O24+O29</f>
        <v>658466.57894399995</v>
      </c>
      <c r="P31" s="159"/>
    </row>
    <row r="32" spans="1:16" ht="13.5" thickTop="1" x14ac:dyDescent="0.2">
      <c r="A32" s="290"/>
      <c r="B32" s="159"/>
      <c r="C32" s="159"/>
      <c r="D32" s="159"/>
      <c r="E32" s="159"/>
      <c r="F32" s="159"/>
      <c r="G32" s="159"/>
      <c r="H32" s="159"/>
      <c r="I32" s="159"/>
      <c r="J32" s="159"/>
      <c r="K32" s="159"/>
      <c r="L32" s="159"/>
      <c r="M32" s="159"/>
      <c r="N32" s="159"/>
      <c r="O32" s="159"/>
      <c r="P32" s="159"/>
    </row>
    <row r="38" spans="1:15" x14ac:dyDescent="0.2">
      <c r="A38" s="43"/>
      <c r="D38" s="43"/>
      <c r="E38" s="43"/>
      <c r="F38" s="43"/>
      <c r="G38" s="473" t="s">
        <v>26</v>
      </c>
      <c r="H38" s="1954">
        <v>2017</v>
      </c>
      <c r="I38" s="1954"/>
      <c r="J38" s="1954"/>
      <c r="K38" s="43"/>
      <c r="L38" s="43"/>
      <c r="M38" s="43"/>
      <c r="N38" s="43"/>
      <c r="O38" s="43"/>
    </row>
    <row r="40" spans="1:15" x14ac:dyDescent="0.2">
      <c r="A40" s="1951" t="s">
        <v>459</v>
      </c>
      <c r="B40" s="159"/>
      <c r="C40" s="159"/>
      <c r="D40" s="159"/>
      <c r="E40" s="159"/>
      <c r="F40" s="159"/>
      <c r="G40" s="159"/>
      <c r="H40" s="159"/>
      <c r="I40" s="159"/>
      <c r="J40" s="159"/>
      <c r="K40" s="159"/>
      <c r="L40" s="159"/>
      <c r="M40" s="159"/>
      <c r="N40" s="159"/>
      <c r="O40" s="159"/>
    </row>
    <row r="41" spans="1:15" x14ac:dyDescent="0.2">
      <c r="A41" s="1952"/>
      <c r="B41" s="159"/>
      <c r="C41" s="1455" t="s">
        <v>460</v>
      </c>
      <c r="D41" s="159"/>
      <c r="E41" s="1953" t="s">
        <v>461</v>
      </c>
      <c r="F41" s="1953"/>
      <c r="G41" s="1953"/>
      <c r="H41" s="1953"/>
      <c r="I41" s="1953"/>
      <c r="J41" s="857"/>
      <c r="K41" s="1455" t="s">
        <v>307</v>
      </c>
      <c r="L41" s="858"/>
      <c r="M41" s="159"/>
      <c r="N41" s="159"/>
      <c r="O41" s="1455" t="s">
        <v>462</v>
      </c>
    </row>
    <row r="42" spans="1:15" x14ac:dyDescent="0.2">
      <c r="A42" s="152"/>
      <c r="B42" s="159"/>
      <c r="C42" s="159"/>
      <c r="D42" s="159"/>
      <c r="E42" s="159"/>
      <c r="F42" s="159"/>
      <c r="G42" s="159"/>
      <c r="H42" s="159"/>
      <c r="I42" s="859"/>
      <c r="J42" s="859"/>
      <c r="K42" s="159"/>
      <c r="L42" s="159"/>
      <c r="M42" s="159"/>
      <c r="N42" s="159"/>
      <c r="O42" s="159"/>
    </row>
    <row r="43" spans="1:15" x14ac:dyDescent="0.2">
      <c r="A43" s="290"/>
      <c r="B43" s="159"/>
      <c r="C43" s="159"/>
      <c r="D43" s="159"/>
      <c r="E43" s="860" t="s">
        <v>308</v>
      </c>
      <c r="F43" s="861"/>
      <c r="G43" s="861"/>
      <c r="H43" s="861"/>
      <c r="I43" s="860" t="s">
        <v>309</v>
      </c>
      <c r="J43" s="159"/>
      <c r="K43" s="860" t="s">
        <v>308</v>
      </c>
      <c r="L43" s="861"/>
      <c r="M43" s="159"/>
      <c r="N43" s="159"/>
      <c r="O43" s="859" t="s">
        <v>309</v>
      </c>
    </row>
    <row r="44" spans="1:15" x14ac:dyDescent="0.2">
      <c r="A44" s="290"/>
      <c r="B44" s="159"/>
      <c r="C44" s="862" t="s">
        <v>463</v>
      </c>
      <c r="D44" s="159"/>
      <c r="E44" s="159"/>
      <c r="F44" s="159"/>
      <c r="G44" s="159"/>
      <c r="H44" s="159"/>
      <c r="I44" s="159"/>
      <c r="J44" s="159"/>
      <c r="K44" s="159"/>
      <c r="L44" s="159"/>
      <c r="M44" s="159"/>
      <c r="N44" s="159"/>
      <c r="O44" s="159"/>
    </row>
    <row r="45" spans="1:15" x14ac:dyDescent="0.2">
      <c r="A45" s="290">
        <v>1</v>
      </c>
      <c r="B45" s="159"/>
      <c r="C45" s="863" t="s">
        <v>464</v>
      </c>
      <c r="D45" s="159"/>
      <c r="E45" s="864">
        <v>0.56000000000000005</v>
      </c>
      <c r="F45" s="865"/>
      <c r="G45" s="32"/>
      <c r="H45" s="30"/>
      <c r="I45" s="866">
        <f>$I$54*E45</f>
        <v>6720372.9600000009</v>
      </c>
      <c r="J45" s="159"/>
      <c r="K45" s="864">
        <v>2.9499999999999998E-2</v>
      </c>
      <c r="L45" s="865"/>
      <c r="M45" s="32"/>
      <c r="N45" s="30"/>
      <c r="O45" s="866">
        <f>K45*I45</f>
        <v>198251.00232000003</v>
      </c>
    </row>
    <row r="46" spans="1:15" x14ac:dyDescent="0.2">
      <c r="A46" s="290">
        <v>2</v>
      </c>
      <c r="B46" s="159"/>
      <c r="C46" s="863" t="s">
        <v>465</v>
      </c>
      <c r="D46" s="159"/>
      <c r="E46" s="867">
        <v>0.04</v>
      </c>
      <c r="F46" s="865"/>
      <c r="G46" s="31" t="s">
        <v>310</v>
      </c>
      <c r="H46" s="31"/>
      <c r="I46" s="868">
        <f>$I$54*E46</f>
        <v>480026.64</v>
      </c>
      <c r="J46" s="159"/>
      <c r="K46" s="867">
        <v>1.6500000000000001E-2</v>
      </c>
      <c r="L46" s="865"/>
      <c r="M46" s="32"/>
      <c r="N46" s="30"/>
      <c r="O46" s="868">
        <f>K46*I46</f>
        <v>7920.4395600000007</v>
      </c>
    </row>
    <row r="47" spans="1:15" ht="13.5" thickBot="1" x14ac:dyDescent="0.25">
      <c r="A47" s="290">
        <v>3</v>
      </c>
      <c r="B47" s="159"/>
      <c r="C47" s="290" t="s">
        <v>466</v>
      </c>
      <c r="D47" s="159"/>
      <c r="E47" s="869">
        <f>SUM(E45:E46)</f>
        <v>0.60000000000000009</v>
      </c>
      <c r="F47" s="870"/>
      <c r="G47" s="869"/>
      <c r="H47" s="870"/>
      <c r="I47" s="871">
        <f>SUM(I45:I46)</f>
        <v>7200399.6000000006</v>
      </c>
      <c r="J47" s="159"/>
      <c r="K47" s="872">
        <f>IF(E47=0,0,SUMPRODUCT(E45:E46,K45:K46)/E47)</f>
        <v>2.863333333333333E-2</v>
      </c>
      <c r="L47" s="865"/>
      <c r="M47" s="873"/>
      <c r="N47" s="194"/>
      <c r="O47" s="871">
        <f>SUM(O45:O46)</f>
        <v>206171.44188000003</v>
      </c>
    </row>
    <row r="48" spans="1:15" ht="13.5" thickTop="1" x14ac:dyDescent="0.2">
      <c r="A48" s="290"/>
      <c r="B48" s="159"/>
      <c r="C48" s="159"/>
      <c r="D48" s="159"/>
      <c r="E48" s="874"/>
      <c r="F48" s="875"/>
      <c r="G48" s="874"/>
      <c r="H48" s="875"/>
      <c r="I48" s="876"/>
      <c r="J48" s="159"/>
      <c r="K48" s="877"/>
      <c r="L48" s="865"/>
      <c r="M48" s="194"/>
      <c r="N48" s="194"/>
      <c r="O48" s="876"/>
    </row>
    <row r="49" spans="1:15" x14ac:dyDescent="0.2">
      <c r="A49" s="290"/>
      <c r="B49" s="159"/>
      <c r="C49" s="862" t="s">
        <v>467</v>
      </c>
      <c r="D49" s="159"/>
      <c r="E49" s="874"/>
      <c r="F49" s="875"/>
      <c r="G49" s="874"/>
      <c r="H49" s="875"/>
      <c r="I49" s="876"/>
      <c r="J49" s="159"/>
      <c r="K49" s="877"/>
      <c r="L49" s="865"/>
      <c r="M49" s="194"/>
      <c r="N49" s="194"/>
      <c r="O49" s="876"/>
    </row>
    <row r="50" spans="1:15" x14ac:dyDescent="0.2">
      <c r="A50" s="878">
        <v>4</v>
      </c>
      <c r="B50" s="879"/>
      <c r="C50" s="880" t="s">
        <v>468</v>
      </c>
      <c r="D50" s="879"/>
      <c r="E50" s="881">
        <v>0.4</v>
      </c>
      <c r="F50" s="882"/>
      <c r="G50" s="32"/>
      <c r="H50" s="30"/>
      <c r="I50" s="883">
        <f>$I$54*E50</f>
        <v>4800266.4000000004</v>
      </c>
      <c r="J50" s="879"/>
      <c r="K50" s="881">
        <v>9.1899999999999996E-2</v>
      </c>
      <c r="L50" s="882"/>
      <c r="M50" s="32"/>
      <c r="N50" s="30"/>
      <c r="O50" s="883">
        <f>K50*I50</f>
        <v>441144.48216000001</v>
      </c>
    </row>
    <row r="51" spans="1:15" x14ac:dyDescent="0.2">
      <c r="A51" s="878">
        <v>5</v>
      </c>
      <c r="B51" s="879"/>
      <c r="C51" s="880" t="s">
        <v>469</v>
      </c>
      <c r="D51" s="879"/>
      <c r="E51" s="884">
        <v>0</v>
      </c>
      <c r="F51" s="882"/>
      <c r="G51" s="32"/>
      <c r="H51" s="30"/>
      <c r="I51" s="885">
        <f>$I$31*E51</f>
        <v>0</v>
      </c>
      <c r="J51" s="879"/>
      <c r="K51" s="884">
        <v>0</v>
      </c>
      <c r="L51" s="882"/>
      <c r="M51" s="32"/>
      <c r="N51" s="30"/>
      <c r="O51" s="885">
        <f>K51*I51</f>
        <v>0</v>
      </c>
    </row>
    <row r="52" spans="1:15" ht="13.5" thickBot="1" x14ac:dyDescent="0.25">
      <c r="A52" s="290">
        <v>6</v>
      </c>
      <c r="B52" s="159"/>
      <c r="C52" s="290" t="s">
        <v>470</v>
      </c>
      <c r="D52" s="159"/>
      <c r="E52" s="869">
        <f>SUM(E50:E51)</f>
        <v>0.4</v>
      </c>
      <c r="F52" s="869"/>
      <c r="G52" s="869"/>
      <c r="H52" s="870"/>
      <c r="I52" s="871">
        <f>SUM(I50:I51)</f>
        <v>4800266.4000000004</v>
      </c>
      <c r="J52" s="159"/>
      <c r="K52" s="872">
        <f>IF(E52=0,0,SUMPRODUCT(E50:E51,K50:K51)/E52)</f>
        <v>9.1899999999999996E-2</v>
      </c>
      <c r="L52" s="865"/>
      <c r="M52" s="194"/>
      <c r="N52" s="194"/>
      <c r="O52" s="871">
        <f>SUM(O50:O51)</f>
        <v>441144.48216000001</v>
      </c>
    </row>
    <row r="53" spans="1:15" ht="13.5" thickTop="1" x14ac:dyDescent="0.2">
      <c r="A53" s="290"/>
      <c r="B53" s="159"/>
      <c r="C53" s="159"/>
      <c r="D53" s="159"/>
      <c r="E53" s="159"/>
      <c r="F53" s="159"/>
      <c r="G53" s="159"/>
      <c r="H53" s="159"/>
      <c r="I53" s="876"/>
      <c r="J53" s="159"/>
      <c r="K53" s="877"/>
      <c r="L53" s="877"/>
      <c r="M53" s="194"/>
      <c r="N53" s="194"/>
      <c r="O53" s="876"/>
    </row>
    <row r="54" spans="1:15" ht="13.5" thickBot="1" x14ac:dyDescent="0.25">
      <c r="A54" s="290">
        <v>7</v>
      </c>
      <c r="B54" s="159"/>
      <c r="C54" s="862" t="s">
        <v>295</v>
      </c>
      <c r="D54" s="159"/>
      <c r="E54" s="886">
        <v>1</v>
      </c>
      <c r="F54" s="886"/>
      <c r="G54" s="887"/>
      <c r="H54" s="887"/>
      <c r="I54" s="888">
        <v>12000666</v>
      </c>
      <c r="J54" s="159"/>
      <c r="K54" s="889">
        <f>(K47*E47)+(K52*E52)</f>
        <v>5.3940000000000002E-2</v>
      </c>
      <c r="L54" s="877"/>
      <c r="M54" s="159"/>
      <c r="N54" s="159"/>
      <c r="O54" s="890">
        <f>O47+O52</f>
        <v>647315.92404000007</v>
      </c>
    </row>
    <row r="55" spans="1:15" ht="13.5" thickTop="1" x14ac:dyDescent="0.2"/>
    <row r="57" spans="1:15" x14ac:dyDescent="0.2">
      <c r="A57" s="1957" t="s">
        <v>311</v>
      </c>
      <c r="B57" s="1957"/>
      <c r="C57" s="1957"/>
      <c r="D57" s="1957"/>
      <c r="E57" s="1957"/>
      <c r="F57" s="1957"/>
      <c r="G57" s="1957"/>
      <c r="H57" s="1957"/>
      <c r="I57" s="1957"/>
      <c r="J57" s="1957"/>
      <c r="K57" s="1957"/>
      <c r="L57" s="1957"/>
      <c r="M57" s="1957"/>
      <c r="N57" s="1957"/>
      <c r="O57" s="1957"/>
    </row>
    <row r="58" spans="1:15" x14ac:dyDescent="0.2">
      <c r="A58" s="891" t="s">
        <v>310</v>
      </c>
      <c r="C58" s="1729" t="s">
        <v>471</v>
      </c>
      <c r="D58" s="1729"/>
      <c r="E58" s="1729"/>
      <c r="F58" s="1729"/>
      <c r="G58" s="1729"/>
      <c r="H58" s="1729"/>
      <c r="I58" s="1729"/>
      <c r="J58" s="1729"/>
      <c r="K58" s="1729"/>
      <c r="L58" s="1729"/>
      <c r="M58" s="1729"/>
      <c r="N58" s="1729"/>
      <c r="O58" s="1729"/>
    </row>
    <row r="59" spans="1:15" x14ac:dyDescent="0.2">
      <c r="A59" s="33"/>
      <c r="C59" s="1955"/>
      <c r="D59" s="1955"/>
      <c r="E59" s="1955"/>
      <c r="F59" s="1955"/>
      <c r="G59" s="1955"/>
      <c r="H59" s="1955"/>
      <c r="I59" s="1955"/>
      <c r="J59" s="1955"/>
      <c r="K59" s="1955"/>
      <c r="L59" s="1955"/>
      <c r="M59" s="1955"/>
      <c r="N59" s="1955"/>
      <c r="O59" s="1955"/>
    </row>
    <row r="60" spans="1:15" x14ac:dyDescent="0.2">
      <c r="A60" s="33"/>
      <c r="C60" s="1955"/>
      <c r="D60" s="1955"/>
      <c r="E60" s="1955"/>
      <c r="F60" s="1955"/>
      <c r="G60" s="1955"/>
      <c r="H60" s="1955"/>
      <c r="I60" s="1955"/>
      <c r="J60" s="1955"/>
      <c r="K60" s="1955"/>
      <c r="L60" s="1955"/>
      <c r="M60" s="1955"/>
      <c r="N60" s="1955"/>
      <c r="O60" s="1955"/>
    </row>
    <row r="61" spans="1:15" x14ac:dyDescent="0.2">
      <c r="A61" s="33"/>
      <c r="C61" s="1955"/>
      <c r="D61" s="1955"/>
      <c r="E61" s="1955"/>
      <c r="F61" s="1955"/>
      <c r="G61" s="1955"/>
      <c r="H61" s="1955"/>
      <c r="I61" s="1955"/>
      <c r="J61" s="1955"/>
      <c r="K61" s="1955"/>
      <c r="L61" s="1955"/>
      <c r="M61" s="1955"/>
      <c r="N61" s="1955"/>
      <c r="O61" s="1955"/>
    </row>
    <row r="62" spans="1:15" x14ac:dyDescent="0.2">
      <c r="A62" s="33"/>
      <c r="C62" s="1955"/>
      <c r="D62" s="1955"/>
      <c r="E62" s="1955"/>
      <c r="F62" s="1955"/>
      <c r="G62" s="1955"/>
      <c r="H62" s="1955"/>
      <c r="I62" s="1955"/>
      <c r="J62" s="1955"/>
      <c r="K62" s="1955"/>
      <c r="L62" s="1955"/>
      <c r="M62" s="1955"/>
      <c r="N62" s="1955"/>
      <c r="O62" s="1955"/>
    </row>
    <row r="63" spans="1:15" x14ac:dyDescent="0.2">
      <c r="A63" s="33"/>
      <c r="C63" s="1955"/>
      <c r="D63" s="1955"/>
      <c r="E63" s="1955"/>
      <c r="F63" s="1955"/>
      <c r="G63" s="1955"/>
      <c r="H63" s="1955"/>
      <c r="I63" s="1955"/>
      <c r="J63" s="1955"/>
      <c r="K63" s="1955"/>
      <c r="L63" s="1955"/>
      <c r="M63" s="1955"/>
      <c r="N63" s="1955"/>
      <c r="O63" s="1955"/>
    </row>
    <row r="64" spans="1:15" x14ac:dyDescent="0.2">
      <c r="A64" s="33"/>
      <c r="C64" s="1955"/>
      <c r="D64" s="1955"/>
      <c r="E64" s="1955"/>
      <c r="F64" s="1955"/>
      <c r="G64" s="1955"/>
      <c r="H64" s="1955"/>
      <c r="I64" s="1955"/>
      <c r="J64" s="1955"/>
      <c r="K64" s="1955"/>
      <c r="L64" s="1955"/>
      <c r="M64" s="1955"/>
      <c r="N64" s="1955"/>
      <c r="O64" s="1955"/>
    </row>
  </sheetData>
  <mergeCells count="17">
    <mergeCell ref="C64:O64"/>
    <mergeCell ref="A13:O13"/>
    <mergeCell ref="C58:O58"/>
    <mergeCell ref="C59:O59"/>
    <mergeCell ref="C60:O60"/>
    <mergeCell ref="C61:O61"/>
    <mergeCell ref="C62:O62"/>
    <mergeCell ref="C63:O63"/>
    <mergeCell ref="A57:O57"/>
    <mergeCell ref="H38:J38"/>
    <mergeCell ref="A40:A41"/>
    <mergeCell ref="E41:I41"/>
    <mergeCell ref="C10:O10"/>
    <mergeCell ref="C11:O11"/>
    <mergeCell ref="A17:A18"/>
    <mergeCell ref="E18:I18"/>
    <mergeCell ref="H15:J15"/>
  </mergeCells>
  <dataValidations count="1">
    <dataValidation allowBlank="1" showInputMessage="1" showErrorMessage="1" promptTitle="Date Format" prompt="E.g:  &quot;August 1, 2011&quot;" sqref="O7 JK7 TG7 ADC7 AMY7 AWU7 BGQ7 BQM7 CAI7 CKE7 CUA7 DDW7 DNS7 DXO7 EHK7 ERG7 FBC7 FKY7 FUU7 GEQ7 GOM7 GYI7 HIE7 HSA7 IBW7 ILS7 IVO7 JFK7 JPG7 JZC7 KIY7 KSU7 LCQ7 LMM7 LWI7 MGE7 MQA7 MZW7 NJS7 NTO7 ODK7 ONG7 OXC7 PGY7 PQU7 QAQ7 QKM7 QUI7 REE7 ROA7 RXW7 SHS7 SRO7 TBK7 TLG7 TVC7 UEY7 UOU7 UYQ7 VIM7 VSI7 WCE7 WMA7 WVW7 O65540 JK65540 TG65540 ADC65540 AMY65540 AWU65540 BGQ65540 BQM65540 CAI65540 CKE65540 CUA65540 DDW65540 DNS65540 DXO65540 EHK65540 ERG65540 FBC65540 FKY65540 FUU65540 GEQ65540 GOM65540 GYI65540 HIE65540 HSA65540 IBW65540 ILS65540 IVO65540 JFK65540 JPG65540 JZC65540 KIY65540 KSU65540 LCQ65540 LMM65540 LWI65540 MGE65540 MQA65540 MZW65540 NJS65540 NTO65540 ODK65540 ONG65540 OXC65540 PGY65540 PQU65540 QAQ65540 QKM65540 QUI65540 REE65540 ROA65540 RXW65540 SHS65540 SRO65540 TBK65540 TLG65540 TVC65540 UEY65540 UOU65540 UYQ65540 VIM65540 VSI65540 WCE65540 WMA65540 WVW65540 O131076 JK131076 TG131076 ADC131076 AMY131076 AWU131076 BGQ131076 BQM131076 CAI131076 CKE131076 CUA131076 DDW131076 DNS131076 DXO131076 EHK131076 ERG131076 FBC131076 FKY131076 FUU131076 GEQ131076 GOM131076 GYI131076 HIE131076 HSA131076 IBW131076 ILS131076 IVO131076 JFK131076 JPG131076 JZC131076 KIY131076 KSU131076 LCQ131076 LMM131076 LWI131076 MGE131076 MQA131076 MZW131076 NJS131076 NTO131076 ODK131076 ONG131076 OXC131076 PGY131076 PQU131076 QAQ131076 QKM131076 QUI131076 REE131076 ROA131076 RXW131076 SHS131076 SRO131076 TBK131076 TLG131076 TVC131076 UEY131076 UOU131076 UYQ131076 VIM131076 VSI131076 WCE131076 WMA131076 WVW131076 O196612 JK196612 TG196612 ADC196612 AMY196612 AWU196612 BGQ196612 BQM196612 CAI196612 CKE196612 CUA196612 DDW196612 DNS196612 DXO196612 EHK196612 ERG196612 FBC196612 FKY196612 FUU196612 GEQ196612 GOM196612 GYI196612 HIE196612 HSA196612 IBW196612 ILS196612 IVO196612 JFK196612 JPG196612 JZC196612 KIY196612 KSU196612 LCQ196612 LMM196612 LWI196612 MGE196612 MQA196612 MZW196612 NJS196612 NTO196612 ODK196612 ONG196612 OXC196612 PGY196612 PQU196612 QAQ196612 QKM196612 QUI196612 REE196612 ROA196612 RXW196612 SHS196612 SRO196612 TBK196612 TLG196612 TVC196612 UEY196612 UOU196612 UYQ196612 VIM196612 VSI196612 WCE196612 WMA196612 WVW196612 O262148 JK262148 TG262148 ADC262148 AMY262148 AWU262148 BGQ262148 BQM262148 CAI262148 CKE262148 CUA262148 DDW262148 DNS262148 DXO262148 EHK262148 ERG262148 FBC262148 FKY262148 FUU262148 GEQ262148 GOM262148 GYI262148 HIE262148 HSA262148 IBW262148 ILS262148 IVO262148 JFK262148 JPG262148 JZC262148 KIY262148 KSU262148 LCQ262148 LMM262148 LWI262148 MGE262148 MQA262148 MZW262148 NJS262148 NTO262148 ODK262148 ONG262148 OXC262148 PGY262148 PQU262148 QAQ262148 QKM262148 QUI262148 REE262148 ROA262148 RXW262148 SHS262148 SRO262148 TBK262148 TLG262148 TVC262148 UEY262148 UOU262148 UYQ262148 VIM262148 VSI262148 WCE262148 WMA262148 WVW262148 O327684 JK327684 TG327684 ADC327684 AMY327684 AWU327684 BGQ327684 BQM327684 CAI327684 CKE327684 CUA327684 DDW327684 DNS327684 DXO327684 EHK327684 ERG327684 FBC327684 FKY327684 FUU327684 GEQ327684 GOM327684 GYI327684 HIE327684 HSA327684 IBW327684 ILS327684 IVO327684 JFK327684 JPG327684 JZC327684 KIY327684 KSU327684 LCQ327684 LMM327684 LWI327684 MGE327684 MQA327684 MZW327684 NJS327684 NTO327684 ODK327684 ONG327684 OXC327684 PGY327684 PQU327684 QAQ327684 QKM327684 QUI327684 REE327684 ROA327684 RXW327684 SHS327684 SRO327684 TBK327684 TLG327684 TVC327684 UEY327684 UOU327684 UYQ327684 VIM327684 VSI327684 WCE327684 WMA327684 WVW327684 O393220 JK393220 TG393220 ADC393220 AMY393220 AWU393220 BGQ393220 BQM393220 CAI393220 CKE393220 CUA393220 DDW393220 DNS393220 DXO393220 EHK393220 ERG393220 FBC393220 FKY393220 FUU393220 GEQ393220 GOM393220 GYI393220 HIE393220 HSA393220 IBW393220 ILS393220 IVO393220 JFK393220 JPG393220 JZC393220 KIY393220 KSU393220 LCQ393220 LMM393220 LWI393220 MGE393220 MQA393220 MZW393220 NJS393220 NTO393220 ODK393220 ONG393220 OXC393220 PGY393220 PQU393220 QAQ393220 QKM393220 QUI393220 REE393220 ROA393220 RXW393220 SHS393220 SRO393220 TBK393220 TLG393220 TVC393220 UEY393220 UOU393220 UYQ393220 VIM393220 VSI393220 WCE393220 WMA393220 WVW393220 O458756 JK458756 TG458756 ADC458756 AMY458756 AWU458756 BGQ458756 BQM458756 CAI458756 CKE458756 CUA458756 DDW458756 DNS458756 DXO458756 EHK458756 ERG458756 FBC458756 FKY458756 FUU458756 GEQ458756 GOM458756 GYI458756 HIE458756 HSA458756 IBW458756 ILS458756 IVO458756 JFK458756 JPG458756 JZC458756 KIY458756 KSU458756 LCQ458756 LMM458756 LWI458756 MGE458756 MQA458756 MZW458756 NJS458756 NTO458756 ODK458756 ONG458756 OXC458756 PGY458756 PQU458756 QAQ458756 QKM458756 QUI458756 REE458756 ROA458756 RXW458756 SHS458756 SRO458756 TBK458756 TLG458756 TVC458756 UEY458756 UOU458756 UYQ458756 VIM458756 VSI458756 WCE458756 WMA458756 WVW458756 O524292 JK524292 TG524292 ADC524292 AMY524292 AWU524292 BGQ524292 BQM524292 CAI524292 CKE524292 CUA524292 DDW524292 DNS524292 DXO524292 EHK524292 ERG524292 FBC524292 FKY524292 FUU524292 GEQ524292 GOM524292 GYI524292 HIE524292 HSA524292 IBW524292 ILS524292 IVO524292 JFK524292 JPG524292 JZC524292 KIY524292 KSU524292 LCQ524292 LMM524292 LWI524292 MGE524292 MQA524292 MZW524292 NJS524292 NTO524292 ODK524292 ONG524292 OXC524292 PGY524292 PQU524292 QAQ524292 QKM524292 QUI524292 REE524292 ROA524292 RXW524292 SHS524292 SRO524292 TBK524292 TLG524292 TVC524292 UEY524292 UOU524292 UYQ524292 VIM524292 VSI524292 WCE524292 WMA524292 WVW524292 O589828 JK589828 TG589828 ADC589828 AMY589828 AWU589828 BGQ589828 BQM589828 CAI589828 CKE589828 CUA589828 DDW589828 DNS589828 DXO589828 EHK589828 ERG589828 FBC589828 FKY589828 FUU589828 GEQ589828 GOM589828 GYI589828 HIE589828 HSA589828 IBW589828 ILS589828 IVO589828 JFK589828 JPG589828 JZC589828 KIY589828 KSU589828 LCQ589828 LMM589828 LWI589828 MGE589828 MQA589828 MZW589828 NJS589828 NTO589828 ODK589828 ONG589828 OXC589828 PGY589828 PQU589828 QAQ589828 QKM589828 QUI589828 REE589828 ROA589828 RXW589828 SHS589828 SRO589828 TBK589828 TLG589828 TVC589828 UEY589828 UOU589828 UYQ589828 VIM589828 VSI589828 WCE589828 WMA589828 WVW589828 O655364 JK655364 TG655364 ADC655364 AMY655364 AWU655364 BGQ655364 BQM655364 CAI655364 CKE655364 CUA655364 DDW655364 DNS655364 DXO655364 EHK655364 ERG655364 FBC655364 FKY655364 FUU655364 GEQ655364 GOM655364 GYI655364 HIE655364 HSA655364 IBW655364 ILS655364 IVO655364 JFK655364 JPG655364 JZC655364 KIY655364 KSU655364 LCQ655364 LMM655364 LWI655364 MGE655364 MQA655364 MZW655364 NJS655364 NTO655364 ODK655364 ONG655364 OXC655364 PGY655364 PQU655364 QAQ655364 QKM655364 QUI655364 REE655364 ROA655364 RXW655364 SHS655364 SRO655364 TBK655364 TLG655364 TVC655364 UEY655364 UOU655364 UYQ655364 VIM655364 VSI655364 WCE655364 WMA655364 WVW655364 O720900 JK720900 TG720900 ADC720900 AMY720900 AWU720900 BGQ720900 BQM720900 CAI720900 CKE720900 CUA720900 DDW720900 DNS720900 DXO720900 EHK720900 ERG720900 FBC720900 FKY720900 FUU720900 GEQ720900 GOM720900 GYI720900 HIE720900 HSA720900 IBW720900 ILS720900 IVO720900 JFK720900 JPG720900 JZC720900 KIY720900 KSU720900 LCQ720900 LMM720900 LWI720900 MGE720900 MQA720900 MZW720900 NJS720900 NTO720900 ODK720900 ONG720900 OXC720900 PGY720900 PQU720900 QAQ720900 QKM720900 QUI720900 REE720900 ROA720900 RXW720900 SHS720900 SRO720900 TBK720900 TLG720900 TVC720900 UEY720900 UOU720900 UYQ720900 VIM720900 VSI720900 WCE720900 WMA720900 WVW720900 O786436 JK786436 TG786436 ADC786436 AMY786436 AWU786436 BGQ786436 BQM786436 CAI786436 CKE786436 CUA786436 DDW786436 DNS786436 DXO786436 EHK786436 ERG786436 FBC786436 FKY786436 FUU786436 GEQ786436 GOM786436 GYI786436 HIE786436 HSA786436 IBW786436 ILS786436 IVO786436 JFK786436 JPG786436 JZC786436 KIY786436 KSU786436 LCQ786436 LMM786436 LWI786436 MGE786436 MQA786436 MZW786436 NJS786436 NTO786436 ODK786436 ONG786436 OXC786436 PGY786436 PQU786436 QAQ786436 QKM786436 QUI786436 REE786436 ROA786436 RXW786436 SHS786436 SRO786436 TBK786436 TLG786436 TVC786436 UEY786436 UOU786436 UYQ786436 VIM786436 VSI786436 WCE786436 WMA786436 WVW786436 O851972 JK851972 TG851972 ADC851972 AMY851972 AWU851972 BGQ851972 BQM851972 CAI851972 CKE851972 CUA851972 DDW851972 DNS851972 DXO851972 EHK851972 ERG851972 FBC851972 FKY851972 FUU851972 GEQ851972 GOM851972 GYI851972 HIE851972 HSA851972 IBW851972 ILS851972 IVO851972 JFK851972 JPG851972 JZC851972 KIY851972 KSU851972 LCQ851972 LMM851972 LWI851972 MGE851972 MQA851972 MZW851972 NJS851972 NTO851972 ODK851972 ONG851972 OXC851972 PGY851972 PQU851972 QAQ851972 QKM851972 QUI851972 REE851972 ROA851972 RXW851972 SHS851972 SRO851972 TBK851972 TLG851972 TVC851972 UEY851972 UOU851972 UYQ851972 VIM851972 VSI851972 WCE851972 WMA851972 WVW851972 O917508 JK917508 TG917508 ADC917508 AMY917508 AWU917508 BGQ917508 BQM917508 CAI917508 CKE917508 CUA917508 DDW917508 DNS917508 DXO917508 EHK917508 ERG917508 FBC917508 FKY917508 FUU917508 GEQ917508 GOM917508 GYI917508 HIE917508 HSA917508 IBW917508 ILS917508 IVO917508 JFK917508 JPG917508 JZC917508 KIY917508 KSU917508 LCQ917508 LMM917508 LWI917508 MGE917508 MQA917508 MZW917508 NJS917508 NTO917508 ODK917508 ONG917508 OXC917508 PGY917508 PQU917508 QAQ917508 QKM917508 QUI917508 REE917508 ROA917508 RXW917508 SHS917508 SRO917508 TBK917508 TLG917508 TVC917508 UEY917508 UOU917508 UYQ917508 VIM917508 VSI917508 WCE917508 WMA917508 WVW917508 O983044 JK983044 TG983044 ADC983044 AMY983044 AWU983044 BGQ983044 BQM983044 CAI983044 CKE983044 CUA983044 DDW983044 DNS983044 DXO983044 EHK983044 ERG983044 FBC983044 FKY983044 FUU983044 GEQ983044 GOM983044 GYI983044 HIE983044 HSA983044 IBW983044 ILS983044 IVO983044 JFK983044 JPG983044 JZC983044 KIY983044 KSU983044 LCQ983044 LMM983044 LWI983044 MGE983044 MQA983044 MZW983044 NJS983044 NTO983044 ODK983044 ONG983044 OXC983044 PGY983044 PQU983044 QAQ983044 QKM983044 QUI983044 REE983044 ROA983044 RXW983044 SHS983044 SRO983044 TBK983044 TLG983044 TVC983044 UEY983044 UOU983044 UYQ983044 VIM983044 VSI983044 WCE983044 WMA983044 WVW983044"/>
  </dataValidations>
  <pageMargins left="0.75" right="0.75" top="1" bottom="1" header="0.5" footer="0.5"/>
  <pageSetup scale="89" orientation="portrait" r:id="rId1"/>
  <headerFooter alignWithMargins="0"/>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6">
    <tabColor theme="5" tint="0.39997558519241921"/>
    <pageSetUpPr autoPageBreaks="0" fitToPage="1"/>
  </sheetPr>
  <dimension ref="A1:O68"/>
  <sheetViews>
    <sheetView showGridLines="0" zoomScaleNormal="100" workbookViewId="0">
      <selection activeCell="D4" sqref="D4"/>
    </sheetView>
  </sheetViews>
  <sheetFormatPr defaultRowHeight="12.75" x14ac:dyDescent="0.2"/>
  <cols>
    <col min="1" max="1" width="5.85546875" style="43" bestFit="1" customWidth="1"/>
    <col min="2" max="2" width="35.140625" style="43" customWidth="1"/>
    <col min="3" max="3" width="17.140625" style="43" customWidth="1"/>
    <col min="4" max="4" width="15.42578125" style="43" bestFit="1" customWidth="1"/>
    <col min="5" max="5" width="14" style="43" customWidth="1"/>
    <col min="6" max="6" width="12.28515625" style="43" customWidth="1"/>
    <col min="7" max="7" width="8.42578125" style="43" customWidth="1"/>
    <col min="8" max="8" width="13.140625" style="43" customWidth="1"/>
    <col min="9" max="9" width="9.85546875" style="43" customWidth="1"/>
    <col min="10" max="10" width="15.42578125" style="43" customWidth="1"/>
    <col min="11" max="11" width="18.140625" style="43" customWidth="1"/>
    <col min="12" max="12" width="1.42578125" style="43" customWidth="1"/>
    <col min="13" max="13" width="3.5703125" style="43" customWidth="1"/>
    <col min="14" max="14" width="1.7109375" style="43" customWidth="1"/>
    <col min="15" max="15" width="14" style="43" customWidth="1"/>
    <col min="16" max="16" width="2.140625" style="43" customWidth="1"/>
    <col min="17" max="16384" width="9.140625" style="43"/>
  </cols>
  <sheetData>
    <row r="1" spans="1:15" x14ac:dyDescent="0.2">
      <c r="J1" s="892" t="s">
        <v>301</v>
      </c>
      <c r="K1" s="1092" t="str">
        <f>EBNUMBER</f>
        <v>EB-2016-0066</v>
      </c>
    </row>
    <row r="2" spans="1:15" x14ac:dyDescent="0.2">
      <c r="J2" s="892" t="s">
        <v>302</v>
      </c>
      <c r="K2" s="62"/>
    </row>
    <row r="3" spans="1:15" x14ac:dyDescent="0.2">
      <c r="J3" s="892" t="s">
        <v>303</v>
      </c>
      <c r="K3" s="62"/>
    </row>
    <row r="4" spans="1:15" x14ac:dyDescent="0.2">
      <c r="J4" s="892" t="s">
        <v>304</v>
      </c>
      <c r="K4" s="62"/>
    </row>
    <row r="5" spans="1:15" x14ac:dyDescent="0.2">
      <c r="J5" s="892" t="s">
        <v>305</v>
      </c>
      <c r="K5" s="63"/>
    </row>
    <row r="6" spans="1:15" x14ac:dyDescent="0.2">
      <c r="J6" s="893"/>
      <c r="K6" s="61"/>
    </row>
    <row r="7" spans="1:15" x14ac:dyDescent="0.2">
      <c r="J7" s="892" t="s">
        <v>306</v>
      </c>
      <c r="K7" s="63"/>
    </row>
    <row r="10" spans="1:15" ht="18" x14ac:dyDescent="0.25">
      <c r="A10" s="1546" t="s">
        <v>472</v>
      </c>
      <c r="B10" s="1546"/>
      <c r="C10" s="1546"/>
      <c r="D10" s="1546"/>
      <c r="E10" s="1546"/>
      <c r="F10" s="1546"/>
      <c r="G10" s="1546"/>
      <c r="H10" s="1546"/>
      <c r="I10" s="1546"/>
      <c r="J10" s="1546"/>
      <c r="K10" s="1546"/>
      <c r="L10" s="64"/>
      <c r="M10" s="64"/>
      <c r="N10" s="64"/>
      <c r="O10" s="64"/>
    </row>
    <row r="11" spans="1:15" ht="18" x14ac:dyDescent="0.25">
      <c r="A11" s="1546" t="s">
        <v>450</v>
      </c>
      <c r="B11" s="1546"/>
      <c r="C11" s="1546"/>
      <c r="D11" s="1546"/>
      <c r="E11" s="1546"/>
      <c r="F11" s="1546"/>
      <c r="G11" s="1546"/>
      <c r="H11" s="1546"/>
      <c r="I11" s="1546"/>
      <c r="J11" s="1546"/>
      <c r="K11" s="1546"/>
      <c r="L11" s="1546"/>
      <c r="M11" s="1546"/>
      <c r="N11" s="1546"/>
      <c r="O11" s="1546"/>
    </row>
    <row r="12" spans="1:15" ht="9" customHeight="1" x14ac:dyDescent="0.25">
      <c r="L12" s="1042"/>
      <c r="M12" s="1042"/>
      <c r="N12" s="1042"/>
      <c r="O12" s="1042"/>
    </row>
    <row r="13" spans="1:15" ht="28.5" customHeight="1" x14ac:dyDescent="0.25">
      <c r="A13" s="1958" t="s">
        <v>616</v>
      </c>
      <c r="B13" s="1958"/>
      <c r="C13" s="1958"/>
      <c r="D13" s="1958"/>
      <c r="E13" s="1958"/>
      <c r="F13" s="1958"/>
      <c r="G13" s="1958"/>
      <c r="H13" s="1958"/>
      <c r="I13" s="1958"/>
      <c r="J13" s="1958"/>
      <c r="K13" s="1958"/>
      <c r="L13" s="1042"/>
      <c r="M13" s="1042"/>
      <c r="N13" s="1042"/>
      <c r="O13" s="1042"/>
    </row>
    <row r="14" spans="1:15" ht="18" x14ac:dyDescent="0.25">
      <c r="A14" s="1459"/>
      <c r="B14" s="1459"/>
      <c r="C14" s="1459"/>
      <c r="D14" s="1459"/>
      <c r="E14" s="1459"/>
      <c r="F14" s="1459"/>
      <c r="G14" s="1459"/>
      <c r="H14" s="1459"/>
      <c r="I14" s="1459"/>
      <c r="J14" s="1459"/>
      <c r="K14" s="1459"/>
      <c r="L14" s="1456"/>
      <c r="M14" s="1456"/>
      <c r="N14" s="1456"/>
      <c r="O14" s="1456"/>
    </row>
    <row r="15" spans="1:15" ht="18" x14ac:dyDescent="0.25">
      <c r="D15" s="894" t="s">
        <v>15</v>
      </c>
      <c r="E15" s="895">
        <v>2012</v>
      </c>
      <c r="L15" s="1456"/>
      <c r="M15" s="1456"/>
      <c r="N15" s="1456"/>
      <c r="O15" s="1456"/>
    </row>
    <row r="16" spans="1:15" ht="18.75" thickBot="1" x14ac:dyDescent="0.3">
      <c r="L16" s="1456"/>
      <c r="M16" s="1456"/>
      <c r="N16" s="1456"/>
      <c r="O16" s="1456"/>
    </row>
    <row r="17" spans="1:15" ht="25.5" x14ac:dyDescent="0.25">
      <c r="A17" s="896" t="s">
        <v>451</v>
      </c>
      <c r="B17" s="897" t="s">
        <v>235</v>
      </c>
      <c r="C17" s="897" t="s">
        <v>445</v>
      </c>
      <c r="D17" s="898" t="s">
        <v>446</v>
      </c>
      <c r="E17" s="898" t="s">
        <v>447</v>
      </c>
      <c r="F17" s="897" t="s">
        <v>448</v>
      </c>
      <c r="G17" s="899" t="s">
        <v>453</v>
      </c>
      <c r="H17" s="899" t="s">
        <v>452</v>
      </c>
      <c r="I17" s="899" t="s">
        <v>1011</v>
      </c>
      <c r="J17" s="899" t="s">
        <v>1012</v>
      </c>
      <c r="K17" s="900" t="s">
        <v>615</v>
      </c>
      <c r="L17" s="1456"/>
      <c r="M17" s="1456"/>
      <c r="N17" s="1456"/>
      <c r="O17" s="1456"/>
    </row>
    <row r="18" spans="1:15" ht="18" x14ac:dyDescent="0.25">
      <c r="A18" s="901">
        <v>1</v>
      </c>
      <c r="B18" s="1444" t="s">
        <v>1374</v>
      </c>
      <c r="C18" s="1444" t="s">
        <v>1375</v>
      </c>
      <c r="D18" s="895" t="s">
        <v>1376</v>
      </c>
      <c r="E18" s="895" t="s">
        <v>1377</v>
      </c>
      <c r="F18" s="902">
        <v>40724</v>
      </c>
      <c r="G18" s="578">
        <v>1</v>
      </c>
      <c r="H18" s="173">
        <v>5600000</v>
      </c>
      <c r="I18" s="578">
        <v>2.1399999999999999E-2</v>
      </c>
      <c r="J18" s="903">
        <f>H18*I18</f>
        <v>119840</v>
      </c>
      <c r="K18" s="904"/>
      <c r="L18" s="1456"/>
      <c r="M18" s="1456"/>
      <c r="N18" s="1456"/>
      <c r="O18" s="1456"/>
    </row>
    <row r="19" spans="1:15" ht="18" x14ac:dyDescent="0.25">
      <c r="A19" s="901">
        <v>2</v>
      </c>
      <c r="B19" s="1444" t="s">
        <v>1378</v>
      </c>
      <c r="C19" s="1444" t="s">
        <v>1301</v>
      </c>
      <c r="D19" s="895" t="s">
        <v>1379</v>
      </c>
      <c r="E19" s="895" t="s">
        <v>1377</v>
      </c>
      <c r="F19" s="1466" t="s">
        <v>1380</v>
      </c>
      <c r="G19" s="578"/>
      <c r="H19" s="173">
        <v>1900000</v>
      </c>
      <c r="I19" s="578">
        <v>4.41E-2</v>
      </c>
      <c r="J19" s="903">
        <f>H19*I19</f>
        <v>83790</v>
      </c>
      <c r="K19" s="904"/>
      <c r="L19" s="1456"/>
      <c r="M19" s="1456"/>
      <c r="N19" s="1456"/>
      <c r="O19" s="1456"/>
    </row>
    <row r="20" spans="1:15" ht="18.75" thickBot="1" x14ac:dyDescent="0.3">
      <c r="A20" s="905"/>
      <c r="B20" s="906"/>
      <c r="C20" s="907"/>
      <c r="D20" s="907"/>
      <c r="E20" s="907"/>
      <c r="F20" s="906"/>
      <c r="G20" s="907"/>
      <c r="H20" s="907"/>
      <c r="I20" s="907"/>
      <c r="J20" s="906"/>
      <c r="K20" s="904"/>
      <c r="L20" s="1456"/>
      <c r="M20" s="1456"/>
      <c r="N20" s="1456"/>
      <c r="O20" s="1456"/>
    </row>
    <row r="21" spans="1:15" ht="19.5" thickTop="1" thickBot="1" x14ac:dyDescent="0.3">
      <c r="A21" s="908" t="s">
        <v>295</v>
      </c>
      <c r="B21" s="909"/>
      <c r="C21" s="910"/>
      <c r="D21" s="910"/>
      <c r="E21" s="910"/>
      <c r="F21" s="909"/>
      <c r="G21" s="910"/>
      <c r="H21" s="775">
        <f>SUM(H18:H19)</f>
        <v>7500000</v>
      </c>
      <c r="I21" s="910">
        <f>IF(H21=0,"",J21/H21)</f>
        <v>2.7150666666666667E-2</v>
      </c>
      <c r="J21" s="911">
        <f>SUM(J18:J19)</f>
        <v>203630</v>
      </c>
      <c r="K21" s="912"/>
      <c r="L21" s="1456"/>
      <c r="M21" s="1456"/>
      <c r="N21" s="1456"/>
      <c r="O21" s="1456"/>
    </row>
    <row r="22" spans="1:15" ht="18" x14ac:dyDescent="0.25">
      <c r="A22" s="1459"/>
      <c r="B22" s="1459"/>
      <c r="C22" s="1459"/>
      <c r="D22" s="1459"/>
      <c r="E22" s="1459"/>
      <c r="F22" s="1459"/>
      <c r="G22" s="1459"/>
      <c r="H22" s="1459"/>
      <c r="I22" s="1459"/>
      <c r="J22" s="1459"/>
      <c r="K22" s="1459"/>
      <c r="L22" s="1456"/>
      <c r="M22" s="1456"/>
      <c r="N22" s="1456"/>
      <c r="O22" s="1456"/>
    </row>
    <row r="23" spans="1:15" ht="18" x14ac:dyDescent="0.25">
      <c r="D23" s="894" t="s">
        <v>15</v>
      </c>
      <c r="E23" s="895">
        <v>2013</v>
      </c>
      <c r="L23" s="1456"/>
      <c r="M23" s="1456"/>
      <c r="N23" s="1456"/>
      <c r="O23" s="1456"/>
    </row>
    <row r="24" spans="1:15" ht="18.75" thickBot="1" x14ac:dyDescent="0.3">
      <c r="L24" s="1456"/>
      <c r="M24" s="1456"/>
      <c r="N24" s="1456"/>
      <c r="O24" s="1456"/>
    </row>
    <row r="25" spans="1:15" ht="25.5" x14ac:dyDescent="0.25">
      <c r="A25" s="896" t="s">
        <v>451</v>
      </c>
      <c r="B25" s="897" t="s">
        <v>235</v>
      </c>
      <c r="C25" s="897" t="s">
        <v>445</v>
      </c>
      <c r="D25" s="898" t="s">
        <v>446</v>
      </c>
      <c r="E25" s="898" t="s">
        <v>447</v>
      </c>
      <c r="F25" s="897" t="s">
        <v>448</v>
      </c>
      <c r="G25" s="899" t="s">
        <v>453</v>
      </c>
      <c r="H25" s="899" t="s">
        <v>452</v>
      </c>
      <c r="I25" s="899" t="s">
        <v>1011</v>
      </c>
      <c r="J25" s="899" t="s">
        <v>1012</v>
      </c>
      <c r="K25" s="900" t="s">
        <v>615</v>
      </c>
      <c r="L25" s="1456"/>
      <c r="M25" s="1456"/>
      <c r="N25" s="1456"/>
      <c r="O25" s="1456"/>
    </row>
    <row r="26" spans="1:15" ht="18" x14ac:dyDescent="0.25">
      <c r="A26" s="901">
        <v>1</v>
      </c>
      <c r="B26" s="1444" t="s">
        <v>1374</v>
      </c>
      <c r="C26" s="1444" t="s">
        <v>1375</v>
      </c>
      <c r="D26" s="895" t="s">
        <v>1376</v>
      </c>
      <c r="E26" s="895" t="s">
        <v>1377</v>
      </c>
      <c r="F26" s="902">
        <v>41090</v>
      </c>
      <c r="G26" s="578">
        <v>1</v>
      </c>
      <c r="H26" s="173">
        <v>4800000</v>
      </c>
      <c r="I26" s="578">
        <v>0.02</v>
      </c>
      <c r="J26" s="903">
        <f>H26*I26</f>
        <v>96000</v>
      </c>
      <c r="K26" s="904"/>
      <c r="L26" s="1456"/>
      <c r="M26" s="1456"/>
      <c r="N26" s="1456"/>
      <c r="O26" s="1456"/>
    </row>
    <row r="27" spans="1:15" ht="18" x14ac:dyDescent="0.25">
      <c r="A27" s="901">
        <v>2</v>
      </c>
      <c r="B27" s="1444" t="s">
        <v>1378</v>
      </c>
      <c r="C27" s="1444" t="s">
        <v>1301</v>
      </c>
      <c r="D27" s="895" t="s">
        <v>1379</v>
      </c>
      <c r="E27" s="895" t="s">
        <v>1377</v>
      </c>
      <c r="F27" s="1466" t="s">
        <v>1380</v>
      </c>
      <c r="G27" s="578"/>
      <c r="H27" s="173">
        <v>1900000</v>
      </c>
      <c r="I27" s="578">
        <v>7.2499999999999995E-2</v>
      </c>
      <c r="J27" s="903">
        <f>H27*I27</f>
        <v>137750</v>
      </c>
      <c r="K27" s="904"/>
      <c r="L27" s="1456"/>
      <c r="M27" s="1456"/>
      <c r="N27" s="1456"/>
      <c r="O27" s="1456"/>
    </row>
    <row r="28" spans="1:15" ht="18.75" thickBot="1" x14ac:dyDescent="0.3">
      <c r="A28" s="905"/>
      <c r="B28" s="906"/>
      <c r="C28" s="907"/>
      <c r="D28" s="907"/>
      <c r="E28" s="907"/>
      <c r="F28" s="906"/>
      <c r="G28" s="907"/>
      <c r="H28" s="907"/>
      <c r="I28" s="907"/>
      <c r="J28" s="906"/>
      <c r="K28" s="904"/>
      <c r="L28" s="1456"/>
      <c r="M28" s="1456"/>
      <c r="N28" s="1456"/>
      <c r="O28" s="1456"/>
    </row>
    <row r="29" spans="1:15" ht="19.5" thickTop="1" thickBot="1" x14ac:dyDescent="0.3">
      <c r="A29" s="908" t="s">
        <v>295</v>
      </c>
      <c r="B29" s="909"/>
      <c r="C29" s="910"/>
      <c r="D29" s="910"/>
      <c r="E29" s="910"/>
      <c r="F29" s="909"/>
      <c r="G29" s="910"/>
      <c r="H29" s="775">
        <f>SUM(H26:H27)</f>
        <v>6700000</v>
      </c>
      <c r="I29" s="910">
        <f>IF(H29=0,"",J29/H29)</f>
        <v>3.4888059701492537E-2</v>
      </c>
      <c r="J29" s="911">
        <f>SUM(J26:J27)</f>
        <v>233750</v>
      </c>
      <c r="K29" s="912"/>
      <c r="L29" s="1456"/>
      <c r="M29" s="1456"/>
      <c r="N29" s="1456"/>
      <c r="O29" s="1456"/>
    </row>
    <row r="30" spans="1:15" ht="18" x14ac:dyDescent="0.25">
      <c r="A30" s="1459"/>
      <c r="B30" s="1459"/>
      <c r="C30" s="1459"/>
      <c r="D30" s="1459"/>
      <c r="E30" s="1459"/>
      <c r="F30" s="1459"/>
      <c r="G30" s="1459"/>
      <c r="H30" s="1459"/>
      <c r="I30" s="1459"/>
      <c r="J30" s="1459"/>
      <c r="K30" s="1459"/>
      <c r="L30" s="1456"/>
      <c r="M30" s="1456"/>
      <c r="N30" s="1456"/>
      <c r="O30" s="1456"/>
    </row>
    <row r="31" spans="1:15" ht="18" x14ac:dyDescent="0.25">
      <c r="D31" s="894" t="s">
        <v>15</v>
      </c>
      <c r="E31" s="895">
        <v>2014</v>
      </c>
      <c r="L31" s="1456"/>
      <c r="M31" s="1456"/>
      <c r="N31" s="1456"/>
      <c r="O31" s="1456"/>
    </row>
    <row r="32" spans="1:15" ht="18.75" thickBot="1" x14ac:dyDescent="0.3">
      <c r="L32" s="1456"/>
      <c r="M32" s="1456"/>
      <c r="N32" s="1456"/>
      <c r="O32" s="1456"/>
    </row>
    <row r="33" spans="1:15" ht="25.5" x14ac:dyDescent="0.25">
      <c r="A33" s="896" t="s">
        <v>451</v>
      </c>
      <c r="B33" s="897" t="s">
        <v>235</v>
      </c>
      <c r="C33" s="897" t="s">
        <v>445</v>
      </c>
      <c r="D33" s="898" t="s">
        <v>446</v>
      </c>
      <c r="E33" s="898" t="s">
        <v>447</v>
      </c>
      <c r="F33" s="897" t="s">
        <v>448</v>
      </c>
      <c r="G33" s="899" t="s">
        <v>453</v>
      </c>
      <c r="H33" s="899" t="s">
        <v>452</v>
      </c>
      <c r="I33" s="899" t="s">
        <v>1011</v>
      </c>
      <c r="J33" s="899" t="s">
        <v>1012</v>
      </c>
      <c r="K33" s="900" t="s">
        <v>615</v>
      </c>
      <c r="L33" s="1456"/>
      <c r="M33" s="1456"/>
      <c r="N33" s="1456"/>
      <c r="O33" s="1456"/>
    </row>
    <row r="34" spans="1:15" ht="18" x14ac:dyDescent="0.25">
      <c r="A34" s="901">
        <v>1</v>
      </c>
      <c r="B34" s="1444" t="s">
        <v>1374</v>
      </c>
      <c r="C34" s="1444" t="s">
        <v>1375</v>
      </c>
      <c r="D34" s="895" t="s">
        <v>1376</v>
      </c>
      <c r="E34" s="895" t="s">
        <v>1377</v>
      </c>
      <c r="F34" s="902">
        <v>41455</v>
      </c>
      <c r="G34" s="578">
        <v>1</v>
      </c>
      <c r="H34" s="173">
        <v>4800000</v>
      </c>
      <c r="I34" s="578">
        <v>2.0400000000000001E-2</v>
      </c>
      <c r="J34" s="903">
        <f>H34*I34</f>
        <v>97920</v>
      </c>
      <c r="K34" s="904"/>
      <c r="L34" s="1456"/>
      <c r="M34" s="1456"/>
      <c r="N34" s="1456"/>
      <c r="O34" s="1456"/>
    </row>
    <row r="35" spans="1:15" ht="18" x14ac:dyDescent="0.25">
      <c r="A35" s="901">
        <v>2</v>
      </c>
      <c r="B35" s="1444" t="s">
        <v>1374</v>
      </c>
      <c r="C35" s="1444" t="s">
        <v>1375</v>
      </c>
      <c r="D35" s="895" t="s">
        <v>1376</v>
      </c>
      <c r="E35" s="895" t="s">
        <v>1377</v>
      </c>
      <c r="F35" s="902">
        <v>41455</v>
      </c>
      <c r="G35" s="578">
        <v>1</v>
      </c>
      <c r="H35" s="173">
        <v>1100000</v>
      </c>
      <c r="I35" s="578">
        <v>2.0400000000000001E-2</v>
      </c>
      <c r="J35" s="903">
        <f>H35*I35</f>
        <v>22440</v>
      </c>
      <c r="K35" s="904"/>
      <c r="L35" s="1456"/>
      <c r="M35" s="1456"/>
      <c r="N35" s="1456"/>
      <c r="O35" s="1456"/>
    </row>
    <row r="36" spans="1:15" ht="18.75" thickBot="1" x14ac:dyDescent="0.3">
      <c r="A36" s="905"/>
      <c r="B36" s="906"/>
      <c r="C36" s="907"/>
      <c r="D36" s="907"/>
      <c r="E36" s="907"/>
      <c r="F36" s="906"/>
      <c r="G36" s="907"/>
      <c r="H36" s="907"/>
      <c r="I36" s="907"/>
      <c r="J36" s="906"/>
      <c r="K36" s="904"/>
      <c r="L36" s="1456"/>
      <c r="M36" s="1456"/>
      <c r="N36" s="1456"/>
      <c r="O36" s="1456"/>
    </row>
    <row r="37" spans="1:15" ht="19.5" thickTop="1" thickBot="1" x14ac:dyDescent="0.3">
      <c r="A37" s="908" t="s">
        <v>295</v>
      </c>
      <c r="B37" s="909"/>
      <c r="C37" s="910"/>
      <c r="D37" s="910"/>
      <c r="E37" s="910"/>
      <c r="F37" s="909"/>
      <c r="G37" s="910"/>
      <c r="H37" s="775">
        <f>SUM(H34:H35)</f>
        <v>5900000</v>
      </c>
      <c r="I37" s="910">
        <f>IF(H37=0,"",J37/H37)</f>
        <v>2.0400000000000001E-2</v>
      </c>
      <c r="J37" s="911">
        <f>SUM(J34:J35)</f>
        <v>120360</v>
      </c>
      <c r="K37" s="912"/>
      <c r="L37" s="1456"/>
      <c r="M37" s="1456"/>
      <c r="N37" s="1456"/>
      <c r="O37" s="1456"/>
    </row>
    <row r="38" spans="1:15" ht="18" x14ac:dyDescent="0.25">
      <c r="A38" s="1459"/>
      <c r="B38" s="1459"/>
      <c r="C38" s="1459"/>
      <c r="D38" s="1459"/>
      <c r="E38" s="1459"/>
      <c r="F38" s="1459"/>
      <c r="G38" s="1459"/>
      <c r="H38" s="1459"/>
      <c r="I38" s="1459"/>
      <c r="J38" s="1459"/>
      <c r="K38" s="1459"/>
      <c r="L38" s="1456"/>
      <c r="M38" s="1456"/>
      <c r="N38" s="1456"/>
      <c r="O38" s="1456"/>
    </row>
    <row r="39" spans="1:15" ht="18" x14ac:dyDescent="0.25">
      <c r="D39" s="894" t="s">
        <v>15</v>
      </c>
      <c r="E39" s="895">
        <v>2015</v>
      </c>
      <c r="L39" s="1456"/>
      <c r="M39" s="1456"/>
      <c r="N39" s="1456"/>
      <c r="O39" s="1456"/>
    </row>
    <row r="40" spans="1:15" ht="18.75" thickBot="1" x14ac:dyDescent="0.3">
      <c r="L40" s="1456"/>
      <c r="M40" s="1456"/>
      <c r="N40" s="1456"/>
      <c r="O40" s="1456"/>
    </row>
    <row r="41" spans="1:15" ht="25.5" x14ac:dyDescent="0.25">
      <c r="A41" s="896" t="s">
        <v>451</v>
      </c>
      <c r="B41" s="897" t="s">
        <v>235</v>
      </c>
      <c r="C41" s="897" t="s">
        <v>445</v>
      </c>
      <c r="D41" s="898" t="s">
        <v>446</v>
      </c>
      <c r="E41" s="898" t="s">
        <v>447</v>
      </c>
      <c r="F41" s="897" t="s">
        <v>448</v>
      </c>
      <c r="G41" s="899" t="s">
        <v>453</v>
      </c>
      <c r="H41" s="899" t="s">
        <v>452</v>
      </c>
      <c r="I41" s="899" t="s">
        <v>1011</v>
      </c>
      <c r="J41" s="899" t="s">
        <v>1012</v>
      </c>
      <c r="K41" s="900" t="s">
        <v>615</v>
      </c>
      <c r="L41" s="1456"/>
      <c r="M41" s="1456"/>
      <c r="N41" s="1456"/>
      <c r="O41" s="1456"/>
    </row>
    <row r="42" spans="1:15" ht="18" x14ac:dyDescent="0.25">
      <c r="A42" s="901">
        <v>1</v>
      </c>
      <c r="B42" s="1444" t="s">
        <v>1374</v>
      </c>
      <c r="C42" s="1444" t="s">
        <v>1375</v>
      </c>
      <c r="D42" s="895" t="s">
        <v>1376</v>
      </c>
      <c r="E42" s="895" t="s">
        <v>1377</v>
      </c>
      <c r="F42" s="902">
        <v>41820</v>
      </c>
      <c r="G42" s="578">
        <v>1</v>
      </c>
      <c r="H42" s="173">
        <v>4800000</v>
      </c>
      <c r="I42" s="578">
        <v>1.5900000000000001E-2</v>
      </c>
      <c r="J42" s="903">
        <f>H42*I42</f>
        <v>76320</v>
      </c>
      <c r="K42" s="904"/>
      <c r="L42" s="1456"/>
      <c r="M42" s="1456"/>
      <c r="N42" s="1456"/>
      <c r="O42" s="1456"/>
    </row>
    <row r="43" spans="1:15" ht="18" x14ac:dyDescent="0.25">
      <c r="A43" s="901">
        <v>2</v>
      </c>
      <c r="B43" s="1444" t="s">
        <v>1374</v>
      </c>
      <c r="C43" s="1444" t="s">
        <v>1375</v>
      </c>
      <c r="D43" s="895" t="s">
        <v>1376</v>
      </c>
      <c r="E43" s="895" t="s">
        <v>1377</v>
      </c>
      <c r="F43" s="902">
        <v>41820</v>
      </c>
      <c r="G43" s="578">
        <v>1</v>
      </c>
      <c r="H43" s="173">
        <v>300000</v>
      </c>
      <c r="I43" s="578">
        <v>1.5900000000000001E-2</v>
      </c>
      <c r="J43" s="903">
        <f>H43*I43</f>
        <v>4770</v>
      </c>
      <c r="K43" s="904"/>
      <c r="L43" s="1456"/>
      <c r="M43" s="1456"/>
      <c r="N43" s="1456"/>
      <c r="O43" s="1456"/>
    </row>
    <row r="44" spans="1:15" ht="18.75" thickBot="1" x14ac:dyDescent="0.3">
      <c r="A44" s="905"/>
      <c r="B44" s="906"/>
      <c r="C44" s="907"/>
      <c r="D44" s="907"/>
      <c r="E44" s="907"/>
      <c r="F44" s="906"/>
      <c r="G44" s="907"/>
      <c r="H44" s="907"/>
      <c r="I44" s="907"/>
      <c r="J44" s="906"/>
      <c r="K44" s="904"/>
      <c r="L44" s="1456"/>
      <c r="M44" s="1456"/>
      <c r="N44" s="1456"/>
      <c r="O44" s="1456"/>
    </row>
    <row r="45" spans="1:15" ht="19.5" thickTop="1" thickBot="1" x14ac:dyDescent="0.3">
      <c r="A45" s="908" t="s">
        <v>295</v>
      </c>
      <c r="B45" s="909"/>
      <c r="C45" s="910"/>
      <c r="D45" s="910"/>
      <c r="E45" s="910"/>
      <c r="F45" s="909"/>
      <c r="G45" s="910"/>
      <c r="H45" s="775">
        <f>SUM(H42:H43)</f>
        <v>5100000</v>
      </c>
      <c r="I45" s="910">
        <f>IF(H45=0,"",J45/H45)</f>
        <v>1.5900000000000001E-2</v>
      </c>
      <c r="J45" s="911">
        <f>SUM(J42:J43)</f>
        <v>81090</v>
      </c>
      <c r="K45" s="912"/>
      <c r="L45" s="1456"/>
      <c r="M45" s="1456"/>
      <c r="N45" s="1456"/>
      <c r="O45" s="1456"/>
    </row>
    <row r="46" spans="1:15" ht="18" x14ac:dyDescent="0.25">
      <c r="A46" s="1459"/>
      <c r="B46" s="1459"/>
      <c r="C46" s="1459"/>
      <c r="D46" s="1459"/>
      <c r="E46" s="1459"/>
      <c r="F46" s="1459"/>
      <c r="G46" s="1459"/>
      <c r="H46" s="1459"/>
      <c r="I46" s="1459"/>
      <c r="J46" s="1459"/>
      <c r="K46" s="1459"/>
      <c r="L46" s="1456"/>
      <c r="M46" s="1456"/>
      <c r="N46" s="1456"/>
      <c r="O46" s="1456"/>
    </row>
    <row r="47" spans="1:15" ht="18" x14ac:dyDescent="0.25">
      <c r="D47" s="894" t="s">
        <v>15</v>
      </c>
      <c r="E47" s="895">
        <v>2016</v>
      </c>
      <c r="L47" s="1456"/>
      <c r="M47" s="1456"/>
      <c r="N47" s="1456"/>
      <c r="O47" s="1456"/>
    </row>
    <row r="48" spans="1:15" ht="18.75" thickBot="1" x14ac:dyDescent="0.3">
      <c r="L48" s="1456"/>
      <c r="M48" s="1456"/>
      <c r="N48" s="1456"/>
      <c r="O48" s="1456"/>
    </row>
    <row r="49" spans="1:15" ht="25.5" x14ac:dyDescent="0.25">
      <c r="A49" s="896" t="s">
        <v>451</v>
      </c>
      <c r="B49" s="897" t="s">
        <v>235</v>
      </c>
      <c r="C49" s="897" t="s">
        <v>445</v>
      </c>
      <c r="D49" s="898" t="s">
        <v>446</v>
      </c>
      <c r="E49" s="898" t="s">
        <v>447</v>
      </c>
      <c r="F49" s="897" t="s">
        <v>448</v>
      </c>
      <c r="G49" s="899" t="s">
        <v>453</v>
      </c>
      <c r="H49" s="899" t="s">
        <v>452</v>
      </c>
      <c r="I49" s="899" t="s">
        <v>1011</v>
      </c>
      <c r="J49" s="899" t="s">
        <v>1012</v>
      </c>
      <c r="K49" s="900" t="s">
        <v>615</v>
      </c>
      <c r="L49" s="1456"/>
      <c r="M49" s="1456"/>
      <c r="N49" s="1456"/>
      <c r="O49" s="1456"/>
    </row>
    <row r="50" spans="1:15" ht="18" x14ac:dyDescent="0.25">
      <c r="A50" s="901">
        <v>1</v>
      </c>
      <c r="B50" s="1444" t="s">
        <v>1374</v>
      </c>
      <c r="C50" s="1444" t="s">
        <v>1375</v>
      </c>
      <c r="D50" s="895" t="s">
        <v>1376</v>
      </c>
      <c r="E50" s="895" t="s">
        <v>1377</v>
      </c>
      <c r="F50" s="902">
        <v>42185</v>
      </c>
      <c r="G50" s="578">
        <v>1</v>
      </c>
      <c r="H50" s="173">
        <v>4300000</v>
      </c>
      <c r="I50" s="578">
        <v>2.9499999999999998E-2</v>
      </c>
      <c r="J50" s="903">
        <f>H50*I50</f>
        <v>126850</v>
      </c>
      <c r="K50" s="904"/>
      <c r="L50" s="1456"/>
      <c r="M50" s="1456"/>
      <c r="N50" s="1456"/>
      <c r="O50" s="1456"/>
    </row>
    <row r="51" spans="1:15" ht="18" x14ac:dyDescent="0.25">
      <c r="A51" s="901">
        <v>2</v>
      </c>
      <c r="B51" s="578"/>
      <c r="C51" s="578"/>
      <c r="D51" s="895"/>
      <c r="E51" s="895"/>
      <c r="F51" s="902"/>
      <c r="G51" s="578"/>
      <c r="H51" s="173"/>
      <c r="I51" s="578"/>
      <c r="J51" s="903">
        <f>H51*I51</f>
        <v>0</v>
      </c>
      <c r="K51" s="904"/>
      <c r="L51" s="1456"/>
      <c r="M51" s="1456"/>
      <c r="N51" s="1456"/>
      <c r="O51" s="1456"/>
    </row>
    <row r="52" spans="1:15" ht="18.75" thickBot="1" x14ac:dyDescent="0.3">
      <c r="A52" s="905"/>
      <c r="B52" s="906"/>
      <c r="C52" s="907"/>
      <c r="D52" s="907"/>
      <c r="E52" s="907"/>
      <c r="F52" s="906"/>
      <c r="G52" s="907"/>
      <c r="H52" s="907"/>
      <c r="I52" s="907"/>
      <c r="J52" s="906"/>
      <c r="K52" s="904"/>
      <c r="L52" s="1456"/>
      <c r="M52" s="1456"/>
      <c r="N52" s="1456"/>
      <c r="O52" s="1456"/>
    </row>
    <row r="53" spans="1:15" ht="19.5" thickTop="1" thickBot="1" x14ac:dyDescent="0.3">
      <c r="A53" s="908" t="s">
        <v>295</v>
      </c>
      <c r="B53" s="909"/>
      <c r="C53" s="910"/>
      <c r="D53" s="910"/>
      <c r="E53" s="910"/>
      <c r="F53" s="909"/>
      <c r="G53" s="910"/>
      <c r="H53" s="775">
        <f>SUM(H50:H51)</f>
        <v>4300000</v>
      </c>
      <c r="I53" s="910">
        <f>IF(H53=0,"",J53/H53)</f>
        <v>2.9499999999999998E-2</v>
      </c>
      <c r="J53" s="911">
        <f>SUM(J50:J51)</f>
        <v>126850</v>
      </c>
      <c r="K53" s="912"/>
      <c r="L53" s="1456"/>
      <c r="M53" s="1456"/>
      <c r="N53" s="1456"/>
      <c r="O53" s="1456"/>
    </row>
    <row r="54" spans="1:15" ht="18" x14ac:dyDescent="0.25">
      <c r="A54" s="1459"/>
      <c r="B54" s="1459"/>
      <c r="C54" s="1459"/>
      <c r="D54" s="1459"/>
      <c r="E54" s="1459"/>
      <c r="F54" s="1459"/>
      <c r="G54" s="1459"/>
      <c r="H54" s="1459"/>
      <c r="I54" s="1459"/>
      <c r="J54" s="1459"/>
      <c r="K54" s="1459"/>
      <c r="L54" s="1456"/>
      <c r="M54" s="1456"/>
      <c r="N54" s="1456"/>
      <c r="O54" s="1456"/>
    </row>
    <row r="55" spans="1:15" ht="15.75" x14ac:dyDescent="0.2">
      <c r="D55" s="894" t="s">
        <v>15</v>
      </c>
      <c r="E55" s="895">
        <v>2017</v>
      </c>
    </row>
    <row r="56" spans="1:15" ht="16.5" customHeight="1" thickBot="1" x14ac:dyDescent="0.25"/>
    <row r="57" spans="1:15" ht="25.5" x14ac:dyDescent="0.2">
      <c r="A57" s="896" t="s">
        <v>451</v>
      </c>
      <c r="B57" s="897" t="s">
        <v>235</v>
      </c>
      <c r="C57" s="897" t="s">
        <v>445</v>
      </c>
      <c r="D57" s="898" t="s">
        <v>446</v>
      </c>
      <c r="E57" s="898" t="s">
        <v>447</v>
      </c>
      <c r="F57" s="897" t="s">
        <v>448</v>
      </c>
      <c r="G57" s="899" t="s">
        <v>453</v>
      </c>
      <c r="H57" s="899" t="s">
        <v>452</v>
      </c>
      <c r="I57" s="899" t="s">
        <v>1011</v>
      </c>
      <c r="J57" s="899" t="s">
        <v>1012</v>
      </c>
      <c r="K57" s="900" t="s">
        <v>615</v>
      </c>
    </row>
    <row r="58" spans="1:15" x14ac:dyDescent="0.2">
      <c r="A58" s="901">
        <v>1</v>
      </c>
      <c r="B58" s="1444" t="s">
        <v>1374</v>
      </c>
      <c r="C58" s="1444" t="s">
        <v>1375</v>
      </c>
      <c r="D58" s="895" t="s">
        <v>1376</v>
      </c>
      <c r="E58" s="895" t="s">
        <v>1377</v>
      </c>
      <c r="F58" s="902">
        <v>42551</v>
      </c>
      <c r="G58" s="578">
        <v>1</v>
      </c>
      <c r="H58" s="173">
        <v>4300000</v>
      </c>
      <c r="I58" s="578">
        <v>2.9499999999999998E-2</v>
      </c>
      <c r="J58" s="903">
        <f>H58*I58</f>
        <v>126850</v>
      </c>
      <c r="K58" s="904"/>
    </row>
    <row r="59" spans="1:15" x14ac:dyDescent="0.2">
      <c r="A59" s="901">
        <v>2</v>
      </c>
      <c r="B59" s="578"/>
      <c r="C59" s="578"/>
      <c r="D59" s="895"/>
      <c r="E59" s="895"/>
      <c r="F59" s="902"/>
      <c r="G59" s="578"/>
      <c r="H59" s="173"/>
      <c r="I59" s="578"/>
      <c r="J59" s="903">
        <f>H59*I59</f>
        <v>0</v>
      </c>
      <c r="K59" s="904"/>
    </row>
    <row r="60" spans="1:15" ht="13.5" thickBot="1" x14ac:dyDescent="0.25">
      <c r="A60" s="905"/>
      <c r="B60" s="906"/>
      <c r="C60" s="907"/>
      <c r="D60" s="907"/>
      <c r="E60" s="907"/>
      <c r="F60" s="906"/>
      <c r="G60" s="907"/>
      <c r="H60" s="907"/>
      <c r="I60" s="907"/>
      <c r="J60" s="906"/>
      <c r="K60" s="904"/>
    </row>
    <row r="61" spans="1:15" ht="14.25" thickTop="1" thickBot="1" x14ac:dyDescent="0.25">
      <c r="A61" s="908" t="s">
        <v>295</v>
      </c>
      <c r="B61" s="909"/>
      <c r="C61" s="910"/>
      <c r="D61" s="910"/>
      <c r="E61" s="910"/>
      <c r="F61" s="909"/>
      <c r="G61" s="910"/>
      <c r="H61" s="775">
        <f>SUM(H58:H59)</f>
        <v>4300000</v>
      </c>
      <c r="I61" s="910">
        <f>IF(H61=0,"",J61/H61)</f>
        <v>2.9499999999999998E-2</v>
      </c>
      <c r="J61" s="911">
        <f>SUM(J58:J59)</f>
        <v>126850</v>
      </c>
      <c r="K61" s="912"/>
    </row>
    <row r="62" spans="1:15" x14ac:dyDescent="0.2">
      <c r="A62" s="119"/>
      <c r="B62" s="119"/>
      <c r="C62" s="119"/>
      <c r="D62" s="119"/>
      <c r="E62" s="119"/>
      <c r="F62" s="119"/>
      <c r="G62" s="119"/>
      <c r="H62" s="1453"/>
      <c r="I62" s="119"/>
      <c r="J62" s="1465"/>
      <c r="K62" s="119"/>
    </row>
    <row r="66" spans="1:11" x14ac:dyDescent="0.2">
      <c r="A66" s="913">
        <v>1</v>
      </c>
      <c r="B66" s="1754" t="s">
        <v>1013</v>
      </c>
      <c r="C66" s="1754"/>
      <c r="D66" s="1754"/>
      <c r="E66" s="1754"/>
      <c r="F66" s="1754"/>
      <c r="G66" s="1754"/>
      <c r="H66" s="1754"/>
      <c r="I66" s="1754"/>
      <c r="J66" s="1754"/>
      <c r="K66" s="1754"/>
    </row>
    <row r="67" spans="1:11" ht="27" customHeight="1" x14ac:dyDescent="0.2">
      <c r="A67" s="913">
        <v>2</v>
      </c>
      <c r="B67" s="1545" t="s">
        <v>911</v>
      </c>
      <c r="C67" s="1545"/>
      <c r="D67" s="1545"/>
      <c r="E67" s="1545"/>
      <c r="F67" s="1545"/>
      <c r="G67" s="1545"/>
      <c r="H67" s="1545"/>
      <c r="I67" s="1545"/>
      <c r="J67" s="1545"/>
      <c r="K67" s="1545"/>
    </row>
    <row r="68" spans="1:11" x14ac:dyDescent="0.2">
      <c r="A68" s="598">
        <v>3</v>
      </c>
      <c r="B68" s="1800" t="s">
        <v>449</v>
      </c>
      <c r="C68" s="1800"/>
      <c r="D68" s="1800"/>
      <c r="E68" s="1800"/>
      <c r="F68" s="1800"/>
      <c r="G68" s="1800"/>
      <c r="H68" s="1800"/>
      <c r="I68" s="1800"/>
      <c r="J68" s="1800"/>
      <c r="K68" s="1800"/>
    </row>
  </sheetData>
  <mergeCells count="7">
    <mergeCell ref="B68:K68"/>
    <mergeCell ref="A10:K10"/>
    <mergeCell ref="A11:K11"/>
    <mergeCell ref="L11:O11"/>
    <mergeCell ref="A13:K13"/>
    <mergeCell ref="B67:K67"/>
    <mergeCell ref="B66:K66"/>
  </mergeCells>
  <phoneticPr fontId="16" type="noConversion"/>
  <dataValidations count="4">
    <dataValidation allowBlank="1" showInputMessage="1" showErrorMessage="1" promptTitle="Date Format" prompt="E.g:  &quot;August 1, 2011&quot;" sqref="K7"/>
    <dataValidation type="list" allowBlank="1" showInputMessage="1" showErrorMessage="1" sqref="E58:E59 E50:E51 E42:E43 E34:E35 E26:E27 E18:E19">
      <formula1>"Fixed Rate, Variable Rate"</formula1>
    </dataValidation>
    <dataValidation type="list" allowBlank="1" showInputMessage="1" showErrorMessage="1" sqref="D58:D59 D50:D51 D42:D43 D34:D35 D26:D27 D18:D19">
      <formula1>"Affiliated, Third-Party"</formula1>
    </dataValidation>
    <dataValidation type="list" allowBlank="1" showInputMessage="1" showErrorMessage="1" sqref="E55 E47 E39 E31 E23 E15">
      <formula1>"2006,2007,2008,2009,2012,2013, 2014, 2015, 2016, 2017, 2018, 2019, 2020"</formula1>
    </dataValidation>
  </dataValidations>
  <pageMargins left="0.75" right="0.75" top="1" bottom="1" header="0.5" footer="0.5"/>
  <pageSetup scale="55" orientation="portrait" r:id="rId1"/>
  <headerFooter alignWithMargins="0"/>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8">
    <tabColor theme="6" tint="0.39997558519241921"/>
  </sheetPr>
  <dimension ref="A1:N61"/>
  <sheetViews>
    <sheetView showGridLines="0" zoomScale="85" zoomScaleNormal="85" workbookViewId="0">
      <selection activeCell="A9" sqref="A9:G9"/>
    </sheetView>
  </sheetViews>
  <sheetFormatPr defaultRowHeight="12.75" x14ac:dyDescent="0.2"/>
  <cols>
    <col min="1" max="1" width="21.5703125" style="43" customWidth="1"/>
    <col min="2" max="2" width="17.7109375" style="43" customWidth="1"/>
    <col min="3" max="3" width="22.85546875" style="43" customWidth="1"/>
    <col min="4" max="4" width="21.5703125" style="43" customWidth="1"/>
    <col min="5" max="5" width="21.28515625" style="43" customWidth="1"/>
    <col min="6" max="6" width="21.140625" style="43" customWidth="1"/>
    <col min="7" max="7" width="24.85546875" style="43" customWidth="1"/>
    <col min="8" max="8" width="9.140625" style="43"/>
    <col min="9" max="9" width="17.5703125" style="43" customWidth="1"/>
    <col min="10" max="10" width="9.140625" style="43"/>
    <col min="11" max="11" width="12.28515625" style="43" customWidth="1"/>
    <col min="12" max="12" width="16.140625" style="43" customWidth="1"/>
    <col min="13" max="13" width="9.140625" style="43"/>
    <col min="14" max="14" width="14.85546875" style="43" customWidth="1"/>
    <col min="15" max="16384" width="9.140625" style="43"/>
  </cols>
  <sheetData>
    <row r="1" spans="1:14" x14ac:dyDescent="0.2">
      <c r="F1" s="562" t="s">
        <v>301</v>
      </c>
      <c r="G1" s="61" t="str">
        <f>EBNUMBER</f>
        <v>EB-2016-0066</v>
      </c>
      <c r="L1" s="916"/>
      <c r="M1" s="917"/>
      <c r="N1" s="917"/>
    </row>
    <row r="2" spans="1:14" x14ac:dyDescent="0.2">
      <c r="F2" s="562" t="s">
        <v>302</v>
      </c>
      <c r="G2" s="62"/>
      <c r="L2" s="916"/>
      <c r="M2" s="917"/>
      <c r="N2" s="917"/>
    </row>
    <row r="3" spans="1:14" x14ac:dyDescent="0.2">
      <c r="F3" s="562" t="s">
        <v>303</v>
      </c>
      <c r="G3" s="62"/>
      <c r="L3" s="916"/>
      <c r="M3" s="917"/>
      <c r="N3" s="917"/>
    </row>
    <row r="4" spans="1:14" x14ac:dyDescent="0.2">
      <c r="F4" s="562" t="s">
        <v>304</v>
      </c>
      <c r="G4" s="62"/>
      <c r="L4" s="916"/>
      <c r="M4" s="917"/>
      <c r="N4" s="917"/>
    </row>
    <row r="5" spans="1:14" x14ac:dyDescent="0.2">
      <c r="F5" s="562" t="s">
        <v>305</v>
      </c>
      <c r="G5" s="63"/>
      <c r="L5" s="916"/>
      <c r="M5" s="917"/>
      <c r="N5" s="917"/>
    </row>
    <row r="6" spans="1:14" x14ac:dyDescent="0.2">
      <c r="F6" s="562"/>
      <c r="G6" s="61"/>
      <c r="L6" s="916"/>
      <c r="M6" s="917"/>
      <c r="N6" s="917"/>
    </row>
    <row r="7" spans="1:14" x14ac:dyDescent="0.2">
      <c r="F7" s="562" t="s">
        <v>306</v>
      </c>
      <c r="G7" s="63"/>
      <c r="L7" s="916"/>
      <c r="M7" s="918"/>
      <c r="N7" s="918"/>
    </row>
    <row r="8" spans="1:14" x14ac:dyDescent="0.2">
      <c r="A8" s="83"/>
      <c r="L8" s="60"/>
    </row>
    <row r="9" spans="1:14" ht="18" x14ac:dyDescent="0.25">
      <c r="A9" s="1547" t="s">
        <v>1437</v>
      </c>
      <c r="B9" s="1547"/>
      <c r="C9" s="1547"/>
      <c r="D9" s="1547"/>
      <c r="E9" s="1547"/>
      <c r="F9" s="1547"/>
      <c r="G9" s="1547"/>
      <c r="H9" s="64"/>
      <c r="I9" s="64"/>
      <c r="J9" s="64"/>
      <c r="K9" s="64"/>
      <c r="L9" s="64"/>
    </row>
    <row r="10" spans="1:14" ht="18" x14ac:dyDescent="0.2">
      <c r="A10" s="1547" t="s">
        <v>244</v>
      </c>
      <c r="B10" s="1547"/>
      <c r="C10" s="1547"/>
      <c r="D10" s="1547"/>
      <c r="E10" s="1547"/>
      <c r="F10" s="1547"/>
      <c r="G10" s="1547"/>
      <c r="H10" s="1547"/>
      <c r="I10" s="1547"/>
      <c r="J10" s="1547"/>
      <c r="K10" s="1547"/>
      <c r="L10" s="1547"/>
    </row>
    <row r="11" spans="1:14" ht="18" x14ac:dyDescent="0.2">
      <c r="A11" s="919"/>
      <c r="B11" s="919"/>
      <c r="C11" s="919"/>
      <c r="D11" s="919"/>
      <c r="E11" s="919"/>
      <c r="F11" s="919"/>
      <c r="G11" s="919"/>
      <c r="H11" s="919"/>
      <c r="I11" s="919"/>
      <c r="J11" s="919"/>
      <c r="K11" s="919"/>
      <c r="L11" s="919"/>
    </row>
    <row r="12" spans="1:14" ht="18.75" x14ac:dyDescent="0.2">
      <c r="A12" s="1964" t="s">
        <v>1014</v>
      </c>
      <c r="B12" s="1964"/>
      <c r="C12" s="1964"/>
      <c r="D12" s="1964"/>
      <c r="E12" s="1964"/>
      <c r="F12" s="1964"/>
      <c r="G12" s="1964"/>
      <c r="H12" s="920"/>
      <c r="I12" s="920"/>
      <c r="J12" s="920"/>
      <c r="K12" s="920"/>
      <c r="L12" s="920"/>
    </row>
    <row r="13" spans="1:14" ht="18.75" x14ac:dyDescent="0.2">
      <c r="A13" s="1964" t="s">
        <v>1144</v>
      </c>
      <c r="B13" s="1964"/>
      <c r="C13" s="1964"/>
      <c r="D13" s="1964"/>
      <c r="E13" s="1964"/>
      <c r="F13" s="1964"/>
      <c r="G13" s="1964"/>
      <c r="H13" s="920"/>
      <c r="I13" s="920"/>
      <c r="J13" s="920"/>
      <c r="K13" s="920"/>
      <c r="L13" s="920"/>
    </row>
    <row r="14" spans="1:14" ht="18" x14ac:dyDescent="0.25">
      <c r="A14" s="921"/>
      <c r="B14" s="1042"/>
      <c r="C14" s="1042"/>
      <c r="D14" s="1042"/>
      <c r="E14" s="1042"/>
      <c r="F14" s="1042"/>
      <c r="G14" s="1042"/>
      <c r="H14" s="1042"/>
      <c r="I14" s="1042"/>
      <c r="J14" s="1042"/>
      <c r="K14" s="1042"/>
      <c r="L14" s="1042"/>
    </row>
    <row r="15" spans="1:14" x14ac:dyDescent="0.2">
      <c r="A15" s="60"/>
      <c r="B15" s="60"/>
      <c r="C15" s="60"/>
      <c r="D15" s="83"/>
      <c r="E15" s="83"/>
      <c r="F15" s="83"/>
      <c r="G15" s="422"/>
      <c r="H15" s="422"/>
      <c r="I15" s="422"/>
      <c r="J15" s="422"/>
      <c r="K15" s="422"/>
      <c r="L15" s="422"/>
      <c r="M15" s="83"/>
      <c r="N15" s="83"/>
    </row>
    <row r="16" spans="1:14" ht="24" customHeight="1" x14ac:dyDescent="0.2">
      <c r="A16" s="1959" t="s">
        <v>245</v>
      </c>
      <c r="B16" s="1959"/>
      <c r="C16" s="1960"/>
      <c r="D16" s="1961"/>
      <c r="F16" s="1075"/>
      <c r="G16" s="1075"/>
      <c r="H16" s="422"/>
      <c r="I16" s="83"/>
      <c r="J16" s="83"/>
      <c r="K16" s="83"/>
      <c r="L16" s="83"/>
      <c r="M16" s="83"/>
      <c r="N16" s="83"/>
    </row>
    <row r="17" spans="1:14" x14ac:dyDescent="0.2">
      <c r="A17" s="60"/>
      <c r="B17" s="60"/>
      <c r="C17" s="60"/>
      <c r="D17" s="83"/>
      <c r="E17" s="83"/>
      <c r="F17" s="83"/>
      <c r="G17" s="1075"/>
      <c r="H17" s="422"/>
      <c r="I17" s="83"/>
      <c r="J17" s="83"/>
      <c r="K17" s="83"/>
      <c r="L17" s="83"/>
      <c r="M17" s="83"/>
      <c r="N17" s="83"/>
    </row>
    <row r="18" spans="1:14" x14ac:dyDescent="0.2">
      <c r="A18" s="922" t="s">
        <v>246</v>
      </c>
      <c r="B18" s="922"/>
      <c r="C18" s="922"/>
      <c r="D18" s="102"/>
      <c r="E18" s="102"/>
      <c r="F18" s="102"/>
      <c r="G18" s="1075"/>
      <c r="H18" s="422"/>
      <c r="I18" s="83"/>
      <c r="J18" s="83"/>
      <c r="K18" s="83"/>
      <c r="L18" s="83"/>
      <c r="M18" s="83"/>
      <c r="N18" s="83"/>
    </row>
    <row r="19" spans="1:14" x14ac:dyDescent="0.2">
      <c r="A19" s="102"/>
      <c r="B19" s="102"/>
      <c r="C19" s="102"/>
      <c r="D19" s="102"/>
      <c r="E19" s="102"/>
      <c r="F19" s="102"/>
      <c r="G19" s="102"/>
      <c r="H19" s="422"/>
      <c r="I19" s="83"/>
      <c r="J19" s="83"/>
      <c r="K19" s="83"/>
      <c r="L19" s="83"/>
      <c r="M19" s="83"/>
      <c r="N19" s="83"/>
    </row>
    <row r="20" spans="1:14" x14ac:dyDescent="0.2">
      <c r="A20" s="923" t="s">
        <v>310</v>
      </c>
      <c r="B20" s="923" t="s">
        <v>10</v>
      </c>
      <c r="C20" s="923" t="s">
        <v>34</v>
      </c>
      <c r="D20" s="923" t="s">
        <v>35</v>
      </c>
      <c r="E20" s="923" t="s">
        <v>36</v>
      </c>
      <c r="F20" s="924" t="s">
        <v>37</v>
      </c>
      <c r="G20" s="925"/>
      <c r="H20" s="422"/>
      <c r="I20" s="83"/>
      <c r="J20" s="83"/>
      <c r="K20" s="83"/>
      <c r="L20" s="83"/>
      <c r="M20" s="83"/>
      <c r="N20" s="83"/>
    </row>
    <row r="21" spans="1:14" ht="38.25" x14ac:dyDescent="0.2">
      <c r="A21" s="926" t="s">
        <v>38</v>
      </c>
      <c r="B21" s="1087" t="s">
        <v>247</v>
      </c>
      <c r="C21" s="1087" t="s">
        <v>248</v>
      </c>
      <c r="D21" s="1087" t="s">
        <v>249</v>
      </c>
      <c r="E21" s="1087" t="s">
        <v>250</v>
      </c>
      <c r="F21" s="127" t="s">
        <v>251</v>
      </c>
      <c r="G21" s="925"/>
      <c r="H21" s="422"/>
      <c r="L21" s="83"/>
      <c r="M21" s="83"/>
      <c r="N21" s="83"/>
    </row>
    <row r="22" spans="1:14" ht="25.5" x14ac:dyDescent="0.2">
      <c r="A22" s="927" t="s">
        <v>252</v>
      </c>
      <c r="B22" s="928" t="s">
        <v>309</v>
      </c>
      <c r="C22" s="928" t="s">
        <v>309</v>
      </c>
      <c r="D22" s="928" t="s">
        <v>309</v>
      </c>
      <c r="E22" s="928" t="s">
        <v>309</v>
      </c>
      <c r="F22" s="928"/>
      <c r="G22" s="925"/>
      <c r="H22" s="422"/>
      <c r="I22" s="83"/>
      <c r="J22" s="83"/>
      <c r="K22" s="83"/>
      <c r="L22" s="83"/>
      <c r="M22" s="83"/>
      <c r="N22" s="83"/>
    </row>
    <row r="23" spans="1:14" x14ac:dyDescent="0.2">
      <c r="A23" s="929" t="s">
        <v>39</v>
      </c>
      <c r="B23" s="930"/>
      <c r="C23" s="930"/>
      <c r="D23" s="930"/>
      <c r="E23" s="930"/>
      <c r="F23" s="931">
        <f t="shared" ref="F23:F29" si="0">C23+D23</f>
        <v>0</v>
      </c>
      <c r="G23" s="925"/>
      <c r="H23" s="932"/>
      <c r="I23" s="501"/>
      <c r="J23" s="422"/>
      <c r="K23" s="422"/>
      <c r="L23" s="422"/>
      <c r="M23" s="83"/>
      <c r="N23" s="83"/>
    </row>
    <row r="24" spans="1:14" x14ac:dyDescent="0.2">
      <c r="A24" s="929" t="s">
        <v>253</v>
      </c>
      <c r="B24" s="930"/>
      <c r="C24" s="930"/>
      <c r="D24" s="930"/>
      <c r="E24" s="930"/>
      <c r="F24" s="931">
        <f t="shared" si="0"/>
        <v>0</v>
      </c>
      <c r="G24" s="925"/>
      <c r="H24" s="932"/>
      <c r="I24" s="501"/>
      <c r="J24" s="422"/>
      <c r="K24" s="422"/>
      <c r="L24" s="422"/>
      <c r="M24" s="83"/>
      <c r="N24" s="83"/>
    </row>
    <row r="25" spans="1:14" ht="25.5" x14ac:dyDescent="0.2">
      <c r="A25" s="933" t="s">
        <v>441</v>
      </c>
      <c r="B25" s="930"/>
      <c r="C25" s="930"/>
      <c r="D25" s="930"/>
      <c r="E25" s="930"/>
      <c r="F25" s="931">
        <f t="shared" si="0"/>
        <v>0</v>
      </c>
      <c r="G25" s="925"/>
      <c r="H25" s="83"/>
      <c r="I25" s="83"/>
      <c r="J25" s="83"/>
      <c r="K25" s="83"/>
      <c r="L25" s="83"/>
      <c r="M25" s="83"/>
      <c r="N25" s="83"/>
    </row>
    <row r="26" spans="1:14" ht="27" customHeight="1" x14ac:dyDescent="0.2">
      <c r="A26" s="934" t="s">
        <v>254</v>
      </c>
      <c r="B26" s="930"/>
      <c r="C26" s="930"/>
      <c r="D26" s="930"/>
      <c r="E26" s="930"/>
      <c r="F26" s="931">
        <f t="shared" si="0"/>
        <v>0</v>
      </c>
      <c r="G26" s="925"/>
      <c r="J26" s="83"/>
      <c r="K26" s="83"/>
      <c r="L26" s="83"/>
      <c r="M26" s="83"/>
      <c r="N26" s="83"/>
    </row>
    <row r="27" spans="1:14" ht="25.5" x14ac:dyDescent="0.2">
      <c r="A27" s="934" t="s">
        <v>255</v>
      </c>
      <c r="B27" s="930"/>
      <c r="C27" s="930"/>
      <c r="D27" s="930"/>
      <c r="E27" s="930"/>
      <c r="F27" s="931">
        <f t="shared" si="0"/>
        <v>0</v>
      </c>
      <c r="G27" s="925"/>
      <c r="H27" s="915"/>
      <c r="I27" s="915"/>
      <c r="J27" s="83"/>
      <c r="K27" s="83"/>
      <c r="L27" s="83"/>
      <c r="M27" s="83"/>
      <c r="N27" s="83"/>
    </row>
    <row r="28" spans="1:14" x14ac:dyDescent="0.2">
      <c r="A28" s="929"/>
      <c r="B28" s="930"/>
      <c r="C28" s="930"/>
      <c r="D28" s="930"/>
      <c r="E28" s="930"/>
      <c r="F28" s="931">
        <f t="shared" si="0"/>
        <v>0</v>
      </c>
      <c r="G28" s="925"/>
      <c r="H28" s="935"/>
      <c r="I28" s="935"/>
      <c r="J28" s="83"/>
      <c r="K28" s="83"/>
      <c r="L28" s="83"/>
      <c r="M28" s="83"/>
      <c r="N28" s="83"/>
    </row>
    <row r="29" spans="1:14" x14ac:dyDescent="0.2">
      <c r="A29" s="929"/>
      <c r="B29" s="930"/>
      <c r="C29" s="930"/>
      <c r="D29" s="930"/>
      <c r="E29" s="930"/>
      <c r="F29" s="931">
        <f t="shared" si="0"/>
        <v>0</v>
      </c>
      <c r="G29" s="925"/>
      <c r="H29" s="102"/>
      <c r="I29" s="102"/>
      <c r="J29" s="83"/>
      <c r="K29" s="83"/>
      <c r="L29" s="83"/>
      <c r="M29" s="83"/>
      <c r="N29" s="83"/>
    </row>
    <row r="30" spans="1:14" x14ac:dyDescent="0.2">
      <c r="A30" s="936"/>
      <c r="B30" s="937"/>
      <c r="C30" s="937"/>
      <c r="D30" s="937"/>
      <c r="E30" s="937"/>
      <c r="F30" s="937"/>
      <c r="G30" s="451"/>
    </row>
    <row r="31" spans="1:14" x14ac:dyDescent="0.2">
      <c r="A31" s="924" t="s">
        <v>310</v>
      </c>
      <c r="B31" s="924" t="s">
        <v>40</v>
      </c>
      <c r="C31" s="924" t="s">
        <v>41</v>
      </c>
      <c r="D31" s="924" t="s">
        <v>42</v>
      </c>
      <c r="E31" s="924" t="s">
        <v>43</v>
      </c>
      <c r="F31" s="924" t="s">
        <v>44</v>
      </c>
      <c r="G31" s="925"/>
    </row>
    <row r="32" spans="1:14" ht="63.75" x14ac:dyDescent="0.2">
      <c r="A32" s="938" t="str">
        <f>A21</f>
        <v>Asset Class</v>
      </c>
      <c r="B32" s="127" t="s">
        <v>45</v>
      </c>
      <c r="C32" s="1087" t="s">
        <v>256</v>
      </c>
      <c r="D32" s="127" t="s">
        <v>257</v>
      </c>
      <c r="E32" s="127" t="s">
        <v>258</v>
      </c>
      <c r="F32" s="127" t="s">
        <v>456</v>
      </c>
      <c r="G32" s="939"/>
    </row>
    <row r="33" spans="1:9" ht="25.5" x14ac:dyDescent="0.2">
      <c r="A33" s="940" t="s">
        <v>259</v>
      </c>
      <c r="B33" s="941" t="s">
        <v>46</v>
      </c>
      <c r="C33" s="941" t="s">
        <v>47</v>
      </c>
      <c r="D33" s="941" t="s">
        <v>48</v>
      </c>
      <c r="E33" s="941" t="s">
        <v>48</v>
      </c>
      <c r="F33" s="941" t="s">
        <v>49</v>
      </c>
    </row>
    <row r="34" spans="1:9" x14ac:dyDescent="0.2">
      <c r="A34" s="940" t="s">
        <v>39</v>
      </c>
      <c r="B34" s="942"/>
      <c r="C34" s="942"/>
      <c r="D34" s="943"/>
      <c r="E34" s="943"/>
      <c r="F34" s="944">
        <f>IF(D34=0,0,(C34/B34)*(E34/D34))</f>
        <v>0</v>
      </c>
    </row>
    <row r="35" spans="1:9" x14ac:dyDescent="0.2">
      <c r="A35" s="940" t="s">
        <v>253</v>
      </c>
      <c r="B35" s="942"/>
      <c r="C35" s="942"/>
      <c r="D35" s="943"/>
      <c r="E35" s="943"/>
      <c r="F35" s="944">
        <f>IF(D35=0,0,(C35/B35)*(E35/D35))</f>
        <v>0</v>
      </c>
    </row>
    <row r="36" spans="1:9" ht="25.5" x14ac:dyDescent="0.2">
      <c r="A36" s="940" t="s">
        <v>260</v>
      </c>
      <c r="B36" s="942"/>
      <c r="C36" s="942"/>
      <c r="D36" s="943"/>
      <c r="E36" s="943"/>
      <c r="F36" s="944">
        <f>IF(D36=0,0,(C36/B36)*(E36/D36))</f>
        <v>0</v>
      </c>
    </row>
    <row r="37" spans="1:9" x14ac:dyDescent="0.2">
      <c r="A37" s="945" t="s">
        <v>254</v>
      </c>
      <c r="B37" s="942"/>
      <c r="C37" s="942"/>
      <c r="D37" s="943"/>
      <c r="E37" s="943"/>
      <c r="F37" s="944">
        <f>IF(D37=0,0,(C37/B37)*(E37/D37))</f>
        <v>0</v>
      </c>
    </row>
    <row r="38" spans="1:9" x14ac:dyDescent="0.2">
      <c r="A38" s="945" t="s">
        <v>261</v>
      </c>
      <c r="B38" s="942"/>
      <c r="C38" s="942"/>
      <c r="D38" s="943"/>
      <c r="E38" s="943"/>
      <c r="F38" s="944">
        <f>IF(D38=0,0,(C38/B38)*(E38/D38))</f>
        <v>0</v>
      </c>
      <c r="H38" s="119"/>
    </row>
    <row r="39" spans="1:9" x14ac:dyDescent="0.2">
      <c r="A39" s="936"/>
      <c r="B39" s="937"/>
      <c r="C39" s="937"/>
      <c r="D39" s="937"/>
      <c r="E39" s="937"/>
      <c r="F39" s="937"/>
      <c r="H39" s="119"/>
    </row>
    <row r="40" spans="1:9" ht="22.5" customHeight="1" x14ac:dyDescent="0.2">
      <c r="A40" s="924" t="s">
        <v>310</v>
      </c>
      <c r="B40" s="924" t="s">
        <v>50</v>
      </c>
      <c r="C40" s="924" t="s">
        <v>51</v>
      </c>
      <c r="D40" s="924" t="s">
        <v>52</v>
      </c>
      <c r="E40" s="924" t="s">
        <v>53</v>
      </c>
      <c r="F40" s="923" t="s">
        <v>54</v>
      </c>
      <c r="G40" s="924" t="s">
        <v>194</v>
      </c>
    </row>
    <row r="41" spans="1:9" ht="51" x14ac:dyDescent="0.2">
      <c r="A41" s="946" t="str">
        <f>A32</f>
        <v>Asset Class</v>
      </c>
      <c r="B41" s="127" t="s">
        <v>55</v>
      </c>
      <c r="C41" s="127" t="s">
        <v>56</v>
      </c>
      <c r="D41" s="127" t="s">
        <v>57</v>
      </c>
      <c r="E41" s="127" t="s">
        <v>58</v>
      </c>
      <c r="F41" s="127" t="s">
        <v>59</v>
      </c>
      <c r="G41" s="1087" t="s">
        <v>262</v>
      </c>
    </row>
    <row r="42" spans="1:9" x14ac:dyDescent="0.2">
      <c r="A42" s="947"/>
      <c r="B42" s="948" t="s">
        <v>309</v>
      </c>
      <c r="C42" s="948" t="s">
        <v>309</v>
      </c>
      <c r="D42" s="948" t="s">
        <v>309</v>
      </c>
      <c r="E42" s="948" t="s">
        <v>309</v>
      </c>
      <c r="F42" s="949" t="s">
        <v>309</v>
      </c>
      <c r="G42" s="948" t="s">
        <v>60</v>
      </c>
      <c r="H42" s="950"/>
      <c r="I42" s="451"/>
    </row>
    <row r="43" spans="1:9" x14ac:dyDescent="0.2">
      <c r="A43" s="940" t="s">
        <v>39</v>
      </c>
      <c r="B43" s="951">
        <f>E$54*(F23+B23*E$59)*F34</f>
        <v>0</v>
      </c>
      <c r="C43" s="951">
        <f>(B43-(B$54*C$54*F34*(F23+B23*E57)+B$55*C$55*F34*(F23+B23*E$57)))*E$57/(1-E$57)</f>
        <v>0</v>
      </c>
      <c r="D43" s="952">
        <f>E23*F34</f>
        <v>0</v>
      </c>
      <c r="E43" s="952">
        <f>B23*F34</f>
        <v>0</v>
      </c>
      <c r="F43" s="953">
        <f>SUM(B43:E43)</f>
        <v>0</v>
      </c>
      <c r="G43" s="954">
        <f>IF(E34=0,0,(D43/E34))</f>
        <v>0</v>
      </c>
    </row>
    <row r="44" spans="1:9" x14ac:dyDescent="0.2">
      <c r="A44" s="940" t="s">
        <v>253</v>
      </c>
      <c r="B44" s="951">
        <f>E$54*(F24+B24*E$59)*F35</f>
        <v>0</v>
      </c>
      <c r="C44" s="951">
        <f>(B44-(B$54*C$54*F35*(F24+B24*E58)+B$55*C$55*F35*(F24+B24*E58)))*E$57/(1-E$57)</f>
        <v>0</v>
      </c>
      <c r="D44" s="952">
        <f>E24*F35</f>
        <v>0</v>
      </c>
      <c r="E44" s="952">
        <f>B24*F35</f>
        <v>0</v>
      </c>
      <c r="F44" s="953">
        <f>SUM(B44:E44)</f>
        <v>0</v>
      </c>
      <c r="G44" s="954">
        <f>IF(E35=0,0,(D44/E35))</f>
        <v>0</v>
      </c>
    </row>
    <row r="45" spans="1:9" ht="25.5" x14ac:dyDescent="0.2">
      <c r="A45" s="940" t="s">
        <v>260</v>
      </c>
      <c r="B45" s="951">
        <f>E$54*(F25+B25*E$59)*F36</f>
        <v>0</v>
      </c>
      <c r="C45" s="951">
        <f>(B45-(B$54*C$54*F36*(F25+B25*E59)+B$55*C$55*F36*(F25+B25*E$59)))*E$57/(1-E$57)</f>
        <v>0</v>
      </c>
      <c r="D45" s="952">
        <f>E25*F36</f>
        <v>0</v>
      </c>
      <c r="E45" s="952">
        <f>B25*F36</f>
        <v>0</v>
      </c>
      <c r="F45" s="953">
        <f>SUM(B45:E45)</f>
        <v>0</v>
      </c>
      <c r="G45" s="954">
        <f>IF(E36=0,0,(D45/E36))</f>
        <v>0</v>
      </c>
    </row>
    <row r="46" spans="1:9" x14ac:dyDescent="0.2">
      <c r="A46" s="945" t="s">
        <v>254</v>
      </c>
      <c r="B46" s="951">
        <f>E$54*(F26+B26*E$59)*F37</f>
        <v>0</v>
      </c>
      <c r="C46" s="951">
        <f>(B46-(B$54*C$54*F37*(F26+B26*E60)+B$55*C$55*F37*(F26+B26*E60)))*E$57/(1-E$57)</f>
        <v>0</v>
      </c>
      <c r="D46" s="952">
        <f>E26*F37</f>
        <v>0</v>
      </c>
      <c r="E46" s="952">
        <f>B26*F37</f>
        <v>0</v>
      </c>
      <c r="F46" s="953">
        <f>SUM(B46:E46)</f>
        <v>0</v>
      </c>
      <c r="G46" s="954">
        <f>IF(E37=0,0,(D46/E37))</f>
        <v>0</v>
      </c>
    </row>
    <row r="47" spans="1:9" x14ac:dyDescent="0.2">
      <c r="A47" s="945" t="s">
        <v>261</v>
      </c>
      <c r="B47" s="951">
        <f>E$54*(F27+B27*E$59)*F38</f>
        <v>0</v>
      </c>
      <c r="C47" s="951">
        <f>(B47-(B$54*C$54*F38*(F27+B27*I61)+B$55*C$55*F38*(F27+B27*I61)))*E$57/(1-E$57)</f>
        <v>0</v>
      </c>
      <c r="D47" s="952">
        <f>E27*F38</f>
        <v>0</v>
      </c>
      <c r="E47" s="952">
        <f>B27*F38</f>
        <v>0</v>
      </c>
      <c r="F47" s="953">
        <f>SUM(B47:E47)</f>
        <v>0</v>
      </c>
      <c r="G47" s="954">
        <f>IF(E38=0,0,(D47/E38))</f>
        <v>0</v>
      </c>
    </row>
    <row r="48" spans="1:9" x14ac:dyDescent="0.2">
      <c r="A48" s="940"/>
      <c r="B48" s="952"/>
      <c r="C48" s="951"/>
      <c r="D48" s="952"/>
      <c r="E48" s="952"/>
      <c r="F48" s="953"/>
      <c r="G48" s="955"/>
    </row>
    <row r="49" spans="1:8" ht="24" customHeight="1" x14ac:dyDescent="0.2">
      <c r="A49" s="956" t="s">
        <v>295</v>
      </c>
      <c r="B49" s="957"/>
      <c r="C49" s="958"/>
      <c r="D49" s="957"/>
      <c r="E49" s="957"/>
      <c r="F49" s="959">
        <f>SUM(F43:F47)</f>
        <v>0</v>
      </c>
      <c r="G49" s="960">
        <f>SUM(G43:G47)</f>
        <v>0</v>
      </c>
    </row>
    <row r="50" spans="1:8" ht="13.5" thickBot="1" x14ac:dyDescent="0.25">
      <c r="A50" s="83"/>
      <c r="B50" s="83"/>
      <c r="C50" s="961"/>
      <c r="D50" s="83"/>
      <c r="E50" s="83"/>
      <c r="F50" s="83"/>
      <c r="G50" s="83"/>
      <c r="H50" s="119"/>
    </row>
    <row r="51" spans="1:8" x14ac:dyDescent="0.2">
      <c r="A51" s="962" t="s">
        <v>61</v>
      </c>
      <c r="B51" s="962" t="s">
        <v>62</v>
      </c>
      <c r="C51" s="963" t="s">
        <v>63</v>
      </c>
      <c r="D51" s="962" t="s">
        <v>195</v>
      </c>
      <c r="E51" s="963" t="s">
        <v>64</v>
      </c>
      <c r="G51" s="83"/>
      <c r="H51" s="119"/>
    </row>
    <row r="52" spans="1:8" ht="12.75" customHeight="1" x14ac:dyDescent="0.2">
      <c r="A52" s="964"/>
      <c r="B52" s="965" t="s">
        <v>65</v>
      </c>
      <c r="C52" s="966" t="s">
        <v>307</v>
      </c>
      <c r="D52" s="964"/>
      <c r="E52" s="967"/>
      <c r="G52" s="83"/>
      <c r="H52" s="119"/>
    </row>
    <row r="53" spans="1:8" ht="13.5" thickBot="1" x14ac:dyDescent="0.25">
      <c r="A53" s="968"/>
      <c r="B53" s="969" t="s">
        <v>308</v>
      </c>
      <c r="C53" s="970" t="s">
        <v>308</v>
      </c>
      <c r="D53" s="971"/>
      <c r="E53" s="970" t="s">
        <v>308</v>
      </c>
      <c r="G53" s="83"/>
      <c r="H53" s="119"/>
    </row>
    <row r="54" spans="1:8" x14ac:dyDescent="0.2">
      <c r="A54" s="972" t="s">
        <v>66</v>
      </c>
      <c r="B54" s="973"/>
      <c r="C54" s="973"/>
      <c r="D54" s="1962" t="s">
        <v>67</v>
      </c>
      <c r="E54" s="1967">
        <f>IF(B60=0%,0,SUMPRODUCT(B54:B58,C54:C58)/B60)</f>
        <v>0</v>
      </c>
      <c r="G54" s="83"/>
      <c r="H54" s="119"/>
    </row>
    <row r="55" spans="1:8" ht="13.5" thickBot="1" x14ac:dyDescent="0.25">
      <c r="A55" s="968" t="s">
        <v>68</v>
      </c>
      <c r="B55" s="974"/>
      <c r="C55" s="975"/>
      <c r="D55" s="1963"/>
      <c r="E55" s="1968"/>
      <c r="G55" s="83"/>
      <c r="H55" s="119"/>
    </row>
    <row r="56" spans="1:8" ht="13.5" thickBot="1" x14ac:dyDescent="0.25">
      <c r="A56" s="976"/>
      <c r="B56" s="977"/>
      <c r="C56" s="978"/>
      <c r="D56" s="972"/>
      <c r="E56" s="967"/>
      <c r="G56" s="83"/>
      <c r="H56" s="119"/>
    </row>
    <row r="57" spans="1:8" ht="12.75" customHeight="1" thickBot="1" x14ac:dyDescent="0.25">
      <c r="A57" s="964" t="s">
        <v>69</v>
      </c>
      <c r="B57" s="973"/>
      <c r="C57" s="973"/>
      <c r="D57" s="976" t="s">
        <v>70</v>
      </c>
      <c r="E57" s="979"/>
      <c r="G57" s="83"/>
      <c r="H57" s="119"/>
    </row>
    <row r="58" spans="1:8" ht="13.5" thickBot="1" x14ac:dyDescent="0.25">
      <c r="A58" s="968" t="s">
        <v>71</v>
      </c>
      <c r="B58" s="974"/>
      <c r="C58" s="975"/>
      <c r="D58" s="976"/>
      <c r="E58" s="978"/>
      <c r="G58" s="83"/>
      <c r="H58" s="119"/>
    </row>
    <row r="59" spans="1:8" x14ac:dyDescent="0.2">
      <c r="A59" s="964"/>
      <c r="B59" s="964"/>
      <c r="C59" s="967"/>
      <c r="D59" s="1962" t="s">
        <v>72</v>
      </c>
      <c r="E59" s="1965"/>
      <c r="G59" s="83"/>
    </row>
    <row r="60" spans="1:8" ht="13.5" thickBot="1" x14ac:dyDescent="0.25">
      <c r="A60" s="980" t="s">
        <v>295</v>
      </c>
      <c r="B60" s="981">
        <f>SUM(B54:B58)</f>
        <v>0</v>
      </c>
      <c r="C60" s="982"/>
      <c r="D60" s="1963"/>
      <c r="E60" s="1966"/>
      <c r="G60" s="83"/>
    </row>
    <row r="61" spans="1:8" x14ac:dyDescent="0.2">
      <c r="A61" s="83"/>
      <c r="B61" s="83"/>
      <c r="C61" s="83"/>
      <c r="D61" s="83"/>
      <c r="E61" s="83"/>
      <c r="F61" s="83"/>
      <c r="G61" s="83"/>
    </row>
  </sheetData>
  <sheetProtection password="F8BD" sheet="1" objects="1" scenarios="1"/>
  <mergeCells count="11">
    <mergeCell ref="H10:L10"/>
    <mergeCell ref="A13:G13"/>
    <mergeCell ref="A12:G12"/>
    <mergeCell ref="D59:D60"/>
    <mergeCell ref="E59:E60"/>
    <mergeCell ref="E54:E55"/>
    <mergeCell ref="A9:G9"/>
    <mergeCell ref="A10:G10"/>
    <mergeCell ref="A16:B16"/>
    <mergeCell ref="C16:D16"/>
    <mergeCell ref="D54:D55"/>
  </mergeCells>
  <phoneticPr fontId="0" type="noConversion"/>
  <dataValidations xWindow="95" yWindow="494" count="8">
    <dataValidation operator="lessThanOrEqual" allowBlank="1" showInputMessage="1" showErrorMessage="1" promptTitle="Annual depreciation expense" prompt="Enter annual depreciation expense as a negative amount." sqref="IY36:IY39 SU36:SU39 ACQ36:ACQ39 AMM36:AMM39 AWI36:AWI39 BGE36:BGE39 BQA36:BQA39 BZW36:BZW39 CJS36:CJS39 CTO36:CTO39 DDK36:DDK39 DNG36:DNG39 DXC36:DXC39 EGY36:EGY39 EQU36:EQU39 FAQ36:FAQ39 FKM36:FKM39 FUI36:FUI39 GEE36:GEE39 GOA36:GOA39 GXW36:GXW39 HHS36:HHS39 HRO36:HRO39 IBK36:IBK39 ILG36:ILG39 IVC36:IVC39 JEY36:JEY39 JOU36:JOU39 JYQ36:JYQ39 KIM36:KIM39 KSI36:KSI39 LCE36:LCE39 LMA36:LMA39 LVW36:LVW39 MFS36:MFS39 MPO36:MPO39 MZK36:MZK39 NJG36:NJG39 NTC36:NTC39 OCY36:OCY39 OMU36:OMU39 OWQ36:OWQ39 PGM36:PGM39 PQI36:PQI39 QAE36:QAE39 QKA36:QKA39 QTW36:QTW39 RDS36:RDS39 RNO36:RNO39 RXK36:RXK39 SHG36:SHG39 SRC36:SRC39 TAY36:TAY39 TKU36:TKU39 TUQ36:TUQ39 UEM36:UEM39 UOI36:UOI39 UYE36:UYE39 VIA36:VIA39 VRW36:VRW39 WBS36:WBS39 WLO36:WLO39 WVK36:WVK39"/>
    <dataValidation allowBlank="1" showInputMessage="1" showErrorMessage="1" promptTitle="Name of Embedded Distributor" prompt="Input name of embedded Distributor" sqref="JC26:JC28 SY26:SY28 ACU26:ACU28 AMQ26:AMQ28 AWM26:AWM28 BGI26:BGI28 BQE26:BQE28 CAA26:CAA28 CJW26:CJW28 CTS26:CTS28 DDO26:DDO28 DNK26:DNK28 DXG26:DXG28 EHC26:EHC28 EQY26:EQY28 FAU26:FAU28 FKQ26:FKQ28 FUM26:FUM28 GEI26:GEI28 GOE26:GOE28 GYA26:GYA28 HHW26:HHW28 HRS26:HRS28 IBO26:IBO28 ILK26:ILK28 IVG26:IVG28 JFC26:JFC28 JOY26:JOY28 JYU26:JYU28 KIQ26:KIQ28 KSM26:KSM28 LCI26:LCI28 LME26:LME28 LWA26:LWA28 MFW26:MFW28 MPS26:MPS28 MZO26:MZO28 NJK26:NJK28 NTG26:NTG28 ODC26:ODC28 OMY26:OMY28 OWU26:OWU28 PGQ26:PGQ28 PQM26:PQM28 QAI26:QAI28 QKE26:QKE28 QUA26:QUA28 RDW26:RDW28 RNS26:RNS28 RXO26:RXO28 SHK26:SHK28 SRG26:SRG28 TBC26:TBC28 TKY26:TKY28 TUU26:TUU28 UEQ26:UEQ28 UOM26:UOM28 UYI26:UYI28 VIE26:VIE28 VSA26:VSA28 WBW26:WBW28 WLS26:WLS28 WVO26:WVO28 C16 G17:G18"/>
    <dataValidation allowBlank="1" showInputMessage="1" showErrorMessage="1" promptTitle="Date Format" prompt="E.g:  &quot;August 1, 2011&quot;" sqref="M7:N7 G7"/>
    <dataValidation operator="lessThanOrEqual" allowBlank="1" showErrorMessage="1" promptTitle="Annual depreciation expense" prompt="Enter annual depreciation expense as a negative amount." sqref="IY33:IY35 SU33:SU35 ACQ33:ACQ35 AMM33:AMM35 AWI33:AWI35 BGE33:BGE35 BQA33:BQA35 BZW33:BZW35 CJS33:CJS35 CTO33:CTO35 DDK33:DDK35 DNG33:DNG35 DXC33:DXC35 EGY33:EGY35 EQU33:EQU35 FAQ33:FAQ35 FKM33:FKM35 FUI33:FUI35 GEE33:GEE35 GOA33:GOA35 GXW33:GXW35 HHS33:HHS35 HRO33:HRO35 IBK33:IBK35 ILG33:ILG35 IVC33:IVC35 JEY33:JEY35 JOU33:JOU35 JYQ33:JYQ35 KIM33:KIM35 KSI33:KSI35 LCE33:LCE35 LMA33:LMA35 LVW33:LVW35 MFS33:MFS35 MPO33:MPO35 MZK33:MZK35 NJG33:NJG35 NTC33:NTC35 OCY33:OCY35 OMU33:OMU35 OWQ33:OWQ35 PGM33:PGM35 PQI33:PQI35 QAE33:QAE35 QKA33:QKA35 QTW33:QTW35 RDS33:RDS35 RNO33:RNO35 RXK33:RXK35 SHG33:SHG35 SRC33:SRC35 TAY33:TAY35 TKU33:TKU35 TUQ33:TUQ35 UEM33:UEM35 UOI33:UOI35 UYE33:UYE35 VIA33:VIA35 VRW33:VRW35 WBS33:WBS35 WLO33:WLO35 WVK33:WVK35"/>
    <dataValidation allowBlank="1" showInputMessage="1" showErrorMessage="1" promptTitle="Gross Book Value" prompt="Enter original (Gross Book Value) of assets in dollars ($)" sqref="WVF33:WVF39 IT33:IT39 SP33:SP39 ACL33:ACL39 AMH33:AMH39 AWD33:AWD39 BFZ33:BFZ39 BPV33:BPV39 BZR33:BZR39 CJN33:CJN39 CTJ33:CTJ39 DDF33:DDF39 DNB33:DNB39 DWX33:DWX39 EGT33:EGT39 EQP33:EQP39 FAL33:FAL39 FKH33:FKH39 FUD33:FUD39 GDZ33:GDZ39 GNV33:GNV39 GXR33:GXR39 HHN33:HHN39 HRJ33:HRJ39 IBF33:IBF39 ILB33:ILB39 IUX33:IUX39 JET33:JET39 JOP33:JOP39 JYL33:JYL39 KIH33:KIH39 KSD33:KSD39 LBZ33:LBZ39 LLV33:LLV39 LVR33:LVR39 MFN33:MFN39 MPJ33:MPJ39 MZF33:MZF39 NJB33:NJB39 NSX33:NSX39 OCT33:OCT39 OMP33:OMP39 OWL33:OWL39 PGH33:PGH39 PQD33:PQD39 PZZ33:PZZ39 QJV33:QJV39 QTR33:QTR39 RDN33:RDN39 RNJ33:RNJ39 RXF33:RXF39 SHB33:SHB39 SQX33:SQX39 TAT33:TAT39 TKP33:TKP39 TUL33:TUL39 UEH33:UEH39 UOD33:UOD39 UXZ33:UXZ39 VHV33:VHV39 VRR33:VRR39 WBN33:WBN39 WLJ33:WLJ39 C23:C29"/>
    <dataValidation allowBlank="1" showInputMessage="1" showErrorMessage="1" promptTitle="OM&amp;A expenses" prompt="Enter OM&amp;A expenses in dollars ($)" sqref="WBS18:WBS24 IR33:IR39 SN33:SN39 ACJ33:ACJ39 AMF33:AMF39 AWB33:AWB39 BFX33:BFX39 BPT33:BPT39 BZP33:BZP39 CJL33:CJL39 CTH33:CTH39 DDD33:DDD39 DMZ33:DMZ39 DWV33:DWV39 EGR33:EGR39 EQN33:EQN39 FAJ33:FAJ39 FKF33:FKF39 FUB33:FUB39 GDX33:GDX39 GNT33:GNT39 GXP33:GXP39 HHL33:HHL39 HRH33:HRH39 IBD33:IBD39 IKZ33:IKZ39 IUV33:IUV39 JER33:JER39 JON33:JON39 JYJ33:JYJ39 KIF33:KIF39 KSB33:KSB39 LBX33:LBX39 LLT33:LLT39 LVP33:LVP39 MFL33:MFL39 MPH33:MPH39 MZD33:MZD39 NIZ33:NIZ39 NSV33:NSV39 OCR33:OCR39 OMN33:OMN39 OWJ33:OWJ39 PGF33:PGF39 PQB33:PQB39 PZX33:PZX39 QJT33:QJT39 QTP33:QTP39 RDL33:RDL39 RNH33:RNH39 RXD33:RXD39 SGZ33:SGZ39 SQV33:SQV39 TAR33:TAR39 TKN33:TKN39 TUJ33:TUJ39 UEF33:UEF39 UOB33:UOB39 UXX33:UXX39 VHT33:VHT39 VRP33:VRP39 WBL33:WBL39 WLH33:WLH39 WVD33:WVD39 WLM18:WLM24 WVE18:WVE22 WLI18:WLI22 WBM18:WBM22 VRQ18:VRQ22 VHU18:VHU22 UXY18:UXY22 UOC18:UOC22 UEG18:UEG22 TUK18:TUK22 TKO18:TKO22 TAS18:TAS22 SQW18:SQW22 SHA18:SHA22 RXE18:RXE22 RNI18:RNI22 RDM18:RDM22 QTQ18:QTQ22 QJU18:QJU22 PZY18:PZY22 PQC18:PQC22 PGG18:PGG22 OWK18:OWK22 OMO18:OMO22 OCS18:OCS22 NSW18:NSW22 NJA18:NJA22 MZE18:MZE22 MPI18:MPI22 MFM18:MFM22 LVQ18:LVQ22 LLU18:LLU22 LBY18:LBY22 KSC18:KSC22 KIG18:KIG22 JYK18:JYK22 JOO18:JOO22 JES18:JES22 IUW18:IUW22 ILA18:ILA22 IBE18:IBE22 HRI18:HRI22 HHM18:HHM22 GXQ18:GXQ22 GNU18:GNU22 GDY18:GDY22 FUC18:FUC22 FKG18:FKG22 FAK18:FAK22 EQO18:EQO22 EGS18:EGS22 DWW18:DWW22 DNA18:DNA22 DDE18:DDE22 CTI18:CTI22 CJM18:CJM22 BZQ18:BZQ22 BPU18:BPU22 BFY18:BFY22 AWC18:AWC22 AMG18:AMG22 ACK18:ACK22 SO18:SO22 IS18:IS22 WVG18:WVG22 IU18:IU22 SQ18:SQ22 ACM18:ACM22 AMI18:AMI22 AWE18:AWE22 BGA18:BGA22 BPW18:BPW22 BZS18:BZS22 CJO18:CJO22 CTK18:CTK22 DDG18:DDG22 DNC18:DNC22 DWY18:DWY22 EGU18:EGU22 EQQ18:EQQ22 FAM18:FAM22 FKI18:FKI22 FUE18:FUE22 GEA18:GEA22 GNW18:GNW22 GXS18:GXS22 HHO18:HHO22 HRK18:HRK22 IBG18:IBG22 ILC18:ILC22 IUY18:IUY22 JEU18:JEU22 JOQ18:JOQ22 JYM18:JYM22 KII18:KII22 KSE18:KSE22 LCA18:LCA22 LLW18:LLW22 LVS18:LVS22 MFO18:MFO22 MPK18:MPK22 MZG18:MZG22 NJC18:NJC22 NSY18:NSY22 OCU18:OCU22 OMQ18:OMQ22 OWM18:OWM22 PGI18:PGI22 PQE18:PQE22 QAA18:QAA22 QJW18:QJW22 QTS18:QTS22 RDO18:RDO22 RNK18:RNK22 RXG18:RXG22 SHC18:SHC22 SQY18:SQY22 TAU18:TAU22 TKQ18:TKQ22 TUM18:TUM22 UEI18:UEI22 UOE18:UOE22 UYA18:UYA22 VHW18:VHW22 VRS18:VRS22 WBO18:WBO22 WLK18:WLK22 WLO18:WLO24 WVQ23:WVQ24 WLU23:WLU24 WBY23:WBY24 VSC23:VSC24 VIG23:VIG24 UYK23:UYK24 UOO23:UOO24 UES23:UES24 TUW23:TUW24 TLA23:TLA24 TBE23:TBE24 SRI23:SRI24 SHM23:SHM24 RXQ23:RXQ24 RNU23:RNU24 RDY23:RDY24 QUC23:QUC24 QKG23:QKG24 QAK23:QAK24 PQO23:PQO24 PGS23:PGS24 OWW23:OWW24 ONA23:ONA24 ODE23:ODE24 NTI23:NTI24 NJM23:NJM24 MZQ23:MZQ24 MPU23:MPU24 MFY23:MFY24 LWC23:LWC24 LMG23:LMG24 LCK23:LCK24 KSO23:KSO24 KIS23:KIS24 JYW23:JYW24 JPA23:JPA24 JFE23:JFE24 IVI23:IVI24 ILM23:ILM24 IBQ23:IBQ24 HRU23:HRU24 HHY23:HHY24 GYC23:GYC24 GOG23:GOG24 GEK23:GEK24 FUO23:FUO24 FKS23:FKS24 FAW23:FAW24 ERA23:ERA24 EHE23:EHE24 DXI23:DXI24 DNM23:DNM24 DDQ23:DDQ24 CTU23:CTU24 CJY23:CJY24 CAC23:CAC24 BQG23:BQG24 BGK23:BGK24 AWO23:AWO24 AMS23:AMS24 ACW23:ACW24 TA23:TA24 JE23:JE24 I23:I24 WBQ18:WBQ24 WVI18:WVI24 JC23:JC24 SY23:SY24 ACU23:ACU24 AMQ23:AMQ24 AWM23:AWM24 BGI23:BGI24 BQE23:BQE24 CAA23:CAA24 CJW23:CJW24 CTS23:CTS24 DDO23:DDO24 DNK23:DNK24 DXG23:DXG24 EHC23:EHC24 EQY23:EQY24 FAU23:FAU24 FKQ23:FKQ24 FUM23:FUM24 GEI23:GEI24 GOE23:GOE24 GYA23:GYA24 HHW23:HHW24 HRS23:HRS24 IBO23:IBO24 ILK23:ILK24 IVG23:IVG24 JFC23:JFC24 JOY23:JOY24 JYU23:JYU24 KIQ23:KIQ24 KSM23:KSM24 LCI23:LCI24 LME23:LME24 LWA23:LWA24 MFW23:MFW24 MPS23:MPS24 MZO23:MZO24 NJK23:NJK24 NTG23:NTG24 ODC23:ODC24 OMY23:OMY24 OWU23:OWU24 PGQ23:PGQ24 PQM23:PQM24 QAI23:QAI24 QKE23:QKE24 QUA23:QUA24 RDW23:RDW24 RNS23:RNS24 RXO23:RXO24 SHK23:SHK24 SRG23:SRG24 TBC23:TBC24 TKY23:TKY24 TUU23:TUU24 UEQ23:UEQ24 UOM23:UOM24 UYI23:UYI24 VIE23:VIE24 VSA23:VSA24 WBW23:WBW24 WLS23:WLS24 WVO23:WVO24 JA18:JA24 SW18:SW24 ACS18:ACS24 AMO18:AMO24 AWK18:AWK24 BGG18:BGG24 BQC18:BQC24 BZY18:BZY24 CJU18:CJU24 CTQ18:CTQ24 DDM18:DDM24 DNI18:DNI24 DXE18:DXE24 EHA18:EHA24 EQW18:EQW24 FAS18:FAS24 FKO18:FKO24 FUK18:FUK24 GEG18:GEG24 GOC18:GOC24 GXY18:GXY24 HHU18:HHU24 HRQ18:HRQ24 IBM18:IBM24 ILI18:ILI24 IVE18:IVE24 JFA18:JFA24 JOW18:JOW24 JYS18:JYS24 KIO18:KIO24 KSK18:KSK24 LCG18:LCG24 LMC18:LMC24 LVY18:LVY24 MFU18:MFU24 MPQ18:MPQ24 MZM18:MZM24 NJI18:NJI24 NTE18:NTE24 ODA18:ODA24 OMW18:OMW24 OWS18:OWS24 PGO18:PGO24 PQK18:PQK24 QAG18:QAG24 QKC18:QKC24 QTY18:QTY24 RDU18:RDU24 RNQ18:RNQ24 RXM18:RXM24 SHI18:SHI24 SRE18:SRE24 TBA18:TBA24 TKW18:TKW24 TUS18:TUS24 UEO18:UEO24 UOK18:UOK24 UYG18:UYG24 VIC18:VIC24 VRY18:VRY24 WBU18:WBU24 WLQ18:WLQ24 WVK18:WVK24 WVM18:WVM24 IW18:IW24 IY18:IY24 SS18:SS24 SU18:SU24 ACO18:ACO24 ACQ18:ACQ24 AMK18:AMK24 AMM18:AMM24 AWG18:AWG24 AWI18:AWI24 BGC18:BGC24 BGE18:BGE24 BPY18:BPY24 BQA18:BQA24 BZU18:BZU24 BZW18:BZW24 CJQ18:CJQ24 CJS18:CJS24 CTM18:CTM24 CTO18:CTO24 DDI18:DDI24 DDK18:DDK24 DNE18:DNE24 DNG18:DNG24 DXA18:DXA24 DXC18:DXC24 EGW18:EGW24 EGY18:EGY24 EQS18:EQS24 EQU18:EQU24 FAO18:FAO24 FAQ18:FAQ24 FKK18:FKK24 FKM18:FKM24 FUG18:FUG24 FUI18:FUI24 GEC18:GEC24 GEE18:GEE24 GNY18:GNY24 GOA18:GOA24 GXU18:GXU24 GXW18:GXW24 HHQ18:HHQ24 HHS18:HHS24 HRM18:HRM24 HRO18:HRO24 IBI18:IBI24 IBK18:IBK24 ILE18:ILE24 ILG18:ILG24 IVA18:IVA24 IVC18:IVC24 JEW18:JEW24 JEY18:JEY24 JOS18:JOS24 JOU18:JOU24 JYO18:JYO24 JYQ18:JYQ24 KIK18:KIK24 KIM18:KIM24 KSG18:KSG24 KSI18:KSI24 LCC18:LCC24 LCE18:LCE24 LLY18:LLY24 LMA18:LMA24 LVU18:LVU24 LVW18:LVW24 MFQ18:MFQ24 MFS18:MFS24 MPM18:MPM24 MPO18:MPO24 MZI18:MZI24 MZK18:MZK24 NJE18:NJE24 NJG18:NJG24 NTA18:NTA24 NTC18:NTC24 OCW18:OCW24 OCY18:OCY24 OMS18:OMS24 OMU18:OMU24 OWO18:OWO24 OWQ18:OWQ24 PGK18:PGK24 PGM18:PGM24 PQG18:PQG24 PQI18:PQI24 QAC18:QAC24 QAE18:QAE24 QJY18:QJY24 QKA18:QKA24 QTU18:QTU24 QTW18:QTW24 RDQ18:RDQ24 RDS18:RDS24 RNM18:RNM24 RNO18:RNO24 RXI18:RXI24 RXK18:RXK24 SHE18:SHE24 SHG18:SHG24 SRA18:SRA24 SRC18:SRC24 TAW18:TAW24 TAY18:TAY24 TKS18:TKS24 TKU18:TKU24 TUO18:TUO24 TUQ18:TUQ24 UEK18:UEK24 UEM18:UEM24 UOG18:UOG24 UOI18:UOI24 UYC18:UYC24 UYE18:UYE24 VHY18:VHY24 VIA18:VIA24 VRU18:VRU24 VRW18:VRW24 B23:B29"/>
    <dataValidation type="decimal" operator="lessThanOrEqual" allowBlank="1" showInputMessage="1" showErrorMessage="1" promptTitle="Annual depreciation expense" prompt="Enter annual depreciation expense as a negative amount." sqref="WVJ33:WVJ39 IX33:IX39 ST33:ST39 ACP33:ACP39 AML33:AML39 AWH33:AWH39 BGD33:BGD39 BPZ33:BPZ39 BZV33:BZV39 CJR33:CJR39 CTN33:CTN39 DDJ33:DDJ39 DNF33:DNF39 DXB33:DXB39 EGX33:EGX39 EQT33:EQT39 FAP33:FAP39 FKL33:FKL39 FUH33:FUH39 GED33:GED39 GNZ33:GNZ39 GXV33:GXV39 HHR33:HHR39 HRN33:HRN39 IBJ33:IBJ39 ILF33:ILF39 IVB33:IVB39 JEX33:JEX39 JOT33:JOT39 JYP33:JYP39 KIL33:KIL39 KSH33:KSH39 LCD33:LCD39 LLZ33:LLZ39 LVV33:LVV39 MFR33:MFR39 MPN33:MPN39 MZJ33:MZJ39 NJF33:NJF39 NTB33:NTB39 OCX33:OCX39 OMT33:OMT39 OWP33:OWP39 PGL33:PGL39 PQH33:PQH39 QAD33:QAD39 QJZ33:QJZ39 QTV33:QTV39 RDR33:RDR39 RNN33:RNN39 RXJ33:RXJ39 SHF33:SHF39 SRB33:SRB39 TAX33:TAX39 TKT33:TKT39 TUP33:TUP39 UEL33:UEL39 UOH33:UOH39 UYD33:UYD39 VHZ33:VHZ39 VRV33:VRV39 WBR33:WBR39 WLN33:WLN39 E23:E29">
      <formula1>0</formula1>
    </dataValidation>
    <dataValidation type="decimal" operator="lessThanOrEqual" allowBlank="1" showInputMessage="1" showErrorMessage="1" promptTitle="Accumulated depreciation" prompt="Enter accumulated depreciation as a negative amount." sqref="WVH33:WVH39 IV33:IV39 SR33:SR39 ACN33:ACN39 AMJ33:AMJ39 AWF33:AWF39 BGB33:BGB39 BPX33:BPX39 BZT33:BZT39 CJP33:CJP39 CTL33:CTL39 DDH33:DDH39 DND33:DND39 DWZ33:DWZ39 EGV33:EGV39 EQR33:EQR39 FAN33:FAN39 FKJ33:FKJ39 FUF33:FUF39 GEB33:GEB39 GNX33:GNX39 GXT33:GXT39 HHP33:HHP39 HRL33:HRL39 IBH33:IBH39 ILD33:ILD39 IUZ33:IUZ39 JEV33:JEV39 JOR33:JOR39 JYN33:JYN39 KIJ33:KIJ39 KSF33:KSF39 LCB33:LCB39 LLX33:LLX39 LVT33:LVT39 MFP33:MFP39 MPL33:MPL39 MZH33:MZH39 NJD33:NJD39 NSZ33:NSZ39 OCV33:OCV39 OMR33:OMR39 OWN33:OWN39 PGJ33:PGJ39 PQF33:PQF39 QAB33:QAB39 QJX33:QJX39 QTT33:QTT39 RDP33:RDP39 RNL33:RNL39 RXH33:RXH39 SHD33:SHD39 SQZ33:SQZ39 TAV33:TAV39 TKR33:TKR39 TUN33:TUN39 UEJ33:UEJ39 UOF33:UOF39 UYB33:UYB39 VHX33:VHX39 VRT33:VRT39 WBP33:WBP39 WLL33:WLL39 D23:D29">
      <formula1>0</formula1>
    </dataValidation>
  </dataValidations>
  <pageMargins left="0.75" right="0.75" top="1" bottom="1" header="0.5" footer="0.5"/>
  <pageSetup scale="67" fitToHeight="2" orientation="landscape" r:id="rId1"/>
  <headerFooter alignWithMargins="0"/>
  <rowBreaks count="1" manualBreakCount="1">
    <brk id="38" max="6" man="1"/>
  </rowBreaks>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9">
    <tabColor theme="6" tint="0.39997558519241921"/>
  </sheetPr>
  <dimension ref="A1:H70"/>
  <sheetViews>
    <sheetView showGridLines="0" zoomScaleNormal="100" workbookViewId="0">
      <selection activeCell="A9" sqref="A9:H9"/>
    </sheetView>
  </sheetViews>
  <sheetFormatPr defaultRowHeight="12.75" x14ac:dyDescent="0.2"/>
  <cols>
    <col min="1" max="1" width="8.7109375" style="43" customWidth="1"/>
    <col min="2" max="2" width="30.7109375" style="43" customWidth="1"/>
    <col min="3" max="7" width="12.7109375" style="43" customWidth="1"/>
    <col min="8" max="8" width="14.7109375" style="43" customWidth="1"/>
    <col min="9" max="16384" width="9.140625" style="43"/>
  </cols>
  <sheetData>
    <row r="1" spans="1:8" x14ac:dyDescent="0.2">
      <c r="G1" s="562" t="s">
        <v>301</v>
      </c>
      <c r="H1" s="61" t="str">
        <f>EBNUMBER</f>
        <v>EB-2016-0066</v>
      </c>
    </row>
    <row r="2" spans="1:8" x14ac:dyDescent="0.2">
      <c r="G2" s="562" t="s">
        <v>302</v>
      </c>
      <c r="H2" s="62"/>
    </row>
    <row r="3" spans="1:8" x14ac:dyDescent="0.2">
      <c r="G3" s="562" t="s">
        <v>303</v>
      </c>
      <c r="H3" s="62"/>
    </row>
    <row r="4" spans="1:8" x14ac:dyDescent="0.2">
      <c r="G4" s="562" t="s">
        <v>304</v>
      </c>
      <c r="H4" s="62"/>
    </row>
    <row r="5" spans="1:8" x14ac:dyDescent="0.2">
      <c r="G5" s="562" t="s">
        <v>305</v>
      </c>
      <c r="H5" s="63"/>
    </row>
    <row r="6" spans="1:8" x14ac:dyDescent="0.2">
      <c r="G6" s="562"/>
      <c r="H6" s="61"/>
    </row>
    <row r="7" spans="1:8" x14ac:dyDescent="0.2">
      <c r="G7" s="562" t="s">
        <v>306</v>
      </c>
      <c r="H7" s="63"/>
    </row>
    <row r="9" spans="1:8" ht="18" x14ac:dyDescent="0.25">
      <c r="A9" s="1546" t="s">
        <v>440</v>
      </c>
      <c r="B9" s="1546"/>
      <c r="C9" s="1546"/>
      <c r="D9" s="1546"/>
      <c r="E9" s="1546"/>
      <c r="F9" s="1546"/>
      <c r="G9" s="1546"/>
      <c r="H9" s="1546"/>
    </row>
    <row r="10" spans="1:8" ht="18" x14ac:dyDescent="0.25">
      <c r="A10" s="1546" t="s">
        <v>106</v>
      </c>
      <c r="B10" s="1546"/>
      <c r="C10" s="1546"/>
      <c r="D10" s="1546"/>
      <c r="E10" s="1546"/>
      <c r="F10" s="1546"/>
      <c r="G10" s="1546"/>
      <c r="H10" s="1546"/>
    </row>
    <row r="11" spans="1:8" x14ac:dyDescent="0.2">
      <c r="A11" s="1969"/>
      <c r="B11" s="1969"/>
      <c r="C11" s="1969"/>
      <c r="D11" s="1969"/>
      <c r="E11" s="1969"/>
      <c r="F11" s="1969"/>
      <c r="G11" s="1969"/>
      <c r="H11" s="1969"/>
    </row>
    <row r="12" spans="1:8" ht="13.5" thickBot="1" x14ac:dyDescent="0.25"/>
    <row r="13" spans="1:8" x14ac:dyDescent="0.2">
      <c r="A13" s="1970"/>
      <c r="B13" s="1971"/>
      <c r="C13" s="1974" t="s">
        <v>143</v>
      </c>
      <c r="D13" s="1975"/>
      <c r="E13" s="1975"/>
      <c r="F13" s="1975"/>
      <c r="G13" s="1976"/>
      <c r="H13" s="1977" t="s">
        <v>144</v>
      </c>
    </row>
    <row r="14" spans="1:8" x14ac:dyDescent="0.2">
      <c r="A14" s="1972"/>
      <c r="B14" s="1973"/>
      <c r="C14" s="983">
        <f>IF(ISBLANK('LDC Info'!E26-5), "Year 5", 'LDC Info'!E26-5)</f>
        <v>2011</v>
      </c>
      <c r="D14" s="983">
        <f>IF(ISBLANK('LDC Info'!E26-4), "Year 5", 'LDC Info'!E26-4)</f>
        <v>2012</v>
      </c>
      <c r="E14" s="983">
        <f>IF(ISBLANK('LDC Info'!E26-3), "Year 5", 'LDC Info'!E26-3)</f>
        <v>2013</v>
      </c>
      <c r="F14" s="983">
        <f>IF(ISBLANK('LDC Info'!E26-2), "Year 5", 'LDC Info'!E26-2)</f>
        <v>2014</v>
      </c>
      <c r="G14" s="983">
        <f>IF(ISBLANK('LDC Info'!E26-1), "Year 5", 'LDC Info'!E26-1)</f>
        <v>2015</v>
      </c>
      <c r="H14" s="1978"/>
    </row>
    <row r="15" spans="1:8" x14ac:dyDescent="0.2">
      <c r="A15" s="984"/>
      <c r="B15" s="1979" t="s">
        <v>145</v>
      </c>
      <c r="C15" s="1980"/>
      <c r="D15" s="1980"/>
      <c r="E15" s="1980"/>
      <c r="F15" s="1980"/>
      <c r="G15" s="1980"/>
      <c r="H15" s="1981"/>
    </row>
    <row r="16" spans="1:8" ht="25.5" x14ac:dyDescent="0.2">
      <c r="A16" s="985" t="s">
        <v>146</v>
      </c>
      <c r="B16" s="807" t="s">
        <v>147</v>
      </c>
      <c r="C16" s="986">
        <v>255035715.38461539</v>
      </c>
      <c r="D16" s="986">
        <v>246901827.27272725</v>
      </c>
      <c r="E16" s="986">
        <v>247681431.06060606</v>
      </c>
      <c r="F16" s="986">
        <v>249772655.12820518</v>
      </c>
      <c r="G16" s="986">
        <v>247718853.84615383</v>
      </c>
      <c r="H16" s="987">
        <f>IF(SUM(C16:G16)=0,0,AVERAGE(C16:G16))</f>
        <v>249422096.53846154</v>
      </c>
    </row>
    <row r="17" spans="1:8" ht="25.5" x14ac:dyDescent="0.2">
      <c r="A17" s="985" t="s">
        <v>148</v>
      </c>
      <c r="B17" s="807" t="s">
        <v>149</v>
      </c>
      <c r="C17" s="986">
        <v>246649628.03154293</v>
      </c>
      <c r="D17" s="986">
        <v>238783198.52294704</v>
      </c>
      <c r="E17" s="986">
        <v>239537167.37002519</v>
      </c>
      <c r="F17" s="986">
        <v>241559627.783564</v>
      </c>
      <c r="G17" s="986">
        <v>239573359.61910427</v>
      </c>
      <c r="H17" s="987">
        <f>IF(SUM(C17:G17)=0,0,AVERAGE(C17:G17))</f>
        <v>241220596.26543665</v>
      </c>
    </row>
    <row r="18" spans="1:8" ht="38.25" x14ac:dyDescent="0.2">
      <c r="A18" s="985" t="s">
        <v>150</v>
      </c>
      <c r="B18" s="807" t="s">
        <v>151</v>
      </c>
      <c r="C18" s="986"/>
      <c r="D18" s="986"/>
      <c r="E18" s="986"/>
      <c r="F18" s="986"/>
      <c r="G18" s="986"/>
      <c r="H18" s="987">
        <f>IF(SUM(C18:G18)=0,0,AVERAGE(C18:G18))</f>
        <v>0</v>
      </c>
    </row>
    <row r="19" spans="1:8" ht="25.5" x14ac:dyDescent="0.2">
      <c r="A19" s="985" t="s">
        <v>152</v>
      </c>
      <c r="B19" s="807" t="s">
        <v>164</v>
      </c>
      <c r="C19" s="988">
        <f t="shared" ref="C19:H19" si="0">C17-C18</f>
        <v>246649628.03154293</v>
      </c>
      <c r="D19" s="988">
        <f t="shared" si="0"/>
        <v>238783198.52294704</v>
      </c>
      <c r="E19" s="988">
        <f t="shared" si="0"/>
        <v>239537167.37002519</v>
      </c>
      <c r="F19" s="988">
        <f t="shared" si="0"/>
        <v>241559627.783564</v>
      </c>
      <c r="G19" s="988">
        <f t="shared" si="0"/>
        <v>239573359.61910427</v>
      </c>
      <c r="H19" s="989">
        <f t="shared" si="0"/>
        <v>241220596.26543665</v>
      </c>
    </row>
    <row r="20" spans="1:8" ht="14.25" customHeight="1" x14ac:dyDescent="0.2">
      <c r="A20" s="985" t="s">
        <v>153</v>
      </c>
      <c r="B20" s="807" t="s">
        <v>154</v>
      </c>
      <c r="C20" s="986">
        <v>241928636.40000001</v>
      </c>
      <c r="D20" s="986">
        <v>233351045.58096856</v>
      </c>
      <c r="E20" s="986">
        <v>229730886.55255783</v>
      </c>
      <c r="F20" s="986">
        <v>230942887.5</v>
      </c>
      <c r="G20" s="986">
        <v>232502517.32197464</v>
      </c>
      <c r="H20" s="987">
        <f>IF(SUM(C20:G20)=0,0,AVERAGE(C20:G20))</f>
        <v>233691194.67110023</v>
      </c>
    </row>
    <row r="21" spans="1:8" ht="38.25" x14ac:dyDescent="0.2">
      <c r="A21" s="985" t="s">
        <v>155</v>
      </c>
      <c r="B21" s="807" t="s">
        <v>156</v>
      </c>
      <c r="C21" s="990"/>
      <c r="D21" s="986"/>
      <c r="E21" s="986"/>
      <c r="F21" s="986"/>
      <c r="G21" s="986"/>
      <c r="H21" s="987">
        <f>IF(SUM(C21:G21)=0,0,AVERAGE(C21:G21))</f>
        <v>0</v>
      </c>
    </row>
    <row r="22" spans="1:8" ht="25.5" x14ac:dyDescent="0.2">
      <c r="A22" s="985" t="s">
        <v>157</v>
      </c>
      <c r="B22" s="807" t="s">
        <v>165</v>
      </c>
      <c r="C22" s="988">
        <f t="shared" ref="C22:H22" si="1">C20-C21</f>
        <v>241928636.40000001</v>
      </c>
      <c r="D22" s="988">
        <f t="shared" si="1"/>
        <v>233351045.58096856</v>
      </c>
      <c r="E22" s="988">
        <f t="shared" si="1"/>
        <v>229730886.55255783</v>
      </c>
      <c r="F22" s="988">
        <f t="shared" si="1"/>
        <v>230942887.5</v>
      </c>
      <c r="G22" s="988">
        <f t="shared" si="1"/>
        <v>232502517.32197464</v>
      </c>
      <c r="H22" s="989">
        <f t="shared" si="1"/>
        <v>233691194.67110023</v>
      </c>
    </row>
    <row r="23" spans="1:8" ht="25.5" x14ac:dyDescent="0.2">
      <c r="A23" s="985" t="s">
        <v>158</v>
      </c>
      <c r="B23" s="807" t="s">
        <v>166</v>
      </c>
      <c r="C23" s="991">
        <f t="shared" ref="C23:G23" si="2">IF(C22=0,"",C19/C22)</f>
        <v>1.0195139843790022</v>
      </c>
      <c r="D23" s="991">
        <f t="shared" si="2"/>
        <v>1.0232788883737554</v>
      </c>
      <c r="E23" s="991">
        <f t="shared" si="2"/>
        <v>1.0426859486098048</v>
      </c>
      <c r="F23" s="991">
        <f t="shared" si="2"/>
        <v>1.0459712805988191</v>
      </c>
      <c r="G23" s="991">
        <f t="shared" si="2"/>
        <v>1.0304118956584791</v>
      </c>
      <c r="H23" s="991">
        <f>IF(SUM(C23:G23)=0,0,AVERAGE(C23:G23))</f>
        <v>1.032372399523972</v>
      </c>
    </row>
    <row r="24" spans="1:8" ht="13.5" customHeight="1" x14ac:dyDescent="0.2">
      <c r="A24" s="992"/>
      <c r="B24" s="1982" t="s">
        <v>160</v>
      </c>
      <c r="C24" s="1983"/>
      <c r="D24" s="1983"/>
      <c r="E24" s="1983"/>
      <c r="F24" s="1983"/>
      <c r="G24" s="1983"/>
      <c r="H24" s="1984"/>
    </row>
    <row r="25" spans="1:8" x14ac:dyDescent="0.2">
      <c r="A25" s="985" t="s">
        <v>159</v>
      </c>
      <c r="B25" s="807" t="s">
        <v>161</v>
      </c>
      <c r="C25" s="993">
        <v>1.034</v>
      </c>
      <c r="D25" s="993">
        <v>1.034</v>
      </c>
      <c r="E25" s="993">
        <v>1.034</v>
      </c>
      <c r="F25" s="993">
        <v>1.034</v>
      </c>
      <c r="G25" s="993">
        <v>1.034</v>
      </c>
      <c r="H25" s="994">
        <f>IF(SUM(C25:G25)=0,0,AVERAGE(C25:G25))</f>
        <v>1.034</v>
      </c>
    </row>
    <row r="26" spans="1:8" x14ac:dyDescent="0.2">
      <c r="A26" s="992"/>
      <c r="B26" s="1982" t="s">
        <v>162</v>
      </c>
      <c r="C26" s="1983"/>
      <c r="D26" s="1983"/>
      <c r="E26" s="1983"/>
      <c r="F26" s="1983"/>
      <c r="G26" s="1983"/>
      <c r="H26" s="1984"/>
    </row>
    <row r="27" spans="1:8" ht="13.5" thickBot="1" x14ac:dyDescent="0.25">
      <c r="A27" s="995" t="s">
        <v>163</v>
      </c>
      <c r="B27" s="814" t="s">
        <v>167</v>
      </c>
      <c r="C27" s="996">
        <f t="shared" ref="C27:H27" si="3">IF(C23="","",C23*C25)</f>
        <v>1.0541774598478884</v>
      </c>
      <c r="D27" s="996">
        <f t="shared" si="3"/>
        <v>1.0580703705784631</v>
      </c>
      <c r="E27" s="996">
        <f t="shared" si="3"/>
        <v>1.0781372708625381</v>
      </c>
      <c r="F27" s="996">
        <f t="shared" si="3"/>
        <v>1.0815343041391789</v>
      </c>
      <c r="G27" s="996">
        <f t="shared" si="3"/>
        <v>1.0654459001108674</v>
      </c>
      <c r="H27" s="997">
        <f t="shared" si="3"/>
        <v>1.0674730611077869</v>
      </c>
    </row>
    <row r="29" spans="1:8" x14ac:dyDescent="0.2">
      <c r="A29" s="425" t="s">
        <v>11</v>
      </c>
    </row>
    <row r="31" spans="1:8" x14ac:dyDescent="0.2">
      <c r="A31" s="422" t="s">
        <v>146</v>
      </c>
      <c r="B31" s="1985" t="s">
        <v>278</v>
      </c>
      <c r="C31" s="1985"/>
      <c r="D31" s="1985"/>
      <c r="E31" s="1985"/>
      <c r="F31" s="1985"/>
      <c r="G31" s="1985"/>
      <c r="H31" s="1985"/>
    </row>
    <row r="32" spans="1:8" x14ac:dyDescent="0.2">
      <c r="A32" s="998"/>
      <c r="B32" s="1985"/>
      <c r="C32" s="1985"/>
      <c r="D32" s="1985"/>
      <c r="E32" s="1985"/>
      <c r="F32" s="1985"/>
      <c r="G32" s="1985"/>
      <c r="H32" s="1985"/>
    </row>
    <row r="33" spans="1:8" x14ac:dyDescent="0.2">
      <c r="A33" s="998"/>
      <c r="B33" s="1985"/>
      <c r="C33" s="1985"/>
      <c r="D33" s="1985"/>
      <c r="E33" s="1985"/>
      <c r="F33" s="1985"/>
      <c r="G33" s="1985"/>
      <c r="H33" s="1985"/>
    </row>
    <row r="34" spans="1:8" ht="7.5" customHeight="1" x14ac:dyDescent="0.2">
      <c r="A34" s="998"/>
      <c r="B34" s="999"/>
      <c r="C34" s="999"/>
      <c r="D34" s="999"/>
      <c r="E34" s="999"/>
      <c r="F34" s="999"/>
      <c r="G34" s="999"/>
      <c r="H34" s="999"/>
    </row>
    <row r="35" spans="1:8" x14ac:dyDescent="0.2">
      <c r="A35" s="998"/>
      <c r="B35" s="1985" t="s">
        <v>279</v>
      </c>
      <c r="C35" s="1985"/>
      <c r="D35" s="1985"/>
      <c r="E35" s="1985"/>
      <c r="F35" s="1985"/>
      <c r="G35" s="1985"/>
      <c r="H35" s="1985"/>
    </row>
    <row r="36" spans="1:8" x14ac:dyDescent="0.2">
      <c r="A36" s="998"/>
      <c r="B36" s="1985"/>
      <c r="C36" s="1985"/>
      <c r="D36" s="1985"/>
      <c r="E36" s="1985"/>
      <c r="F36" s="1985"/>
      <c r="G36" s="1985"/>
      <c r="H36" s="1985"/>
    </row>
    <row r="37" spans="1:8" x14ac:dyDescent="0.2">
      <c r="A37" s="998"/>
      <c r="B37" s="1985"/>
      <c r="C37" s="1985"/>
      <c r="D37" s="1985"/>
      <c r="E37" s="1985"/>
      <c r="F37" s="1985"/>
      <c r="G37" s="1985"/>
      <c r="H37" s="1985"/>
    </row>
    <row r="38" spans="1:8" x14ac:dyDescent="0.2">
      <c r="A38" s="998"/>
      <c r="B38" s="1985"/>
      <c r="C38" s="1985"/>
      <c r="D38" s="1985"/>
      <c r="E38" s="1985"/>
      <c r="F38" s="1985"/>
      <c r="G38" s="1985"/>
      <c r="H38" s="1985"/>
    </row>
    <row r="39" spans="1:8" ht="7.5" customHeight="1" x14ac:dyDescent="0.2">
      <c r="A39" s="998"/>
      <c r="B39" s="999"/>
      <c r="C39" s="999"/>
      <c r="D39" s="999"/>
      <c r="E39" s="999"/>
      <c r="F39" s="999"/>
      <c r="G39" s="999"/>
      <c r="H39" s="999"/>
    </row>
    <row r="40" spans="1:8" x14ac:dyDescent="0.2">
      <c r="A40" s="998"/>
      <c r="B40" s="999" t="s">
        <v>233</v>
      </c>
      <c r="C40" s="999"/>
      <c r="D40" s="999"/>
      <c r="E40" s="999"/>
      <c r="F40" s="999"/>
      <c r="G40" s="999"/>
      <c r="H40" s="999"/>
    </row>
    <row r="41" spans="1:8" ht="7.5" customHeight="1" x14ac:dyDescent="0.2">
      <c r="A41" s="998"/>
      <c r="B41" s="999"/>
      <c r="C41" s="999"/>
      <c r="D41" s="999"/>
      <c r="E41" s="999"/>
      <c r="F41" s="999"/>
      <c r="G41" s="999"/>
      <c r="H41" s="999"/>
    </row>
    <row r="42" spans="1:8" x14ac:dyDescent="0.2">
      <c r="A42" s="422" t="s">
        <v>148</v>
      </c>
      <c r="B42" s="1985" t="s">
        <v>280</v>
      </c>
      <c r="C42" s="1985"/>
      <c r="D42" s="1985"/>
      <c r="E42" s="1985"/>
      <c r="F42" s="1985"/>
      <c r="G42" s="1985"/>
      <c r="H42" s="1985"/>
    </row>
    <row r="43" spans="1:8" x14ac:dyDescent="0.2">
      <c r="A43" s="998"/>
      <c r="B43" s="1985"/>
      <c r="C43" s="1985"/>
      <c r="D43" s="1985"/>
      <c r="E43" s="1985"/>
      <c r="F43" s="1985"/>
      <c r="G43" s="1985"/>
      <c r="H43" s="1985"/>
    </row>
    <row r="44" spans="1:8" x14ac:dyDescent="0.2">
      <c r="A44" s="998"/>
      <c r="B44" s="1985"/>
      <c r="C44" s="1985"/>
      <c r="D44" s="1985"/>
      <c r="E44" s="1985"/>
      <c r="F44" s="1985"/>
      <c r="G44" s="1985"/>
      <c r="H44" s="1985"/>
    </row>
    <row r="45" spans="1:8" ht="7.5" customHeight="1" x14ac:dyDescent="0.2">
      <c r="A45" s="998"/>
      <c r="B45" s="999"/>
      <c r="C45" s="999"/>
      <c r="D45" s="999"/>
      <c r="E45" s="999"/>
      <c r="F45" s="999"/>
      <c r="G45" s="999"/>
      <c r="H45" s="999"/>
    </row>
    <row r="46" spans="1:8" ht="12.75" customHeight="1" x14ac:dyDescent="0.2">
      <c r="A46" s="998"/>
      <c r="B46" s="1986" t="s">
        <v>624</v>
      </c>
      <c r="C46" s="1986"/>
      <c r="D46" s="1986"/>
      <c r="E46" s="1986"/>
      <c r="F46" s="1986"/>
      <c r="G46" s="1986"/>
      <c r="H46" s="1986"/>
    </row>
    <row r="47" spans="1:8" x14ac:dyDescent="0.2">
      <c r="A47" s="998"/>
      <c r="B47" s="1986"/>
      <c r="C47" s="1986"/>
      <c r="D47" s="1986"/>
      <c r="E47" s="1986"/>
      <c r="F47" s="1986"/>
      <c r="G47" s="1986"/>
      <c r="H47" s="1986"/>
    </row>
    <row r="48" spans="1:8" x14ac:dyDescent="0.2">
      <c r="A48" s="998"/>
      <c r="B48" s="1986"/>
      <c r="C48" s="1986"/>
      <c r="D48" s="1986"/>
      <c r="E48" s="1986"/>
      <c r="F48" s="1986"/>
      <c r="G48" s="1986"/>
      <c r="H48" s="1986"/>
    </row>
    <row r="49" spans="1:8" x14ac:dyDescent="0.2">
      <c r="A49" s="998"/>
      <c r="B49" s="1986"/>
      <c r="C49" s="1986"/>
      <c r="D49" s="1986"/>
      <c r="E49" s="1986"/>
      <c r="F49" s="1986"/>
      <c r="G49" s="1986"/>
      <c r="H49" s="1986"/>
    </row>
    <row r="50" spans="1:8" ht="7.5" customHeight="1" x14ac:dyDescent="0.2">
      <c r="A50" s="998"/>
      <c r="B50" s="999"/>
      <c r="C50" s="999"/>
      <c r="D50" s="999"/>
      <c r="E50" s="999"/>
      <c r="F50" s="999"/>
      <c r="G50" s="999"/>
      <c r="H50" s="999"/>
    </row>
    <row r="51" spans="1:8" x14ac:dyDescent="0.2">
      <c r="A51" s="998"/>
      <c r="B51" s="1987" t="s">
        <v>233</v>
      </c>
      <c r="C51" s="1987"/>
      <c r="D51" s="1987"/>
      <c r="E51" s="1987"/>
      <c r="F51" s="1987"/>
      <c r="G51" s="1987"/>
      <c r="H51" s="1987"/>
    </row>
    <row r="52" spans="1:8" ht="7.5" customHeight="1" x14ac:dyDescent="0.2">
      <c r="A52" s="998"/>
      <c r="B52" s="999"/>
      <c r="C52" s="999"/>
      <c r="D52" s="999"/>
      <c r="E52" s="999"/>
      <c r="F52" s="999"/>
      <c r="G52" s="999"/>
      <c r="H52" s="999"/>
    </row>
    <row r="53" spans="1:8" x14ac:dyDescent="0.2">
      <c r="A53" s="998"/>
      <c r="B53" s="1985" t="s">
        <v>281</v>
      </c>
      <c r="C53" s="1985"/>
      <c r="D53" s="1985"/>
      <c r="E53" s="1985"/>
      <c r="F53" s="1985"/>
      <c r="G53" s="1985"/>
      <c r="H53" s="1985"/>
    </row>
    <row r="54" spans="1:8" x14ac:dyDescent="0.2">
      <c r="A54" s="998"/>
      <c r="B54" s="1985"/>
      <c r="C54" s="1985"/>
      <c r="D54" s="1985"/>
      <c r="E54" s="1985"/>
      <c r="F54" s="1985"/>
      <c r="G54" s="1985"/>
      <c r="H54" s="1985"/>
    </row>
    <row r="55" spans="1:8" ht="7.5" customHeight="1" x14ac:dyDescent="0.2">
      <c r="A55" s="998"/>
      <c r="B55" s="999"/>
      <c r="C55" s="999"/>
      <c r="D55" s="999"/>
      <c r="E55" s="999"/>
      <c r="F55" s="999"/>
      <c r="G55" s="999"/>
      <c r="H55" s="999"/>
    </row>
    <row r="56" spans="1:8" x14ac:dyDescent="0.2">
      <c r="A56" s="422" t="s">
        <v>150</v>
      </c>
      <c r="B56" s="1985" t="s">
        <v>282</v>
      </c>
      <c r="C56" s="1985"/>
      <c r="D56" s="1985"/>
      <c r="E56" s="1985"/>
      <c r="F56" s="1985"/>
      <c r="G56" s="1985"/>
      <c r="H56" s="1985"/>
    </row>
    <row r="57" spans="1:8" x14ac:dyDescent="0.2">
      <c r="A57" s="998"/>
      <c r="B57" s="1985"/>
      <c r="C57" s="1985"/>
      <c r="D57" s="1985"/>
      <c r="E57" s="1985"/>
      <c r="F57" s="1985"/>
      <c r="G57" s="1985"/>
      <c r="H57" s="1985"/>
    </row>
    <row r="58" spans="1:8" ht="7.5" customHeight="1" x14ac:dyDescent="0.2">
      <c r="A58" s="998"/>
      <c r="B58" s="999"/>
      <c r="C58" s="999"/>
      <c r="D58" s="999"/>
      <c r="E58" s="999"/>
      <c r="F58" s="999"/>
      <c r="G58" s="999"/>
      <c r="H58" s="999"/>
    </row>
    <row r="59" spans="1:8" x14ac:dyDescent="0.2">
      <c r="A59" s="422" t="s">
        <v>153</v>
      </c>
      <c r="B59" s="1986" t="s">
        <v>454</v>
      </c>
      <c r="C59" s="1985"/>
      <c r="D59" s="1985"/>
      <c r="E59" s="1985"/>
      <c r="F59" s="1985"/>
      <c r="G59" s="1985"/>
      <c r="H59" s="1985"/>
    </row>
    <row r="60" spans="1:8" x14ac:dyDescent="0.2">
      <c r="A60" s="998"/>
      <c r="B60" s="999"/>
      <c r="C60" s="999"/>
      <c r="D60" s="999"/>
      <c r="E60" s="999"/>
      <c r="F60" s="999"/>
      <c r="G60" s="999"/>
      <c r="H60" s="999"/>
    </row>
    <row r="61" spans="1:8" x14ac:dyDescent="0.2">
      <c r="A61" s="422" t="s">
        <v>283</v>
      </c>
      <c r="B61" s="1987" t="s">
        <v>234</v>
      </c>
      <c r="C61" s="1987"/>
      <c r="D61" s="1987"/>
      <c r="E61" s="1987"/>
      <c r="F61" s="1987"/>
      <c r="G61" s="1987"/>
      <c r="H61" s="1987"/>
    </row>
    <row r="62" spans="1:8" x14ac:dyDescent="0.2">
      <c r="A62" s="998"/>
      <c r="B62" s="999"/>
      <c r="C62" s="999"/>
      <c r="D62" s="999"/>
      <c r="E62" s="999"/>
      <c r="F62" s="999"/>
      <c r="G62" s="999"/>
      <c r="H62" s="999"/>
    </row>
    <row r="63" spans="1:8" x14ac:dyDescent="0.2">
      <c r="A63" s="422" t="s">
        <v>159</v>
      </c>
      <c r="B63" s="1987" t="s">
        <v>276</v>
      </c>
      <c r="C63" s="1987"/>
      <c r="D63" s="1987"/>
      <c r="E63" s="1987"/>
      <c r="F63" s="1987"/>
      <c r="G63" s="1987"/>
      <c r="H63" s="1987"/>
    </row>
    <row r="64" spans="1:8" x14ac:dyDescent="0.2">
      <c r="A64" s="999"/>
      <c r="B64" s="999"/>
      <c r="C64" s="999"/>
      <c r="D64" s="999"/>
      <c r="E64" s="999"/>
      <c r="F64" s="999"/>
      <c r="G64" s="999"/>
      <c r="H64" s="999"/>
    </row>
    <row r="65" spans="1:8" x14ac:dyDescent="0.2">
      <c r="A65" s="999"/>
      <c r="B65" s="1985" t="s">
        <v>277</v>
      </c>
      <c r="C65" s="1985"/>
      <c r="D65" s="1985"/>
      <c r="E65" s="1985"/>
      <c r="F65" s="1985"/>
      <c r="G65" s="1985"/>
      <c r="H65" s="999"/>
    </row>
    <row r="66" spans="1:8" x14ac:dyDescent="0.2">
      <c r="A66" s="999"/>
      <c r="B66" s="1985"/>
      <c r="C66" s="1985"/>
      <c r="D66" s="1985"/>
      <c r="E66" s="1985"/>
      <c r="F66" s="1985"/>
      <c r="G66" s="1985"/>
      <c r="H66" s="999"/>
    </row>
    <row r="67" spans="1:8" x14ac:dyDescent="0.2">
      <c r="A67" s="999"/>
      <c r="B67" s="1985"/>
      <c r="C67" s="1985"/>
      <c r="D67" s="1985"/>
      <c r="E67" s="1985"/>
      <c r="F67" s="1985"/>
      <c r="G67" s="1985"/>
      <c r="H67" s="999"/>
    </row>
    <row r="68" spans="1:8" x14ac:dyDescent="0.2">
      <c r="A68" s="999"/>
      <c r="B68" s="999"/>
      <c r="C68" s="999"/>
      <c r="D68" s="999"/>
      <c r="E68" s="999"/>
      <c r="F68" s="999"/>
      <c r="G68" s="999"/>
      <c r="H68" s="999"/>
    </row>
    <row r="69" spans="1:8" x14ac:dyDescent="0.2">
      <c r="B69" s="1987" t="s">
        <v>284</v>
      </c>
      <c r="C69" s="1988"/>
      <c r="D69" s="1988"/>
      <c r="E69" s="1988"/>
      <c r="F69" s="1988"/>
      <c r="G69" s="1988"/>
      <c r="H69" s="1988"/>
    </row>
    <row r="70" spans="1:8" x14ac:dyDescent="0.2">
      <c r="B70" s="43" t="s">
        <v>285</v>
      </c>
    </row>
  </sheetData>
  <sheetProtection password="F8BD" sheet="1" objects="1" scenarios="1"/>
  <mergeCells count="21">
    <mergeCell ref="B56:H57"/>
    <mergeCell ref="B59:H59"/>
    <mergeCell ref="B31:H33"/>
    <mergeCell ref="B69:H69"/>
    <mergeCell ref="B61:H61"/>
    <mergeCell ref="B63:H63"/>
    <mergeCell ref="B65:G67"/>
    <mergeCell ref="B51:H51"/>
    <mergeCell ref="B15:H15"/>
    <mergeCell ref="B24:H24"/>
    <mergeCell ref="B26:H26"/>
    <mergeCell ref="B53:H54"/>
    <mergeCell ref="B35:H38"/>
    <mergeCell ref="B42:H44"/>
    <mergeCell ref="B46:H49"/>
    <mergeCell ref="A9:H9"/>
    <mergeCell ref="A10:H10"/>
    <mergeCell ref="A11:H11"/>
    <mergeCell ref="A13:B14"/>
    <mergeCell ref="C13:G13"/>
    <mergeCell ref="H13:H14"/>
  </mergeCells>
  <phoneticPr fontId="16" type="noConversion"/>
  <dataValidations count="1">
    <dataValidation allowBlank="1" showInputMessage="1" showErrorMessage="1" promptTitle="Date Format" prompt="E.g:  &quot;August 1, 2011&quot;" sqref="H7"/>
  </dataValidations>
  <pageMargins left="0.75" right="0.75" top="1" bottom="1" header="0.5" footer="0.5"/>
  <pageSetup scale="64" fitToHeight="0" orientation="portrait" r:id="rId1"/>
  <headerFooter alignWithMargins="0"/>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0">
    <tabColor rgb="FFFFC000"/>
  </sheetPr>
  <dimension ref="A1:H95"/>
  <sheetViews>
    <sheetView showGridLines="0" zoomScaleNormal="100" workbookViewId="0">
      <selection activeCell="A9" sqref="A9:H9"/>
    </sheetView>
  </sheetViews>
  <sheetFormatPr defaultRowHeight="12.75" x14ac:dyDescent="0.2"/>
  <cols>
    <col min="1" max="1" width="6.7109375" style="43" customWidth="1"/>
    <col min="2" max="2" width="6.5703125" style="43" customWidth="1"/>
    <col min="3" max="5" width="13.7109375" style="43" customWidth="1"/>
    <col min="6" max="6" width="17.28515625" style="43" bestFit="1" customWidth="1"/>
    <col min="7" max="7" width="13.7109375" style="43" customWidth="1"/>
    <col min="8" max="8" width="16.42578125" style="43" customWidth="1"/>
    <col min="9" max="9" width="13.7109375" style="43" customWidth="1"/>
    <col min="10" max="16384" width="9.140625" style="43"/>
  </cols>
  <sheetData>
    <row r="1" spans="1:8" x14ac:dyDescent="0.2">
      <c r="G1" s="562" t="s">
        <v>301</v>
      </c>
      <c r="H1" s="61" t="str">
        <f>EBNUMBER</f>
        <v>EB-2016-0066</v>
      </c>
    </row>
    <row r="2" spans="1:8" x14ac:dyDescent="0.2">
      <c r="G2" s="562" t="s">
        <v>302</v>
      </c>
      <c r="H2" s="62"/>
    </row>
    <row r="3" spans="1:8" x14ac:dyDescent="0.2">
      <c r="G3" s="562" t="s">
        <v>303</v>
      </c>
      <c r="H3" s="62"/>
    </row>
    <row r="4" spans="1:8" x14ac:dyDescent="0.2">
      <c r="G4" s="562" t="s">
        <v>304</v>
      </c>
      <c r="H4" s="62"/>
    </row>
    <row r="5" spans="1:8" x14ac:dyDescent="0.2">
      <c r="G5" s="562" t="s">
        <v>305</v>
      </c>
      <c r="H5" s="63"/>
    </row>
    <row r="6" spans="1:8" x14ac:dyDescent="0.2">
      <c r="G6" s="562"/>
      <c r="H6" s="61"/>
    </row>
    <row r="7" spans="1:8" x14ac:dyDescent="0.2">
      <c r="G7" s="562" t="s">
        <v>306</v>
      </c>
      <c r="H7" s="63"/>
    </row>
    <row r="9" spans="1:8" ht="18" x14ac:dyDescent="0.25">
      <c r="A9" s="1546" t="s">
        <v>1438</v>
      </c>
      <c r="B9" s="1546"/>
      <c r="C9" s="1546"/>
      <c r="D9" s="1546"/>
      <c r="E9" s="1546"/>
      <c r="F9" s="1546"/>
      <c r="G9" s="1546"/>
      <c r="H9" s="1546"/>
    </row>
    <row r="10" spans="1:8" ht="18" x14ac:dyDescent="0.25">
      <c r="A10" s="1546" t="s">
        <v>181</v>
      </c>
      <c r="B10" s="1546"/>
      <c r="C10" s="1546"/>
      <c r="D10" s="1546"/>
      <c r="E10" s="1546"/>
      <c r="F10" s="1546"/>
      <c r="G10" s="1546"/>
      <c r="H10" s="1546"/>
    </row>
    <row r="11" spans="1:8" ht="13.5" thickBot="1" x14ac:dyDescent="0.25"/>
    <row r="12" spans="1:8" ht="51" x14ac:dyDescent="0.2">
      <c r="A12" s="1000" t="s">
        <v>15</v>
      </c>
      <c r="B12" s="1001" t="s">
        <v>311</v>
      </c>
      <c r="C12" s="66" t="s">
        <v>16</v>
      </c>
      <c r="D12" s="66" t="s">
        <v>17</v>
      </c>
      <c r="E12" s="66" t="s">
        <v>227</v>
      </c>
      <c r="F12" s="66" t="s">
        <v>18</v>
      </c>
      <c r="G12" s="66" t="s">
        <v>19</v>
      </c>
      <c r="H12" s="1002" t="s">
        <v>20</v>
      </c>
    </row>
    <row r="13" spans="1:8" x14ac:dyDescent="0.2">
      <c r="A13" s="1003"/>
      <c r="B13" s="588"/>
      <c r="C13" s="923" t="s">
        <v>21</v>
      </c>
      <c r="D13" s="923" t="s">
        <v>22</v>
      </c>
      <c r="E13" s="923" t="s">
        <v>228</v>
      </c>
      <c r="F13" s="923" t="s">
        <v>99</v>
      </c>
      <c r="G13" s="923" t="s">
        <v>24</v>
      </c>
      <c r="H13" s="1004" t="s">
        <v>229</v>
      </c>
    </row>
    <row r="14" spans="1:8" x14ac:dyDescent="0.2">
      <c r="A14" s="1005">
        <v>2006</v>
      </c>
      <c r="B14" s="1006"/>
      <c r="C14" s="173"/>
      <c r="D14" s="173"/>
      <c r="E14" s="173"/>
      <c r="F14" s="174">
        <f t="shared" ref="F14:F24" si="0">C14-D14-E14</f>
        <v>0</v>
      </c>
      <c r="G14" s="173"/>
      <c r="H14" s="1007">
        <f t="shared" ref="H14:H24" si="1">F14-G14</f>
        <v>0</v>
      </c>
    </row>
    <row r="15" spans="1:8" x14ac:dyDescent="0.2">
      <c r="A15" s="1005">
        <v>2007</v>
      </c>
      <c r="B15" s="1006"/>
      <c r="C15" s="173"/>
      <c r="D15" s="173"/>
      <c r="E15" s="173"/>
      <c r="F15" s="174">
        <f t="shared" si="0"/>
        <v>0</v>
      </c>
      <c r="G15" s="173"/>
      <c r="H15" s="1007">
        <f t="shared" si="1"/>
        <v>0</v>
      </c>
    </row>
    <row r="16" spans="1:8" x14ac:dyDescent="0.2">
      <c r="A16" s="1005">
        <v>2008</v>
      </c>
      <c r="B16" s="1006"/>
      <c r="C16" s="173"/>
      <c r="D16" s="173"/>
      <c r="E16" s="173"/>
      <c r="F16" s="174">
        <f t="shared" si="0"/>
        <v>0</v>
      </c>
      <c r="G16" s="173"/>
      <c r="H16" s="1007">
        <f t="shared" si="1"/>
        <v>0</v>
      </c>
    </row>
    <row r="17" spans="1:8" x14ac:dyDescent="0.2">
      <c r="A17" s="1005">
        <v>2009</v>
      </c>
      <c r="B17" s="1006"/>
      <c r="C17" s="173"/>
      <c r="D17" s="173"/>
      <c r="E17" s="173"/>
      <c r="F17" s="174">
        <f t="shared" si="0"/>
        <v>0</v>
      </c>
      <c r="G17" s="173"/>
      <c r="H17" s="1007">
        <f t="shared" si="1"/>
        <v>0</v>
      </c>
    </row>
    <row r="18" spans="1:8" x14ac:dyDescent="0.2">
      <c r="A18" s="1005">
        <v>2010</v>
      </c>
      <c r="B18" s="1006"/>
      <c r="C18" s="173"/>
      <c r="D18" s="173"/>
      <c r="E18" s="173"/>
      <c r="F18" s="174">
        <f t="shared" si="0"/>
        <v>0</v>
      </c>
      <c r="G18" s="173"/>
      <c r="H18" s="1007">
        <f t="shared" si="1"/>
        <v>0</v>
      </c>
    </row>
    <row r="19" spans="1:8" x14ac:dyDescent="0.2">
      <c r="A19" s="1005">
        <v>2011</v>
      </c>
      <c r="B19" s="1006"/>
      <c r="C19" s="173"/>
      <c r="D19" s="173"/>
      <c r="E19" s="173"/>
      <c r="F19" s="174">
        <f t="shared" si="0"/>
        <v>0</v>
      </c>
      <c r="G19" s="173"/>
      <c r="H19" s="1007">
        <f t="shared" si="1"/>
        <v>0</v>
      </c>
    </row>
    <row r="20" spans="1:8" x14ac:dyDescent="0.2">
      <c r="A20" s="1008">
        <v>2012</v>
      </c>
      <c r="B20" s="1009"/>
      <c r="C20" s="773"/>
      <c r="D20" s="773"/>
      <c r="E20" s="773"/>
      <c r="F20" s="174">
        <f t="shared" si="0"/>
        <v>0</v>
      </c>
      <c r="G20" s="773"/>
      <c r="H20" s="1007">
        <f t="shared" si="1"/>
        <v>0</v>
      </c>
    </row>
    <row r="21" spans="1:8" x14ac:dyDescent="0.2">
      <c r="A21" s="1008">
        <v>2013</v>
      </c>
      <c r="B21" s="1009"/>
      <c r="C21" s="773"/>
      <c r="D21" s="773"/>
      <c r="E21" s="773"/>
      <c r="F21" s="174">
        <f>C21-D21-E21</f>
        <v>0</v>
      </c>
      <c r="G21" s="773"/>
      <c r="H21" s="1007">
        <f>F21-G21</f>
        <v>0</v>
      </c>
    </row>
    <row r="22" spans="1:8" x14ac:dyDescent="0.2">
      <c r="A22" s="1008">
        <v>2014</v>
      </c>
      <c r="B22" s="1009"/>
      <c r="C22" s="773"/>
      <c r="D22" s="773"/>
      <c r="E22" s="773"/>
      <c r="F22" s="174">
        <f>C22-D22-E22</f>
        <v>0</v>
      </c>
      <c r="G22" s="773"/>
      <c r="H22" s="1007">
        <f>F22-G22</f>
        <v>0</v>
      </c>
    </row>
    <row r="23" spans="1:8" x14ac:dyDescent="0.2">
      <c r="A23" s="1008">
        <v>2015</v>
      </c>
      <c r="B23" s="1009"/>
      <c r="C23" s="773"/>
      <c r="D23" s="773"/>
      <c r="E23" s="773"/>
      <c r="F23" s="1099"/>
      <c r="G23" s="773"/>
      <c r="H23" s="1100"/>
    </row>
    <row r="24" spans="1:8" ht="13.5" thickBot="1" x14ac:dyDescent="0.25">
      <c r="A24" s="1010">
        <v>2016</v>
      </c>
      <c r="B24" s="1011" t="s">
        <v>310</v>
      </c>
      <c r="C24" s="1012"/>
      <c r="D24" s="1012"/>
      <c r="E24" s="1012"/>
      <c r="F24" s="914">
        <f t="shared" si="0"/>
        <v>0</v>
      </c>
      <c r="G24" s="1012"/>
      <c r="H24" s="1013">
        <f t="shared" si="1"/>
        <v>0</v>
      </c>
    </row>
    <row r="26" spans="1:8" x14ac:dyDescent="0.2">
      <c r="A26" s="60" t="s">
        <v>11</v>
      </c>
    </row>
    <row r="27" spans="1:8" x14ac:dyDescent="0.2">
      <c r="A27" s="60"/>
    </row>
    <row r="28" spans="1:8" x14ac:dyDescent="0.2">
      <c r="A28" s="1014" t="s">
        <v>310</v>
      </c>
      <c r="B28" s="1015" t="s">
        <v>1040</v>
      </c>
      <c r="C28" s="1015"/>
      <c r="D28" s="1015"/>
      <c r="E28" s="1015"/>
      <c r="F28" s="1015"/>
      <c r="G28" s="1015"/>
    </row>
    <row r="30" spans="1:8" x14ac:dyDescent="0.2">
      <c r="A30" s="1549" t="s">
        <v>187</v>
      </c>
      <c r="B30" s="1549"/>
      <c r="C30" s="1549"/>
      <c r="D30" s="1549"/>
      <c r="E30" s="1549"/>
      <c r="F30" s="1549"/>
      <c r="G30" s="1549"/>
      <c r="H30" s="1549"/>
    </row>
    <row r="31" spans="1:8" x14ac:dyDescent="0.2">
      <c r="A31" s="1549"/>
      <c r="B31" s="1549"/>
      <c r="C31" s="1549"/>
      <c r="D31" s="1549"/>
      <c r="E31" s="1549"/>
      <c r="F31" s="1549"/>
      <c r="G31" s="1549"/>
      <c r="H31" s="1549"/>
    </row>
    <row r="32" spans="1:8" x14ac:dyDescent="0.2">
      <c r="A32" s="1549"/>
      <c r="B32" s="1549"/>
      <c r="C32" s="1549"/>
      <c r="D32" s="1549"/>
      <c r="E32" s="1549"/>
      <c r="F32" s="1549"/>
      <c r="G32" s="1549"/>
      <c r="H32" s="1549"/>
    </row>
    <row r="33" spans="1:8" x14ac:dyDescent="0.2">
      <c r="A33" s="1549"/>
      <c r="B33" s="1549"/>
      <c r="C33" s="1549"/>
      <c r="D33" s="1549"/>
      <c r="E33" s="1549"/>
      <c r="F33" s="1549"/>
      <c r="G33" s="1549"/>
      <c r="H33" s="1549"/>
    </row>
    <row r="35" spans="1:8" x14ac:dyDescent="0.2">
      <c r="A35" s="1990" t="s">
        <v>618</v>
      </c>
      <c r="B35" s="1991"/>
      <c r="C35" s="1991"/>
      <c r="D35" s="1991"/>
      <c r="E35" s="1991"/>
      <c r="F35" s="1991"/>
      <c r="G35" s="1991"/>
      <c r="H35" s="1991"/>
    </row>
    <row r="36" spans="1:8" x14ac:dyDescent="0.2">
      <c r="A36" s="1991"/>
      <c r="B36" s="1991"/>
      <c r="C36" s="1991"/>
      <c r="D36" s="1991"/>
      <c r="E36" s="1991"/>
      <c r="F36" s="1991"/>
      <c r="G36" s="1991"/>
      <c r="H36" s="1991"/>
    </row>
    <row r="38" spans="1:8" x14ac:dyDescent="0.2">
      <c r="A38" s="1078">
        <v>1</v>
      </c>
      <c r="B38" s="1891" t="s">
        <v>188</v>
      </c>
      <c r="C38" s="1891"/>
      <c r="D38" s="1891"/>
      <c r="E38" s="1891"/>
      <c r="F38" s="1891"/>
      <c r="G38" s="1891"/>
      <c r="H38" s="1891"/>
    </row>
    <row r="39" spans="1:8" x14ac:dyDescent="0.2">
      <c r="B39" s="1891"/>
      <c r="C39" s="1891"/>
      <c r="D39" s="1891"/>
      <c r="E39" s="1891"/>
      <c r="F39" s="1891"/>
      <c r="G39" s="1891"/>
      <c r="H39" s="1891"/>
    </row>
    <row r="41" spans="1:8" ht="12.75" customHeight="1" x14ac:dyDescent="0.2">
      <c r="A41" s="1078">
        <v>2</v>
      </c>
      <c r="B41" s="1986" t="s">
        <v>230</v>
      </c>
      <c r="C41" s="1986"/>
      <c r="D41" s="1986"/>
      <c r="E41" s="1986"/>
      <c r="F41" s="1986"/>
      <c r="G41" s="1986"/>
      <c r="H41" s="1986"/>
    </row>
    <row r="42" spans="1:8" x14ac:dyDescent="0.2">
      <c r="B42" s="1986"/>
      <c r="C42" s="1986"/>
      <c r="D42" s="1986"/>
      <c r="E42" s="1986"/>
      <c r="F42" s="1986"/>
      <c r="G42" s="1986"/>
      <c r="H42" s="1986"/>
    </row>
    <row r="43" spans="1:8" x14ac:dyDescent="0.2">
      <c r="B43" s="1986"/>
      <c r="C43" s="1986"/>
      <c r="D43" s="1986"/>
      <c r="E43" s="1986"/>
      <c r="F43" s="1986"/>
      <c r="G43" s="1986"/>
      <c r="H43" s="1986"/>
    </row>
    <row r="45" spans="1:8" x14ac:dyDescent="0.2">
      <c r="A45" s="1078">
        <v>3</v>
      </c>
      <c r="B45" s="1891" t="s">
        <v>189</v>
      </c>
      <c r="C45" s="1891"/>
      <c r="D45" s="1891"/>
      <c r="E45" s="1891"/>
      <c r="F45" s="1891"/>
      <c r="G45" s="1891"/>
      <c r="H45" s="1891"/>
    </row>
    <row r="46" spans="1:8" x14ac:dyDescent="0.2">
      <c r="B46" s="1891"/>
      <c r="C46" s="1891"/>
      <c r="D46" s="1891"/>
      <c r="E46" s="1891"/>
      <c r="F46" s="1891"/>
      <c r="G46" s="1891"/>
      <c r="H46" s="1891"/>
    </row>
    <row r="47" spans="1:8" x14ac:dyDescent="0.2">
      <c r="B47" s="1891"/>
      <c r="C47" s="1891"/>
      <c r="D47" s="1891"/>
      <c r="E47" s="1891"/>
      <c r="F47" s="1891"/>
      <c r="G47" s="1891"/>
      <c r="H47" s="1891"/>
    </row>
    <row r="48" spans="1:8" x14ac:dyDescent="0.2">
      <c r="B48" s="1891"/>
      <c r="C48" s="1891"/>
      <c r="D48" s="1891"/>
      <c r="E48" s="1891"/>
      <c r="F48" s="1891"/>
      <c r="G48" s="1891"/>
      <c r="H48" s="1891"/>
    </row>
    <row r="50" spans="2:8" x14ac:dyDescent="0.2">
      <c r="B50" s="1891" t="s">
        <v>82</v>
      </c>
      <c r="C50" s="1891"/>
      <c r="D50" s="1891"/>
      <c r="E50" s="1891"/>
      <c r="F50" s="1891"/>
      <c r="G50" s="1891"/>
      <c r="H50" s="1891"/>
    </row>
    <row r="51" spans="2:8" x14ac:dyDescent="0.2">
      <c r="B51" s="1891"/>
      <c r="C51" s="1891"/>
      <c r="D51" s="1891"/>
      <c r="E51" s="1891"/>
      <c r="F51" s="1891"/>
      <c r="G51" s="1891"/>
      <c r="H51" s="1891"/>
    </row>
    <row r="52" spans="2:8" x14ac:dyDescent="0.2">
      <c r="B52" s="1891"/>
      <c r="C52" s="1891"/>
      <c r="D52" s="1891"/>
      <c r="E52" s="1891"/>
      <c r="F52" s="1891"/>
      <c r="G52" s="1891"/>
      <c r="H52" s="1891"/>
    </row>
    <row r="53" spans="2:8" x14ac:dyDescent="0.2">
      <c r="B53" s="1891"/>
      <c r="C53" s="1891"/>
      <c r="D53" s="1891"/>
      <c r="E53" s="1891"/>
      <c r="F53" s="1891"/>
      <c r="G53" s="1891"/>
      <c r="H53" s="1891"/>
    </row>
    <row r="55" spans="2:8" x14ac:dyDescent="0.2">
      <c r="B55" s="43" t="s">
        <v>184</v>
      </c>
      <c r="C55" s="1891" t="s">
        <v>192</v>
      </c>
      <c r="D55" s="1891"/>
      <c r="E55" s="1891"/>
      <c r="F55" s="1891"/>
      <c r="G55" s="1891"/>
      <c r="H55" s="1891"/>
    </row>
    <row r="56" spans="2:8" x14ac:dyDescent="0.2">
      <c r="C56" s="1891"/>
      <c r="D56" s="1891"/>
      <c r="E56" s="1891"/>
      <c r="F56" s="1891"/>
      <c r="G56" s="1891"/>
      <c r="H56" s="1891"/>
    </row>
    <row r="58" spans="2:8" x14ac:dyDescent="0.2">
      <c r="B58" s="43" t="s">
        <v>185</v>
      </c>
      <c r="C58" s="1549" t="s">
        <v>193</v>
      </c>
      <c r="D58" s="1549"/>
      <c r="E58" s="1549"/>
      <c r="F58" s="1549"/>
      <c r="G58" s="1549"/>
      <c r="H58" s="1549"/>
    </row>
    <row r="59" spans="2:8" x14ac:dyDescent="0.2">
      <c r="C59" s="1549"/>
      <c r="D59" s="1549"/>
      <c r="E59" s="1549"/>
      <c r="F59" s="1549"/>
      <c r="G59" s="1549"/>
      <c r="H59" s="1549"/>
    </row>
    <row r="60" spans="2:8" x14ac:dyDescent="0.2">
      <c r="C60" s="1549"/>
      <c r="D60" s="1549"/>
      <c r="E60" s="1549"/>
      <c r="F60" s="1549"/>
      <c r="G60" s="1549"/>
      <c r="H60" s="1549"/>
    </row>
    <row r="61" spans="2:8" x14ac:dyDescent="0.2">
      <c r="C61" s="1549"/>
      <c r="D61" s="1549"/>
      <c r="E61" s="1549"/>
      <c r="F61" s="1549"/>
      <c r="G61" s="1549"/>
      <c r="H61" s="1549"/>
    </row>
    <row r="63" spans="2:8" x14ac:dyDescent="0.2">
      <c r="B63" s="43" t="s">
        <v>186</v>
      </c>
      <c r="C63" s="1549" t="s">
        <v>232</v>
      </c>
      <c r="D63" s="1549"/>
      <c r="E63" s="1549"/>
      <c r="F63" s="1549"/>
      <c r="G63" s="1549"/>
      <c r="H63" s="1549"/>
    </row>
    <row r="64" spans="2:8" x14ac:dyDescent="0.2">
      <c r="C64" s="1549"/>
      <c r="D64" s="1549"/>
      <c r="E64" s="1549"/>
      <c r="F64" s="1549"/>
      <c r="G64" s="1549"/>
      <c r="H64" s="1549"/>
    </row>
    <row r="65" spans="1:8" x14ac:dyDescent="0.2">
      <c r="C65" s="1549"/>
      <c r="D65" s="1549"/>
      <c r="E65" s="1549"/>
      <c r="F65" s="1549"/>
      <c r="G65" s="1549"/>
      <c r="H65" s="1549"/>
    </row>
    <row r="67" spans="1:8" x14ac:dyDescent="0.2">
      <c r="A67" s="1990" t="s">
        <v>617</v>
      </c>
      <c r="B67" s="1991"/>
      <c r="C67" s="1991"/>
      <c r="D67" s="1991"/>
      <c r="E67" s="1991"/>
      <c r="F67" s="1991"/>
      <c r="G67" s="1991"/>
      <c r="H67" s="1991"/>
    </row>
    <row r="68" spans="1:8" x14ac:dyDescent="0.2">
      <c r="A68" s="1991"/>
      <c r="B68" s="1991"/>
      <c r="C68" s="1991"/>
      <c r="D68" s="1991"/>
      <c r="E68" s="1991"/>
      <c r="F68" s="1991"/>
      <c r="G68" s="1991"/>
      <c r="H68" s="1991"/>
    </row>
    <row r="70" spans="1:8" x14ac:dyDescent="0.2">
      <c r="A70" s="1078">
        <v>1</v>
      </c>
      <c r="B70" s="1891" t="s">
        <v>188</v>
      </c>
      <c r="C70" s="1891"/>
      <c r="D70" s="1891"/>
      <c r="E70" s="1891"/>
      <c r="F70" s="1891"/>
      <c r="G70" s="1891"/>
      <c r="H70" s="1891"/>
    </row>
    <row r="71" spans="1:8" x14ac:dyDescent="0.2">
      <c r="A71" s="1078"/>
      <c r="B71" s="1891"/>
      <c r="C71" s="1891"/>
      <c r="D71" s="1891"/>
      <c r="E71" s="1891"/>
      <c r="F71" s="1891"/>
      <c r="G71" s="1891"/>
      <c r="H71" s="1891"/>
    </row>
    <row r="72" spans="1:8" x14ac:dyDescent="0.2">
      <c r="A72" s="1078"/>
    </row>
    <row r="73" spans="1:8" ht="12.75" customHeight="1" x14ac:dyDescent="0.2">
      <c r="A73" s="1078">
        <v>2</v>
      </c>
      <c r="B73" s="1989" t="s">
        <v>231</v>
      </c>
      <c r="C73" s="1989"/>
      <c r="D73" s="1989"/>
      <c r="E73" s="1989"/>
      <c r="F73" s="1989"/>
      <c r="G73" s="1989"/>
      <c r="H73" s="1989"/>
    </row>
    <row r="74" spans="1:8" x14ac:dyDescent="0.2">
      <c r="A74" s="1078"/>
      <c r="B74" s="1989"/>
      <c r="C74" s="1989"/>
      <c r="D74" s="1989"/>
      <c r="E74" s="1989"/>
      <c r="F74" s="1989"/>
      <c r="G74" s="1989"/>
      <c r="H74" s="1989"/>
    </row>
    <row r="75" spans="1:8" x14ac:dyDescent="0.2">
      <c r="A75" s="1078"/>
      <c r="B75" s="1989"/>
      <c r="C75" s="1989"/>
      <c r="D75" s="1989"/>
      <c r="E75" s="1989"/>
      <c r="F75" s="1989"/>
      <c r="G75" s="1989"/>
      <c r="H75" s="1989"/>
    </row>
    <row r="76" spans="1:8" x14ac:dyDescent="0.2">
      <c r="A76" s="1078"/>
      <c r="B76" s="1080"/>
      <c r="C76" s="1080"/>
      <c r="D76" s="1080"/>
      <c r="E76" s="1080"/>
      <c r="F76" s="1080"/>
      <c r="G76" s="1080"/>
      <c r="H76" s="1080"/>
    </row>
    <row r="77" spans="1:8" x14ac:dyDescent="0.2">
      <c r="A77" s="1078">
        <v>3</v>
      </c>
      <c r="B77" s="1891" t="s">
        <v>83</v>
      </c>
      <c r="C77" s="1891"/>
      <c r="D77" s="1891"/>
      <c r="E77" s="1891"/>
      <c r="F77" s="1891"/>
      <c r="G77" s="1891"/>
      <c r="H77" s="1891"/>
    </row>
    <row r="78" spans="1:8" x14ac:dyDescent="0.2">
      <c r="A78" s="1078"/>
      <c r="B78" s="1891"/>
      <c r="C78" s="1891"/>
      <c r="D78" s="1891"/>
      <c r="E78" s="1891"/>
      <c r="F78" s="1891"/>
      <c r="G78" s="1891"/>
      <c r="H78" s="1891"/>
    </row>
    <row r="79" spans="1:8" x14ac:dyDescent="0.2">
      <c r="A79" s="1078"/>
      <c r="B79" s="1891"/>
      <c r="C79" s="1891"/>
      <c r="D79" s="1891"/>
      <c r="E79" s="1891"/>
      <c r="F79" s="1891"/>
      <c r="G79" s="1891"/>
      <c r="H79" s="1891"/>
    </row>
    <row r="80" spans="1:8" x14ac:dyDescent="0.2">
      <c r="A80" s="1078"/>
    </row>
    <row r="81" spans="1:8" x14ac:dyDescent="0.2">
      <c r="A81" s="1078">
        <v>4</v>
      </c>
      <c r="B81" s="1891" t="s">
        <v>196</v>
      </c>
      <c r="C81" s="1891"/>
      <c r="D81" s="1891"/>
      <c r="E81" s="1891"/>
      <c r="F81" s="1891"/>
      <c r="G81" s="1891"/>
      <c r="H81" s="1891"/>
    </row>
    <row r="82" spans="1:8" x14ac:dyDescent="0.2">
      <c r="A82" s="1078"/>
      <c r="B82" s="1891"/>
      <c r="C82" s="1891"/>
      <c r="D82" s="1891"/>
      <c r="E82" s="1891"/>
      <c r="F82" s="1891"/>
      <c r="G82" s="1891"/>
      <c r="H82" s="1891"/>
    </row>
    <row r="83" spans="1:8" x14ac:dyDescent="0.2">
      <c r="A83" s="1078"/>
      <c r="B83" s="1891"/>
      <c r="C83" s="1891"/>
      <c r="D83" s="1891"/>
      <c r="E83" s="1891"/>
      <c r="F83" s="1891"/>
      <c r="G83" s="1891"/>
      <c r="H83" s="1891"/>
    </row>
    <row r="84" spans="1:8" x14ac:dyDescent="0.2">
      <c r="A84" s="1078"/>
    </row>
    <row r="85" spans="1:8" x14ac:dyDescent="0.2">
      <c r="A85" s="1078">
        <v>5</v>
      </c>
      <c r="B85" s="1891" t="s">
        <v>84</v>
      </c>
      <c r="C85" s="1891"/>
      <c r="D85" s="1891"/>
      <c r="E85" s="1891"/>
      <c r="F85" s="1891"/>
      <c r="G85" s="1891"/>
      <c r="H85" s="1891"/>
    </row>
    <row r="86" spans="1:8" x14ac:dyDescent="0.2">
      <c r="A86" s="1078"/>
      <c r="B86" s="1891"/>
      <c r="C86" s="1891"/>
      <c r="D86" s="1891"/>
      <c r="E86" s="1891"/>
      <c r="F86" s="1891"/>
      <c r="G86" s="1891"/>
      <c r="H86" s="1891"/>
    </row>
    <row r="87" spans="1:8" x14ac:dyDescent="0.2">
      <c r="A87" s="1078"/>
      <c r="B87" s="1891"/>
      <c r="C87" s="1891"/>
      <c r="D87" s="1891"/>
      <c r="E87" s="1891"/>
      <c r="F87" s="1891"/>
      <c r="G87" s="1891"/>
      <c r="H87" s="1891"/>
    </row>
    <row r="88" spans="1:8" x14ac:dyDescent="0.2">
      <c r="A88" s="1078"/>
    </row>
    <row r="89" spans="1:8" x14ac:dyDescent="0.2">
      <c r="A89" s="1078">
        <v>6</v>
      </c>
      <c r="B89" s="1891" t="s">
        <v>85</v>
      </c>
      <c r="C89" s="1891"/>
      <c r="D89" s="1891"/>
      <c r="E89" s="1891"/>
      <c r="F89" s="1891"/>
      <c r="G89" s="1891"/>
      <c r="H89" s="1891"/>
    </row>
    <row r="90" spans="1:8" x14ac:dyDescent="0.2">
      <c r="A90" s="1078"/>
      <c r="B90" s="1891"/>
      <c r="C90" s="1891"/>
      <c r="D90" s="1891"/>
      <c r="E90" s="1891"/>
      <c r="F90" s="1891"/>
      <c r="G90" s="1891"/>
      <c r="H90" s="1891"/>
    </row>
    <row r="91" spans="1:8" ht="15" customHeight="1" x14ac:dyDescent="0.2"/>
    <row r="92" spans="1:8" ht="12.75" customHeight="1" x14ac:dyDescent="0.2">
      <c r="A92" s="1556" t="s">
        <v>1015</v>
      </c>
      <c r="B92" s="1557"/>
      <c r="C92" s="1557"/>
      <c r="D92" s="1557"/>
      <c r="E92" s="1557"/>
      <c r="F92" s="1557"/>
      <c r="G92" s="1557"/>
      <c r="H92" s="1557"/>
    </row>
    <row r="93" spans="1:8" x14ac:dyDescent="0.2">
      <c r="A93" s="1557"/>
      <c r="B93" s="1557"/>
      <c r="C93" s="1557"/>
      <c r="D93" s="1557"/>
      <c r="E93" s="1557"/>
      <c r="F93" s="1557"/>
      <c r="G93" s="1557"/>
      <c r="H93" s="1557"/>
    </row>
    <row r="94" spans="1:8" x14ac:dyDescent="0.2">
      <c r="A94" s="1557"/>
      <c r="B94" s="1557"/>
      <c r="C94" s="1557"/>
      <c r="D94" s="1557"/>
      <c r="E94" s="1557"/>
      <c r="F94" s="1557"/>
      <c r="G94" s="1557"/>
      <c r="H94" s="1557"/>
    </row>
    <row r="95" spans="1:8" x14ac:dyDescent="0.2">
      <c r="A95" s="1557"/>
      <c r="B95" s="1557"/>
      <c r="C95" s="1557"/>
      <c r="D95" s="1557"/>
      <c r="E95" s="1557"/>
      <c r="F95" s="1557"/>
      <c r="G95" s="1557"/>
      <c r="H95" s="1557"/>
    </row>
  </sheetData>
  <sheetProtection password="F8BD" sheet="1" objects="1" scenarios="1"/>
  <mergeCells count="19">
    <mergeCell ref="A9:H9"/>
    <mergeCell ref="A10:H10"/>
    <mergeCell ref="A30:H33"/>
    <mergeCell ref="A35:H36"/>
    <mergeCell ref="C55:H56"/>
    <mergeCell ref="C63:H65"/>
    <mergeCell ref="A67:H68"/>
    <mergeCell ref="B38:H39"/>
    <mergeCell ref="B41:H43"/>
    <mergeCell ref="B45:H48"/>
    <mergeCell ref="B50:H53"/>
    <mergeCell ref="C58:H61"/>
    <mergeCell ref="A92:H95"/>
    <mergeCell ref="B85:H87"/>
    <mergeCell ref="B89:H90"/>
    <mergeCell ref="B70:H71"/>
    <mergeCell ref="B77:H79"/>
    <mergeCell ref="B81:H83"/>
    <mergeCell ref="B73:H75"/>
  </mergeCells>
  <phoneticPr fontId="16" type="noConversion"/>
  <dataValidations count="1">
    <dataValidation allowBlank="1" showInputMessage="1" showErrorMessage="1" promptTitle="Date Format" prompt="E.g:  &quot;August 1, 2011&quot;" sqref="H7"/>
  </dataValidations>
  <pageMargins left="0.74803149606299213" right="0.74803149606299213" top="0.98425196850393704" bottom="0.98425196850393704" header="0.51181102362204722" footer="0.51181102362204722"/>
  <pageSetup scale="77" fitToHeight="0" orientation="portrait" r:id="rId1"/>
  <headerFooter alignWithMargins="0"/>
  <rowBreaks count="1" manualBreakCount="1">
    <brk id="65" max="7" man="1"/>
  </rowBreaks>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1">
    <tabColor rgb="FFFFC000"/>
    <pageSetUpPr fitToPage="1"/>
  </sheetPr>
  <dimension ref="A1:T40"/>
  <sheetViews>
    <sheetView showGridLines="0" zoomScaleNormal="100" workbookViewId="0">
      <selection activeCell="A9" sqref="A9:I9"/>
    </sheetView>
  </sheetViews>
  <sheetFormatPr defaultRowHeight="12.75" x14ac:dyDescent="0.2"/>
  <cols>
    <col min="1" max="2" width="9.140625" style="52"/>
    <col min="3" max="3" width="15.5703125" style="52" customWidth="1"/>
    <col min="4" max="6" width="14.7109375" style="52" customWidth="1"/>
    <col min="7" max="9" width="20.7109375" style="52" customWidth="1"/>
    <col min="10" max="16384" width="9.140625" style="52"/>
  </cols>
  <sheetData>
    <row r="1" spans="1:9" x14ac:dyDescent="0.2">
      <c r="H1" s="152" t="s">
        <v>301</v>
      </c>
      <c r="I1" s="1092" t="str">
        <f>EBNUMBER</f>
        <v>EB-2016-0066</v>
      </c>
    </row>
    <row r="2" spans="1:9" x14ac:dyDescent="0.2">
      <c r="H2" s="152" t="s">
        <v>302</v>
      </c>
      <c r="I2" s="51"/>
    </row>
    <row r="3" spans="1:9" x14ac:dyDescent="0.2">
      <c r="H3" s="152" t="s">
        <v>303</v>
      </c>
      <c r="I3" s="51"/>
    </row>
    <row r="4" spans="1:9" x14ac:dyDescent="0.2">
      <c r="H4" s="152" t="s">
        <v>304</v>
      </c>
      <c r="I4" s="51"/>
    </row>
    <row r="5" spans="1:9" x14ac:dyDescent="0.2">
      <c r="H5" s="152" t="s">
        <v>305</v>
      </c>
      <c r="I5" s="1093"/>
    </row>
    <row r="6" spans="1:9" x14ac:dyDescent="0.2">
      <c r="H6" s="152"/>
      <c r="I6" s="1092"/>
    </row>
    <row r="7" spans="1:9" x14ac:dyDescent="0.2">
      <c r="H7" s="152" t="s">
        <v>306</v>
      </c>
      <c r="I7" s="1093"/>
    </row>
    <row r="9" spans="1:9" ht="18" x14ac:dyDescent="0.25">
      <c r="A9" s="1591" t="s">
        <v>1439</v>
      </c>
      <c r="B9" s="1728"/>
      <c r="C9" s="1728"/>
      <c r="D9" s="1728"/>
      <c r="E9" s="1728"/>
      <c r="F9" s="1728"/>
      <c r="G9" s="1728"/>
      <c r="H9" s="1728"/>
      <c r="I9" s="1728"/>
    </row>
    <row r="10" spans="1:9" ht="18" x14ac:dyDescent="0.25">
      <c r="A10" s="1591" t="s">
        <v>523</v>
      </c>
      <c r="B10" s="1729"/>
      <c r="C10" s="1729"/>
      <c r="D10" s="1729"/>
      <c r="E10" s="1729"/>
      <c r="F10" s="1729"/>
      <c r="G10" s="1729"/>
      <c r="H10" s="1729"/>
      <c r="I10" s="1729"/>
    </row>
    <row r="11" spans="1:9" ht="18" x14ac:dyDescent="0.25">
      <c r="A11" s="1591" t="s">
        <v>524</v>
      </c>
      <c r="B11" s="1729"/>
      <c r="C11" s="1729"/>
      <c r="D11" s="1729"/>
      <c r="E11" s="1729"/>
      <c r="F11" s="1729"/>
      <c r="G11" s="1729"/>
      <c r="H11" s="1729"/>
      <c r="I11" s="1729"/>
    </row>
    <row r="14" spans="1:9" ht="13.5" thickBot="1" x14ac:dyDescent="0.25"/>
    <row r="15" spans="1:9" ht="12.75" customHeight="1" x14ac:dyDescent="0.2">
      <c r="A15" s="1712" t="s">
        <v>525</v>
      </c>
      <c r="B15" s="2044"/>
      <c r="C15" s="2045"/>
      <c r="D15" s="349">
        <f>TestYear</f>
        <v>2017</v>
      </c>
      <c r="E15" s="1017">
        <f>TestYear</f>
        <v>2017</v>
      </c>
      <c r="F15" s="1017" t="s">
        <v>73</v>
      </c>
      <c r="G15" s="2051" t="s">
        <v>526</v>
      </c>
      <c r="H15" s="2052"/>
      <c r="I15" s="2053"/>
    </row>
    <row r="16" spans="1:9" ht="14.25" x14ac:dyDescent="0.2">
      <c r="A16" s="1713"/>
      <c r="B16" s="2046"/>
      <c r="C16" s="2047"/>
      <c r="D16" s="350" t="s">
        <v>105</v>
      </c>
      <c r="E16" s="1249" t="s">
        <v>1186</v>
      </c>
      <c r="F16" s="1019"/>
      <c r="G16" s="2054" t="s">
        <v>1244</v>
      </c>
      <c r="H16" s="2055"/>
      <c r="I16" s="2056"/>
    </row>
    <row r="17" spans="1:9" ht="13.5" thickBot="1" x14ac:dyDescent="0.25">
      <c r="A17" s="2048"/>
      <c r="B17" s="2049"/>
      <c r="C17" s="2050"/>
      <c r="D17" s="1026"/>
      <c r="E17" s="1250"/>
      <c r="F17" s="1027"/>
      <c r="G17" s="1028"/>
      <c r="H17" s="1029"/>
      <c r="I17" s="1030"/>
    </row>
    <row r="18" spans="1:9" x14ac:dyDescent="0.2">
      <c r="A18" s="2032" t="s">
        <v>1032</v>
      </c>
      <c r="B18" s="2033"/>
      <c r="C18" s="2034"/>
      <c r="D18" s="1031"/>
      <c r="E18" s="1031"/>
      <c r="F18" s="1032">
        <f>+D18-E18</f>
        <v>0</v>
      </c>
      <c r="G18" s="2035"/>
      <c r="H18" s="2036"/>
      <c r="I18" s="2037"/>
    </row>
    <row r="19" spans="1:9" x14ac:dyDescent="0.2">
      <c r="A19" s="2038" t="s">
        <v>1113</v>
      </c>
      <c r="B19" s="2039"/>
      <c r="C19" s="2040"/>
      <c r="D19" s="339"/>
      <c r="E19" s="339"/>
      <c r="F19" s="1023">
        <f>+D19-E19</f>
        <v>0</v>
      </c>
      <c r="G19" s="1995"/>
      <c r="H19" s="1996"/>
      <c r="I19" s="1997"/>
    </row>
    <row r="20" spans="1:9" x14ac:dyDescent="0.2">
      <c r="A20" s="2041" t="s">
        <v>527</v>
      </c>
      <c r="B20" s="2042"/>
      <c r="C20" s="2043"/>
      <c r="D20" s="1033">
        <f>(D18+D19)/2</f>
        <v>0</v>
      </c>
      <c r="E20" s="1023">
        <f>(E18+E19)/2</f>
        <v>0</v>
      </c>
      <c r="F20" s="1023">
        <f>+D20-E20</f>
        <v>0</v>
      </c>
      <c r="G20" s="1995"/>
      <c r="H20" s="1996"/>
      <c r="I20" s="1997"/>
    </row>
    <row r="21" spans="1:9" x14ac:dyDescent="0.2">
      <c r="A21" s="2019" t="s">
        <v>528</v>
      </c>
      <c r="B21" s="2020"/>
      <c r="C21" s="2021"/>
      <c r="D21" s="339"/>
      <c r="E21" s="339"/>
      <c r="F21" s="1033">
        <f>+D21-E21</f>
        <v>0</v>
      </c>
      <c r="G21" s="2022"/>
      <c r="H21" s="1996"/>
      <c r="I21" s="1997"/>
    </row>
    <row r="22" spans="1:9" ht="13.5" thickBot="1" x14ac:dyDescent="0.25">
      <c r="A22" s="2023" t="s">
        <v>529</v>
      </c>
      <c r="B22" s="2024"/>
      <c r="C22" s="2025"/>
      <c r="D22" s="1034">
        <f>SUM(D20:D21)</f>
        <v>0</v>
      </c>
      <c r="E22" s="1034">
        <f>SUM(E20:E21)</f>
        <v>0</v>
      </c>
      <c r="F22" s="1033">
        <f>+D22-E22</f>
        <v>0</v>
      </c>
      <c r="G22" s="2026"/>
      <c r="H22" s="2027"/>
      <c r="I22" s="2028"/>
    </row>
    <row r="23" spans="1:9" ht="13.5" thickTop="1" x14ac:dyDescent="0.2">
      <c r="A23" s="2029"/>
      <c r="B23" s="2030"/>
      <c r="C23" s="2031"/>
      <c r="D23" s="2029"/>
      <c r="E23" s="2030"/>
      <c r="F23" s="2031">
        <f t="shared" ref="F23:F34" si="0">+D23-E23</f>
        <v>0</v>
      </c>
      <c r="G23" s="2029"/>
      <c r="H23" s="2030"/>
      <c r="I23" s="2031"/>
    </row>
    <row r="24" spans="1:9" x14ac:dyDescent="0.2">
      <c r="A24" s="2016" t="s">
        <v>530</v>
      </c>
      <c r="B24" s="2017"/>
      <c r="C24" s="2018"/>
      <c r="D24" s="339"/>
      <c r="E24" s="339"/>
      <c r="F24" s="1023">
        <f t="shared" si="0"/>
        <v>0</v>
      </c>
      <c r="G24" s="1995"/>
      <c r="H24" s="1996"/>
      <c r="I24" s="1997"/>
    </row>
    <row r="25" spans="1:9" x14ac:dyDescent="0.2">
      <c r="A25" s="2013"/>
      <c r="B25" s="2014"/>
      <c r="C25" s="2015"/>
      <c r="D25" s="339"/>
      <c r="E25" s="339"/>
      <c r="F25" s="1023">
        <f t="shared" si="0"/>
        <v>0</v>
      </c>
      <c r="G25" s="1995"/>
      <c r="H25" s="1996"/>
      <c r="I25" s="1997"/>
    </row>
    <row r="26" spans="1:9" x14ac:dyDescent="0.2">
      <c r="A26" s="1992" t="s">
        <v>119</v>
      </c>
      <c r="B26" s="1993"/>
      <c r="C26" s="1994"/>
      <c r="D26" s="339"/>
      <c r="E26" s="339"/>
      <c r="F26" s="1023">
        <f t="shared" si="0"/>
        <v>0</v>
      </c>
      <c r="G26" s="1995"/>
      <c r="H26" s="1996"/>
      <c r="I26" s="1997"/>
    </row>
    <row r="27" spans="1:9" ht="12.75" customHeight="1" x14ac:dyDescent="0.2">
      <c r="A27" s="1992" t="s">
        <v>531</v>
      </c>
      <c r="B27" s="1993"/>
      <c r="C27" s="1994"/>
      <c r="D27" s="339"/>
      <c r="E27" s="339"/>
      <c r="F27" s="1023">
        <f t="shared" si="0"/>
        <v>0</v>
      </c>
      <c r="G27" s="1995"/>
      <c r="H27" s="1996"/>
      <c r="I27" s="1997"/>
    </row>
    <row r="28" spans="1:9" x14ac:dyDescent="0.2">
      <c r="A28" s="2013" t="s">
        <v>532</v>
      </c>
      <c r="B28" s="2014"/>
      <c r="C28" s="2015"/>
      <c r="D28" s="339"/>
      <c r="E28" s="339"/>
      <c r="F28" s="1023">
        <f t="shared" si="0"/>
        <v>0</v>
      </c>
      <c r="G28" s="1995"/>
      <c r="H28" s="1996"/>
      <c r="I28" s="1997"/>
    </row>
    <row r="29" spans="1:9" x14ac:dyDescent="0.2">
      <c r="A29" s="2013"/>
      <c r="B29" s="2014"/>
      <c r="C29" s="2015"/>
      <c r="D29" s="339"/>
      <c r="E29" s="339"/>
      <c r="F29" s="1023">
        <f t="shared" si="0"/>
        <v>0</v>
      </c>
      <c r="G29" s="1995"/>
      <c r="H29" s="1996"/>
      <c r="I29" s="1997"/>
    </row>
    <row r="30" spans="1:9" x14ac:dyDescent="0.2">
      <c r="A30" s="1992" t="s">
        <v>533</v>
      </c>
      <c r="B30" s="1993"/>
      <c r="C30" s="1994"/>
      <c r="D30" s="339"/>
      <c r="E30" s="339"/>
      <c r="F30" s="1023">
        <f t="shared" si="0"/>
        <v>0</v>
      </c>
      <c r="G30" s="1995"/>
      <c r="H30" s="1996"/>
      <c r="I30" s="1997"/>
    </row>
    <row r="31" spans="1:9" x14ac:dyDescent="0.2">
      <c r="A31" s="1998"/>
      <c r="B31" s="1999"/>
      <c r="C31" s="2000"/>
      <c r="D31" s="339"/>
      <c r="E31" s="339"/>
      <c r="F31" s="1023">
        <f t="shared" si="0"/>
        <v>0</v>
      </c>
      <c r="G31" s="1995"/>
      <c r="H31" s="1996"/>
      <c r="I31" s="1997"/>
    </row>
    <row r="32" spans="1:9" x14ac:dyDescent="0.2">
      <c r="A32" s="1992"/>
      <c r="B32" s="1993"/>
      <c r="C32" s="1994"/>
      <c r="D32" s="339"/>
      <c r="E32" s="339"/>
      <c r="F32" s="1023">
        <f t="shared" si="0"/>
        <v>0</v>
      </c>
      <c r="G32" s="1995"/>
      <c r="H32" s="1996"/>
      <c r="I32" s="1997"/>
    </row>
    <row r="33" spans="1:20" x14ac:dyDescent="0.2">
      <c r="A33" s="1992"/>
      <c r="B33" s="1993"/>
      <c r="C33" s="1994"/>
      <c r="D33" s="339"/>
      <c r="E33" s="339"/>
      <c r="F33" s="1023">
        <f t="shared" si="0"/>
        <v>0</v>
      </c>
      <c r="G33" s="1995"/>
      <c r="H33" s="1996"/>
      <c r="I33" s="1997"/>
    </row>
    <row r="34" spans="1:20" ht="13.5" thickBot="1" x14ac:dyDescent="0.25">
      <c r="A34" s="2001" t="s">
        <v>182</v>
      </c>
      <c r="B34" s="2002"/>
      <c r="C34" s="2003"/>
      <c r="D34" s="341"/>
      <c r="E34" s="341"/>
      <c r="F34" s="1023">
        <f t="shared" si="0"/>
        <v>0</v>
      </c>
      <c r="G34" s="2004"/>
      <c r="H34" s="2005"/>
      <c r="I34" s="2006"/>
    </row>
    <row r="35" spans="1:20" ht="14.25" customHeight="1" thickTop="1" thickBot="1" x14ac:dyDescent="0.25">
      <c r="A35" s="2007" t="s">
        <v>534</v>
      </c>
      <c r="B35" s="2008"/>
      <c r="C35" s="2009"/>
      <c r="D35" s="343">
        <f>SUM(D24:D34)</f>
        <v>0</v>
      </c>
      <c r="E35" s="343">
        <f>SUM(E24:E34)</f>
        <v>0</v>
      </c>
      <c r="F35" s="343">
        <f>SUM(F24:F34)</f>
        <v>0</v>
      </c>
      <c r="G35" s="2010"/>
      <c r="H35" s="2011"/>
      <c r="I35" s="2012"/>
    </row>
    <row r="37" spans="1:20" ht="87" customHeight="1" x14ac:dyDescent="0.2">
      <c r="A37" s="1590" t="s">
        <v>1264</v>
      </c>
      <c r="B37" s="1590"/>
      <c r="C37" s="1590"/>
      <c r="D37" s="1590"/>
      <c r="E37" s="1590"/>
      <c r="F37" s="1590"/>
      <c r="G37" s="1590"/>
      <c r="H37" s="1590"/>
      <c r="I37" s="1590"/>
      <c r="J37" s="1045"/>
      <c r="K37" s="1045"/>
      <c r="L37" s="1045"/>
      <c r="M37" s="1045"/>
      <c r="N37" s="1045"/>
      <c r="O37" s="1045"/>
      <c r="P37" s="1045"/>
      <c r="Q37" s="1045"/>
      <c r="R37" s="1045"/>
      <c r="S37" s="1045"/>
      <c r="T37" s="1045"/>
    </row>
    <row r="38" spans="1:20" ht="12.75" customHeight="1" x14ac:dyDescent="0.2">
      <c r="A38" s="1248"/>
      <c r="B38" s="1248"/>
      <c r="C38" s="1248"/>
      <c r="D38" s="1248"/>
      <c r="E38" s="1248"/>
      <c r="F38" s="1248"/>
      <c r="G38" s="1248"/>
      <c r="H38" s="1248"/>
      <c r="I38" s="1248"/>
      <c r="J38" s="1045"/>
      <c r="K38" s="1045"/>
      <c r="L38" s="1045"/>
      <c r="M38" s="1045"/>
      <c r="N38" s="1045"/>
      <c r="O38" s="1045"/>
      <c r="P38" s="1045"/>
      <c r="Q38" s="1045"/>
      <c r="R38" s="1045"/>
      <c r="S38" s="1045"/>
      <c r="T38" s="1045"/>
    </row>
    <row r="39" spans="1:20" x14ac:dyDescent="0.2">
      <c r="A39" s="1248"/>
      <c r="B39" s="1248"/>
      <c r="C39" s="1248"/>
      <c r="D39" s="1248"/>
      <c r="E39" s="1248"/>
      <c r="F39" s="1248"/>
      <c r="G39" s="1248"/>
      <c r="H39" s="1248"/>
      <c r="I39" s="1248"/>
      <c r="J39" s="1045"/>
      <c r="K39" s="1045"/>
      <c r="L39" s="1045"/>
      <c r="M39" s="1045"/>
      <c r="N39" s="1045"/>
      <c r="O39" s="1045"/>
      <c r="P39" s="1045"/>
      <c r="Q39" s="1045"/>
      <c r="R39" s="1045"/>
      <c r="S39" s="1045"/>
      <c r="T39" s="1045"/>
    </row>
    <row r="40" spans="1:20" ht="12.75" customHeight="1" x14ac:dyDescent="0.2">
      <c r="A40" s="1248"/>
      <c r="B40" s="1248"/>
      <c r="C40" s="1248"/>
      <c r="D40" s="1248"/>
      <c r="E40" s="1248"/>
      <c r="F40" s="1248"/>
      <c r="G40" s="1248"/>
      <c r="H40" s="1248"/>
      <c r="I40" s="1248"/>
    </row>
  </sheetData>
  <mergeCells count="44">
    <mergeCell ref="A9:I9"/>
    <mergeCell ref="A10:I10"/>
    <mergeCell ref="A11:I11"/>
    <mergeCell ref="A15:C17"/>
    <mergeCell ref="G15:I15"/>
    <mergeCell ref="G16:I16"/>
    <mergeCell ref="A18:C18"/>
    <mergeCell ref="G18:I18"/>
    <mergeCell ref="A19:C19"/>
    <mergeCell ref="G19:I19"/>
    <mergeCell ref="A20:C20"/>
    <mergeCell ref="G20:I20"/>
    <mergeCell ref="A21:C21"/>
    <mergeCell ref="G21:I21"/>
    <mergeCell ref="A22:C22"/>
    <mergeCell ref="G22:I22"/>
    <mergeCell ref="A23:C23"/>
    <mergeCell ref="D23:F23"/>
    <mergeCell ref="G23:I23"/>
    <mergeCell ref="A24:C24"/>
    <mergeCell ref="G24:I24"/>
    <mergeCell ref="A25:C25"/>
    <mergeCell ref="G25:I25"/>
    <mergeCell ref="A26:C26"/>
    <mergeCell ref="G26:I26"/>
    <mergeCell ref="A27:C27"/>
    <mergeCell ref="G27:I27"/>
    <mergeCell ref="A28:C28"/>
    <mergeCell ref="G28:I28"/>
    <mergeCell ref="A29:C29"/>
    <mergeCell ref="G29:I29"/>
    <mergeCell ref="A37:I37"/>
    <mergeCell ref="A30:C30"/>
    <mergeCell ref="G30:I30"/>
    <mergeCell ref="A31:C31"/>
    <mergeCell ref="G31:I31"/>
    <mergeCell ref="A32:C32"/>
    <mergeCell ref="G32:I32"/>
    <mergeCell ref="A33:C33"/>
    <mergeCell ref="G33:I33"/>
    <mergeCell ref="A34:C34"/>
    <mergeCell ref="G34:I34"/>
    <mergeCell ref="A35:C35"/>
    <mergeCell ref="G35:I35"/>
  </mergeCells>
  <pageMargins left="0.7" right="0.7" top="0.75" bottom="0.75" header="0.3" footer="0.3"/>
  <pageSetup scale="89" orientation="landscape" verticalDpi="0" r:id="rId1"/>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4"/>
  <dimension ref="A1:J72"/>
  <sheetViews>
    <sheetView zoomScale="85" zoomScaleNormal="85" workbookViewId="0">
      <pane ySplit="1" topLeftCell="A35" activePane="bottomLeft" state="frozenSplit"/>
      <selection pane="bottomLeft" activeCell="M37" sqref="M37"/>
    </sheetView>
  </sheetViews>
  <sheetFormatPr defaultRowHeight="12.75" x14ac:dyDescent="0.2"/>
  <cols>
    <col min="1" max="1" width="33.5703125" style="43" bestFit="1" customWidth="1"/>
    <col min="2" max="9" width="11.85546875" style="43" bestFit="1" customWidth="1"/>
    <col min="10" max="15" width="9.140625" style="43"/>
    <col min="16" max="16" width="33.5703125" style="43" bestFit="1" customWidth="1"/>
    <col min="17" max="16384" width="9.140625" style="43"/>
  </cols>
  <sheetData>
    <row r="1" spans="1:9" x14ac:dyDescent="0.2">
      <c r="B1" s="1035" t="s">
        <v>104</v>
      </c>
      <c r="C1" s="1035" t="s">
        <v>104</v>
      </c>
      <c r="D1" s="1035" t="s">
        <v>104</v>
      </c>
      <c r="E1" s="1035" t="s">
        <v>105</v>
      </c>
      <c r="F1" s="1035" t="s">
        <v>594</v>
      </c>
      <c r="G1" s="1035" t="s">
        <v>746</v>
      </c>
      <c r="H1" s="1035" t="s">
        <v>746</v>
      </c>
      <c r="I1" s="1035" t="s">
        <v>746</v>
      </c>
    </row>
    <row r="2" spans="1:9" x14ac:dyDescent="0.2">
      <c r="B2" s="1035" t="s">
        <v>266</v>
      </c>
      <c r="C2" s="1035">
        <v>2012</v>
      </c>
      <c r="D2" s="1035">
        <v>2013</v>
      </c>
      <c r="E2" s="1035"/>
      <c r="F2" s="1035"/>
      <c r="G2" s="1035" t="s">
        <v>266</v>
      </c>
      <c r="H2" s="1035">
        <v>2012</v>
      </c>
      <c r="I2" s="1035">
        <v>2013</v>
      </c>
    </row>
    <row r="3" spans="1:9" x14ac:dyDescent="0.2">
      <c r="A3" s="680" t="s">
        <v>537</v>
      </c>
      <c r="B3" s="941" t="s">
        <v>591</v>
      </c>
      <c r="C3" s="941" t="s">
        <v>591</v>
      </c>
      <c r="D3" s="941" t="s">
        <v>591</v>
      </c>
      <c r="E3" s="941" t="s">
        <v>591</v>
      </c>
      <c r="F3" s="941" t="s">
        <v>591</v>
      </c>
      <c r="G3" s="941" t="s">
        <v>591</v>
      </c>
      <c r="H3" s="941" t="s">
        <v>591</v>
      </c>
      <c r="I3" s="941" t="s">
        <v>591</v>
      </c>
    </row>
    <row r="4" spans="1:9" x14ac:dyDescent="0.2">
      <c r="A4" s="680" t="s">
        <v>727</v>
      </c>
      <c r="B4" s="941" t="s">
        <v>591</v>
      </c>
      <c r="C4" s="941" t="s">
        <v>591</v>
      </c>
      <c r="D4" s="941" t="s">
        <v>591</v>
      </c>
      <c r="E4" s="941" t="s">
        <v>591</v>
      </c>
      <c r="F4" s="941" t="s">
        <v>591</v>
      </c>
      <c r="G4" s="941" t="s">
        <v>591</v>
      </c>
      <c r="H4" s="941" t="s">
        <v>591</v>
      </c>
      <c r="I4" s="941" t="s">
        <v>591</v>
      </c>
    </row>
    <row r="5" spans="1:9" x14ac:dyDescent="0.2">
      <c r="A5" s="680" t="s">
        <v>619</v>
      </c>
      <c r="B5" s="941" t="s">
        <v>591</v>
      </c>
      <c r="C5" s="941" t="s">
        <v>591</v>
      </c>
      <c r="D5" s="941" t="s">
        <v>591</v>
      </c>
      <c r="E5" s="941" t="s">
        <v>591</v>
      </c>
      <c r="F5" s="941" t="s">
        <v>591</v>
      </c>
      <c r="G5" s="941" t="s">
        <v>591</v>
      </c>
      <c r="H5" s="941" t="s">
        <v>591</v>
      </c>
      <c r="I5" s="941" t="s">
        <v>591</v>
      </c>
    </row>
    <row r="6" spans="1:9" x14ac:dyDescent="0.2">
      <c r="A6" s="680" t="s">
        <v>620</v>
      </c>
      <c r="B6" s="941" t="s">
        <v>591</v>
      </c>
      <c r="C6" s="941" t="s">
        <v>591</v>
      </c>
      <c r="D6" s="941" t="s">
        <v>591</v>
      </c>
      <c r="E6" s="941" t="s">
        <v>591</v>
      </c>
      <c r="F6" s="941" t="s">
        <v>591</v>
      </c>
      <c r="G6" s="941" t="s">
        <v>591</v>
      </c>
      <c r="H6" s="941" t="s">
        <v>591</v>
      </c>
      <c r="I6" s="941" t="s">
        <v>591</v>
      </c>
    </row>
    <row r="7" spans="1:9" x14ac:dyDescent="0.2">
      <c r="A7" s="680" t="s">
        <v>728</v>
      </c>
      <c r="B7" s="941" t="s">
        <v>591</v>
      </c>
      <c r="C7" s="941" t="s">
        <v>591</v>
      </c>
      <c r="D7" s="941" t="s">
        <v>591</v>
      </c>
      <c r="E7" s="941" t="s">
        <v>591</v>
      </c>
      <c r="F7" s="941" t="s">
        <v>591</v>
      </c>
      <c r="G7" s="941" t="s">
        <v>591</v>
      </c>
      <c r="H7" s="941" t="s">
        <v>591</v>
      </c>
      <c r="I7" s="941" t="s">
        <v>591</v>
      </c>
    </row>
    <row r="8" spans="1:9" x14ac:dyDescent="0.2">
      <c r="A8" s="680" t="s">
        <v>729</v>
      </c>
      <c r="B8" s="941" t="s">
        <v>591</v>
      </c>
      <c r="C8" s="941" t="s">
        <v>591</v>
      </c>
      <c r="D8" s="941" t="s">
        <v>591</v>
      </c>
      <c r="E8" s="941" t="s">
        <v>591</v>
      </c>
      <c r="F8" s="941" t="s">
        <v>591</v>
      </c>
      <c r="G8" s="941" t="s">
        <v>591</v>
      </c>
      <c r="H8" s="941" t="s">
        <v>591</v>
      </c>
      <c r="I8" s="941" t="s">
        <v>591</v>
      </c>
    </row>
    <row r="9" spans="1:9" x14ac:dyDescent="0.2">
      <c r="A9" s="680" t="s">
        <v>742</v>
      </c>
      <c r="B9" s="941" t="s">
        <v>591</v>
      </c>
      <c r="C9" s="941" t="s">
        <v>591</v>
      </c>
      <c r="D9" s="941" t="s">
        <v>591</v>
      </c>
      <c r="E9" s="941" t="s">
        <v>593</v>
      </c>
      <c r="F9" s="941" t="s">
        <v>591</v>
      </c>
      <c r="G9" s="941" t="s">
        <v>591</v>
      </c>
      <c r="H9" s="941" t="s">
        <v>591</v>
      </c>
      <c r="I9" s="941" t="s">
        <v>591</v>
      </c>
    </row>
    <row r="10" spans="1:9" x14ac:dyDescent="0.2">
      <c r="A10" s="680" t="s">
        <v>743</v>
      </c>
      <c r="B10" s="941" t="s">
        <v>593</v>
      </c>
      <c r="C10" s="941" t="s">
        <v>593</v>
      </c>
      <c r="D10" s="941" t="s">
        <v>593</v>
      </c>
      <c r="E10" s="941" t="s">
        <v>591</v>
      </c>
      <c r="F10" s="941" t="s">
        <v>593</v>
      </c>
      <c r="G10" s="941" t="s">
        <v>593</v>
      </c>
      <c r="H10" s="941" t="s">
        <v>593</v>
      </c>
      <c r="I10" s="941" t="s">
        <v>593</v>
      </c>
    </row>
    <row r="11" spans="1:9" x14ac:dyDescent="0.2">
      <c r="A11" s="680" t="s">
        <v>538</v>
      </c>
      <c r="B11" s="941" t="s">
        <v>591</v>
      </c>
      <c r="C11" s="941" t="s">
        <v>591</v>
      </c>
      <c r="D11" s="941" t="s">
        <v>591</v>
      </c>
      <c r="E11" s="941" t="s">
        <v>591</v>
      </c>
      <c r="F11" s="941" t="s">
        <v>591</v>
      </c>
      <c r="G11" s="941" t="s">
        <v>591</v>
      </c>
      <c r="H11" s="941" t="s">
        <v>591</v>
      </c>
      <c r="I11" s="941" t="s">
        <v>591</v>
      </c>
    </row>
    <row r="12" spans="1:9" x14ac:dyDescent="0.2">
      <c r="A12" s="680" t="s">
        <v>539</v>
      </c>
      <c r="B12" s="941" t="s">
        <v>593</v>
      </c>
      <c r="C12" s="941" t="s">
        <v>593</v>
      </c>
      <c r="D12" s="941" t="s">
        <v>593</v>
      </c>
      <c r="E12" s="941" t="s">
        <v>591</v>
      </c>
      <c r="F12" s="941" t="s">
        <v>593</v>
      </c>
      <c r="G12" s="941" t="s">
        <v>593</v>
      </c>
      <c r="H12" s="941" t="s">
        <v>593</v>
      </c>
      <c r="I12" s="941" t="s">
        <v>593</v>
      </c>
    </row>
    <row r="13" spans="1:9" x14ac:dyDescent="0.2">
      <c r="A13" s="680" t="s">
        <v>540</v>
      </c>
      <c r="B13" s="941" t="s">
        <v>593</v>
      </c>
      <c r="C13" s="941" t="s">
        <v>593</v>
      </c>
      <c r="D13" s="941" t="s">
        <v>593</v>
      </c>
      <c r="E13" s="941" t="s">
        <v>591</v>
      </c>
      <c r="F13" s="941" t="s">
        <v>593</v>
      </c>
      <c r="G13" s="941" t="s">
        <v>593</v>
      </c>
      <c r="H13" s="941" t="s">
        <v>593</v>
      </c>
      <c r="I13" s="941" t="s">
        <v>593</v>
      </c>
    </row>
    <row r="14" spans="1:9" x14ac:dyDescent="0.2">
      <c r="A14" s="680" t="s">
        <v>541</v>
      </c>
      <c r="B14" s="941" t="s">
        <v>593</v>
      </c>
      <c r="C14" s="941" t="s">
        <v>593</v>
      </c>
      <c r="D14" s="941" t="s">
        <v>593</v>
      </c>
      <c r="E14" s="941" t="s">
        <v>591</v>
      </c>
      <c r="F14" s="941" t="s">
        <v>593</v>
      </c>
      <c r="G14" s="941" t="s">
        <v>593</v>
      </c>
      <c r="H14" s="941" t="s">
        <v>593</v>
      </c>
      <c r="I14" s="941" t="s">
        <v>593</v>
      </c>
    </row>
    <row r="15" spans="1:9" x14ac:dyDescent="0.2">
      <c r="A15" s="680" t="s">
        <v>542</v>
      </c>
      <c r="B15" s="941" t="s">
        <v>593</v>
      </c>
      <c r="C15" s="941" t="s">
        <v>593</v>
      </c>
      <c r="D15" s="941" t="s">
        <v>593</v>
      </c>
      <c r="E15" s="941" t="s">
        <v>591</v>
      </c>
      <c r="F15" s="941" t="s">
        <v>593</v>
      </c>
      <c r="G15" s="941" t="s">
        <v>593</v>
      </c>
      <c r="H15" s="941" t="s">
        <v>593</v>
      </c>
      <c r="I15" s="941" t="s">
        <v>593</v>
      </c>
    </row>
    <row r="16" spans="1:9" x14ac:dyDescent="0.2">
      <c r="A16" s="680" t="s">
        <v>543</v>
      </c>
      <c r="B16" s="941" t="s">
        <v>593</v>
      </c>
      <c r="C16" s="941" t="s">
        <v>593</v>
      </c>
      <c r="D16" s="941" t="s">
        <v>593</v>
      </c>
      <c r="E16" s="941" t="s">
        <v>591</v>
      </c>
      <c r="F16" s="941" t="s">
        <v>593</v>
      </c>
      <c r="G16" s="941" t="s">
        <v>593</v>
      </c>
      <c r="H16" s="941" t="s">
        <v>593</v>
      </c>
      <c r="I16" s="941" t="s">
        <v>593</v>
      </c>
    </row>
    <row r="17" spans="1:9" x14ac:dyDescent="0.2">
      <c r="A17" s="680" t="s">
        <v>544</v>
      </c>
      <c r="B17" s="941" t="s">
        <v>593</v>
      </c>
      <c r="C17" s="941" t="s">
        <v>593</v>
      </c>
      <c r="D17" s="941" t="s">
        <v>593</v>
      </c>
      <c r="E17" s="941" t="s">
        <v>591</v>
      </c>
      <c r="F17" s="941" t="s">
        <v>593</v>
      </c>
      <c r="G17" s="941" t="s">
        <v>593</v>
      </c>
      <c r="H17" s="941" t="s">
        <v>593</v>
      </c>
      <c r="I17" s="941" t="s">
        <v>593</v>
      </c>
    </row>
    <row r="18" spans="1:9" x14ac:dyDescent="0.2">
      <c r="A18" s="680" t="s">
        <v>545</v>
      </c>
      <c r="B18" s="941" t="s">
        <v>593</v>
      </c>
      <c r="C18" s="941" t="s">
        <v>593</v>
      </c>
      <c r="D18" s="941" t="s">
        <v>593</v>
      </c>
      <c r="E18" s="941" t="s">
        <v>591</v>
      </c>
      <c r="F18" s="941" t="s">
        <v>593</v>
      </c>
      <c r="G18" s="941" t="s">
        <v>593</v>
      </c>
      <c r="H18" s="941" t="s">
        <v>593</v>
      </c>
      <c r="I18" s="941" t="s">
        <v>593</v>
      </c>
    </row>
    <row r="19" spans="1:9" x14ac:dyDescent="0.2">
      <c r="A19" s="680" t="s">
        <v>546</v>
      </c>
      <c r="B19" s="941" t="s">
        <v>593</v>
      </c>
      <c r="C19" s="941" t="s">
        <v>593</v>
      </c>
      <c r="D19" s="941" t="s">
        <v>593</v>
      </c>
      <c r="E19" s="941" t="s">
        <v>591</v>
      </c>
      <c r="F19" s="941" t="s">
        <v>593</v>
      </c>
      <c r="G19" s="941" t="s">
        <v>593</v>
      </c>
      <c r="H19" s="941" t="s">
        <v>593</v>
      </c>
      <c r="I19" s="941" t="s">
        <v>593</v>
      </c>
    </row>
    <row r="20" spans="1:9" x14ac:dyDescent="0.2">
      <c r="A20" s="680" t="s">
        <v>547</v>
      </c>
      <c r="B20" s="941" t="s">
        <v>593</v>
      </c>
      <c r="C20" s="941" t="s">
        <v>593</v>
      </c>
      <c r="D20" s="941" t="s">
        <v>593</v>
      </c>
      <c r="E20" s="941" t="s">
        <v>591</v>
      </c>
      <c r="F20" s="941" t="s">
        <v>593</v>
      </c>
      <c r="G20" s="941" t="s">
        <v>593</v>
      </c>
      <c r="H20" s="941" t="s">
        <v>593</v>
      </c>
      <c r="I20" s="941" t="s">
        <v>593</v>
      </c>
    </row>
    <row r="21" spans="1:9" x14ac:dyDescent="0.2">
      <c r="A21" s="680" t="s">
        <v>548</v>
      </c>
      <c r="B21" s="941" t="s">
        <v>593</v>
      </c>
      <c r="C21" s="941" t="s">
        <v>593</v>
      </c>
      <c r="D21" s="941" t="s">
        <v>593</v>
      </c>
      <c r="E21" s="941" t="s">
        <v>591</v>
      </c>
      <c r="F21" s="941" t="s">
        <v>593</v>
      </c>
      <c r="G21" s="941" t="s">
        <v>593</v>
      </c>
      <c r="H21" s="941" t="s">
        <v>593</v>
      </c>
      <c r="I21" s="941" t="s">
        <v>593</v>
      </c>
    </row>
    <row r="22" spans="1:9" x14ac:dyDescent="0.2">
      <c r="A22" s="680" t="s">
        <v>549</v>
      </c>
      <c r="B22" s="941" t="s">
        <v>593</v>
      </c>
      <c r="C22" s="941" t="s">
        <v>593</v>
      </c>
      <c r="D22" s="941" t="s">
        <v>593</v>
      </c>
      <c r="E22" s="941" t="s">
        <v>591</v>
      </c>
      <c r="F22" s="941" t="s">
        <v>593</v>
      </c>
      <c r="G22" s="941" t="s">
        <v>593</v>
      </c>
      <c r="H22" s="941" t="s">
        <v>593</v>
      </c>
      <c r="I22" s="941" t="s">
        <v>593</v>
      </c>
    </row>
    <row r="23" spans="1:9" x14ac:dyDescent="0.2">
      <c r="A23" s="680" t="s">
        <v>550</v>
      </c>
      <c r="B23" s="941" t="s">
        <v>593</v>
      </c>
      <c r="C23" s="941" t="s">
        <v>593</v>
      </c>
      <c r="D23" s="941" t="s">
        <v>593</v>
      </c>
      <c r="E23" s="941" t="s">
        <v>591</v>
      </c>
      <c r="F23" s="941" t="s">
        <v>593</v>
      </c>
      <c r="G23" s="941" t="s">
        <v>593</v>
      </c>
      <c r="H23" s="941" t="s">
        <v>593</v>
      </c>
      <c r="I23" s="941" t="s">
        <v>593</v>
      </c>
    </row>
    <row r="24" spans="1:9" x14ac:dyDescent="0.2">
      <c r="A24" s="680" t="s">
        <v>551</v>
      </c>
      <c r="B24" s="941" t="s">
        <v>593</v>
      </c>
      <c r="C24" s="941" t="s">
        <v>593</v>
      </c>
      <c r="D24" s="941" t="s">
        <v>593</v>
      </c>
      <c r="E24" s="941" t="s">
        <v>591</v>
      </c>
      <c r="F24" s="941" t="s">
        <v>593</v>
      </c>
      <c r="G24" s="941" t="s">
        <v>593</v>
      </c>
      <c r="H24" s="941" t="s">
        <v>593</v>
      </c>
      <c r="I24" s="941" t="s">
        <v>593</v>
      </c>
    </row>
    <row r="25" spans="1:9" x14ac:dyDescent="0.2">
      <c r="A25" s="680" t="s">
        <v>552</v>
      </c>
      <c r="B25" s="941" t="s">
        <v>593</v>
      </c>
      <c r="C25" s="941" t="s">
        <v>593</v>
      </c>
      <c r="D25" s="941" t="s">
        <v>593</v>
      </c>
      <c r="E25" s="941" t="s">
        <v>591</v>
      </c>
      <c r="F25" s="941" t="s">
        <v>593</v>
      </c>
      <c r="G25" s="941" t="s">
        <v>593</v>
      </c>
      <c r="H25" s="941" t="s">
        <v>593</v>
      </c>
      <c r="I25" s="941" t="s">
        <v>593</v>
      </c>
    </row>
    <row r="26" spans="1:9" x14ac:dyDescent="0.2">
      <c r="A26" s="680" t="s">
        <v>553</v>
      </c>
      <c r="B26" s="941" t="s">
        <v>591</v>
      </c>
      <c r="C26" s="941" t="s">
        <v>591</v>
      </c>
      <c r="D26" s="941" t="s">
        <v>591</v>
      </c>
      <c r="E26" s="941" t="s">
        <v>593</v>
      </c>
      <c r="F26" s="941" t="s">
        <v>593</v>
      </c>
      <c r="G26" s="941" t="s">
        <v>591</v>
      </c>
      <c r="H26" s="941" t="s">
        <v>591</v>
      </c>
      <c r="I26" s="941" t="s">
        <v>591</v>
      </c>
    </row>
    <row r="27" spans="1:9" x14ac:dyDescent="0.2">
      <c r="A27" s="680" t="s">
        <v>554</v>
      </c>
      <c r="B27" s="941" t="s">
        <v>591</v>
      </c>
      <c r="C27" s="941" t="s">
        <v>591</v>
      </c>
      <c r="D27" s="941" t="s">
        <v>593</v>
      </c>
      <c r="E27" s="941" t="s">
        <v>593</v>
      </c>
      <c r="F27" s="941" t="s">
        <v>593</v>
      </c>
      <c r="G27" s="941" t="s">
        <v>591</v>
      </c>
      <c r="H27" s="941" t="s">
        <v>591</v>
      </c>
      <c r="I27" s="941" t="s">
        <v>593</v>
      </c>
    </row>
    <row r="28" spans="1:9" x14ac:dyDescent="0.2">
      <c r="A28" s="680" t="s">
        <v>555</v>
      </c>
      <c r="B28" s="941" t="s">
        <v>591</v>
      </c>
      <c r="C28" s="941" t="s">
        <v>591</v>
      </c>
      <c r="D28" s="941" t="s">
        <v>593</v>
      </c>
      <c r="E28" s="941" t="s">
        <v>593</v>
      </c>
      <c r="F28" s="941" t="s">
        <v>593</v>
      </c>
      <c r="G28" s="941" t="s">
        <v>591</v>
      </c>
      <c r="H28" s="941" t="s">
        <v>591</v>
      </c>
      <c r="I28" s="941" t="s">
        <v>593</v>
      </c>
    </row>
    <row r="29" spans="1:9" x14ac:dyDescent="0.2">
      <c r="A29" s="680" t="s">
        <v>556</v>
      </c>
      <c r="B29" s="941" t="s">
        <v>591</v>
      </c>
      <c r="C29" s="941" t="s">
        <v>591</v>
      </c>
      <c r="D29" s="941" t="s">
        <v>593</v>
      </c>
      <c r="E29" s="941" t="s">
        <v>593</v>
      </c>
      <c r="F29" s="941" t="s">
        <v>593</v>
      </c>
      <c r="G29" s="941" t="s">
        <v>591</v>
      </c>
      <c r="H29" s="941" t="s">
        <v>591</v>
      </c>
      <c r="I29" s="941" t="s">
        <v>593</v>
      </c>
    </row>
    <row r="30" spans="1:9" x14ac:dyDescent="0.2">
      <c r="A30" s="680" t="s">
        <v>557</v>
      </c>
      <c r="B30" s="941" t="s">
        <v>591</v>
      </c>
      <c r="C30" s="941" t="s">
        <v>591</v>
      </c>
      <c r="D30" s="941" t="s">
        <v>593</v>
      </c>
      <c r="E30" s="941" t="s">
        <v>593</v>
      </c>
      <c r="F30" s="941" t="s">
        <v>593</v>
      </c>
      <c r="G30" s="941" t="s">
        <v>591</v>
      </c>
      <c r="H30" s="941" t="s">
        <v>591</v>
      </c>
      <c r="I30" s="941" t="s">
        <v>593</v>
      </c>
    </row>
    <row r="31" spans="1:9" x14ac:dyDescent="0.2">
      <c r="A31" s="680" t="s">
        <v>558</v>
      </c>
      <c r="B31" s="941" t="s">
        <v>591</v>
      </c>
      <c r="C31" s="941" t="s">
        <v>593</v>
      </c>
      <c r="D31" s="941" t="s">
        <v>591</v>
      </c>
      <c r="E31" s="941" t="s">
        <v>593</v>
      </c>
      <c r="F31" s="941" t="s">
        <v>593</v>
      </c>
      <c r="G31" s="941" t="s">
        <v>591</v>
      </c>
      <c r="H31" s="941" t="s">
        <v>593</v>
      </c>
      <c r="I31" s="941" t="s">
        <v>591</v>
      </c>
    </row>
    <row r="32" spans="1:9" x14ac:dyDescent="0.2">
      <c r="A32" s="680" t="s">
        <v>559</v>
      </c>
      <c r="B32" s="941" t="s">
        <v>591</v>
      </c>
      <c r="C32" s="941" t="s">
        <v>593</v>
      </c>
      <c r="D32" s="941" t="s">
        <v>591</v>
      </c>
      <c r="E32" s="941" t="s">
        <v>593</v>
      </c>
      <c r="F32" s="941" t="s">
        <v>593</v>
      </c>
      <c r="G32" s="941" t="s">
        <v>591</v>
      </c>
      <c r="H32" s="941" t="s">
        <v>593</v>
      </c>
      <c r="I32" s="941" t="s">
        <v>591</v>
      </c>
    </row>
    <row r="33" spans="1:10" x14ac:dyDescent="0.2">
      <c r="A33" s="680" t="s">
        <v>560</v>
      </c>
      <c r="B33" s="941" t="s">
        <v>591</v>
      </c>
      <c r="C33" s="941" t="s">
        <v>593</v>
      </c>
      <c r="D33" s="941" t="s">
        <v>591</v>
      </c>
      <c r="E33" s="941" t="s">
        <v>593</v>
      </c>
      <c r="F33" s="941" t="s">
        <v>593</v>
      </c>
      <c r="G33" s="941" t="s">
        <v>591</v>
      </c>
      <c r="H33" s="941" t="s">
        <v>593</v>
      </c>
      <c r="I33" s="941" t="s">
        <v>591</v>
      </c>
    </row>
    <row r="34" spans="1:10" x14ac:dyDescent="0.2">
      <c r="A34" s="680" t="s">
        <v>561</v>
      </c>
      <c r="B34" s="941" t="s">
        <v>591</v>
      </c>
      <c r="C34" s="941" t="s">
        <v>593</v>
      </c>
      <c r="D34" s="941" t="s">
        <v>591</v>
      </c>
      <c r="E34" s="941" t="s">
        <v>593</v>
      </c>
      <c r="F34" s="941" t="s">
        <v>593</v>
      </c>
      <c r="G34" s="941" t="s">
        <v>591</v>
      </c>
      <c r="H34" s="941" t="s">
        <v>593</v>
      </c>
      <c r="I34" s="941" t="s">
        <v>591</v>
      </c>
    </row>
    <row r="35" spans="1:10" x14ac:dyDescent="0.2">
      <c r="A35" s="680" t="s">
        <v>595</v>
      </c>
      <c r="B35" s="941" t="s">
        <v>593</v>
      </c>
      <c r="C35" s="941" t="s">
        <v>593</v>
      </c>
      <c r="D35" s="941" t="s">
        <v>593</v>
      </c>
      <c r="E35" s="941" t="s">
        <v>593</v>
      </c>
      <c r="F35" s="941" t="s">
        <v>591</v>
      </c>
      <c r="G35" s="941" t="s">
        <v>593</v>
      </c>
      <c r="H35" s="941" t="s">
        <v>593</v>
      </c>
      <c r="I35" s="941" t="s">
        <v>593</v>
      </c>
    </row>
    <row r="36" spans="1:10" x14ac:dyDescent="0.2">
      <c r="A36" s="680" t="s">
        <v>562</v>
      </c>
      <c r="B36" s="941" t="s">
        <v>593</v>
      </c>
      <c r="C36" s="941" t="s">
        <v>593</v>
      </c>
      <c r="D36" s="941" t="s">
        <v>593</v>
      </c>
      <c r="E36" s="941" t="s">
        <v>591</v>
      </c>
      <c r="F36" s="941" t="s">
        <v>593</v>
      </c>
      <c r="G36" s="941" t="s">
        <v>593</v>
      </c>
      <c r="H36" s="941" t="s">
        <v>593</v>
      </c>
      <c r="I36" s="941" t="s">
        <v>593</v>
      </c>
    </row>
    <row r="37" spans="1:10" x14ac:dyDescent="0.2">
      <c r="A37" s="680" t="s">
        <v>563</v>
      </c>
      <c r="B37" s="941" t="s">
        <v>591</v>
      </c>
      <c r="C37" s="941" t="s">
        <v>591</v>
      </c>
      <c r="D37" s="941" t="s">
        <v>591</v>
      </c>
      <c r="E37" s="941" t="s">
        <v>593</v>
      </c>
      <c r="F37" s="941" t="s">
        <v>593</v>
      </c>
      <c r="G37" s="941" t="s">
        <v>591</v>
      </c>
      <c r="H37" s="941" t="s">
        <v>591</v>
      </c>
      <c r="I37" s="941" t="s">
        <v>591</v>
      </c>
    </row>
    <row r="38" spans="1:10" x14ac:dyDescent="0.2">
      <c r="A38" s="680" t="s">
        <v>564</v>
      </c>
      <c r="B38" s="941" t="s">
        <v>593</v>
      </c>
      <c r="C38" s="941" t="s">
        <v>593</v>
      </c>
      <c r="D38" s="941" t="s">
        <v>593</v>
      </c>
      <c r="E38" s="941" t="s">
        <v>591</v>
      </c>
      <c r="F38" s="941" t="s">
        <v>591</v>
      </c>
      <c r="G38" s="941" t="s">
        <v>593</v>
      </c>
      <c r="H38" s="941" t="s">
        <v>593</v>
      </c>
      <c r="I38" s="941" t="s">
        <v>593</v>
      </c>
    </row>
    <row r="39" spans="1:10" x14ac:dyDescent="0.2">
      <c r="A39" s="680" t="s">
        <v>565</v>
      </c>
      <c r="B39" s="941" t="s">
        <v>593</v>
      </c>
      <c r="C39" s="941" t="s">
        <v>593</v>
      </c>
      <c r="D39" s="941" t="s">
        <v>593</v>
      </c>
      <c r="E39" s="941" t="s">
        <v>591</v>
      </c>
      <c r="F39" s="941" t="s">
        <v>591</v>
      </c>
      <c r="G39" s="941" t="s">
        <v>593</v>
      </c>
      <c r="H39" s="941" t="s">
        <v>593</v>
      </c>
      <c r="I39" s="941" t="s">
        <v>593</v>
      </c>
    </row>
    <row r="40" spans="1:10" x14ac:dyDescent="0.2">
      <c r="A40" s="680" t="s">
        <v>566</v>
      </c>
      <c r="B40" s="941" t="s">
        <v>593</v>
      </c>
      <c r="C40" s="941" t="s">
        <v>593</v>
      </c>
      <c r="D40" s="941" t="s">
        <v>593</v>
      </c>
      <c r="E40" s="941" t="s">
        <v>591</v>
      </c>
      <c r="F40" s="941" t="s">
        <v>591</v>
      </c>
      <c r="G40" s="941" t="s">
        <v>593</v>
      </c>
      <c r="H40" s="941" t="s">
        <v>593</v>
      </c>
      <c r="I40" s="941" t="s">
        <v>593</v>
      </c>
    </row>
    <row r="41" spans="1:10" x14ac:dyDescent="0.2">
      <c r="A41" s="680" t="s">
        <v>567</v>
      </c>
      <c r="B41" s="941" t="s">
        <v>591</v>
      </c>
      <c r="C41" s="941" t="s">
        <v>591</v>
      </c>
      <c r="D41" s="941" t="s">
        <v>593</v>
      </c>
      <c r="E41" s="941" t="s">
        <v>591</v>
      </c>
      <c r="F41" s="941" t="s">
        <v>591</v>
      </c>
      <c r="G41" s="941" t="s">
        <v>591</v>
      </c>
      <c r="H41" s="941" t="s">
        <v>591</v>
      </c>
      <c r="I41" s="941" t="s">
        <v>593</v>
      </c>
    </row>
    <row r="42" spans="1:10" x14ac:dyDescent="0.2">
      <c r="A42" s="680" t="s">
        <v>568</v>
      </c>
      <c r="B42" s="941" t="s">
        <v>591</v>
      </c>
      <c r="C42" s="941" t="s">
        <v>593</v>
      </c>
      <c r="D42" s="941" t="s">
        <v>591</v>
      </c>
      <c r="E42" s="941" t="s">
        <v>591</v>
      </c>
      <c r="F42" s="941" t="s">
        <v>591</v>
      </c>
      <c r="G42" s="941" t="s">
        <v>591</v>
      </c>
      <c r="H42" s="941" t="s">
        <v>593</v>
      </c>
      <c r="I42" s="941" t="s">
        <v>591</v>
      </c>
    </row>
    <row r="43" spans="1:10" x14ac:dyDescent="0.2">
      <c r="A43" s="680" t="s">
        <v>569</v>
      </c>
      <c r="B43" s="941" t="s">
        <v>592</v>
      </c>
      <c r="C43" s="941" t="s">
        <v>592</v>
      </c>
      <c r="D43" s="941" t="s">
        <v>592</v>
      </c>
      <c r="E43" s="941" t="s">
        <v>592</v>
      </c>
      <c r="F43" s="941" t="s">
        <v>592</v>
      </c>
      <c r="G43" s="941" t="s">
        <v>592</v>
      </c>
      <c r="H43" s="941" t="s">
        <v>592</v>
      </c>
      <c r="I43" s="941" t="s">
        <v>592</v>
      </c>
    </row>
    <row r="44" spans="1:10" x14ac:dyDescent="0.2">
      <c r="A44" s="680" t="s">
        <v>748</v>
      </c>
      <c r="B44" s="941" t="s">
        <v>592</v>
      </c>
      <c r="C44" s="941" t="s">
        <v>592</v>
      </c>
      <c r="D44" s="941" t="s">
        <v>592</v>
      </c>
      <c r="E44" s="941" t="s">
        <v>592</v>
      </c>
      <c r="F44" s="941" t="s">
        <v>592</v>
      </c>
      <c r="G44" s="941" t="s">
        <v>592</v>
      </c>
      <c r="H44" s="941" t="s">
        <v>592</v>
      </c>
      <c r="I44" s="941" t="s">
        <v>592</v>
      </c>
    </row>
    <row r="45" spans="1:10" x14ac:dyDescent="0.2">
      <c r="A45" s="680" t="s">
        <v>747</v>
      </c>
      <c r="B45" s="941" t="s">
        <v>592</v>
      </c>
      <c r="C45" s="941" t="s">
        <v>592</v>
      </c>
      <c r="D45" s="941" t="s">
        <v>592</v>
      </c>
      <c r="E45" s="941" t="s">
        <v>592</v>
      </c>
      <c r="F45" s="941" t="s">
        <v>592</v>
      </c>
      <c r="G45" s="941" t="s">
        <v>592</v>
      </c>
      <c r="H45" s="941" t="s">
        <v>592</v>
      </c>
      <c r="I45" s="941" t="s">
        <v>592</v>
      </c>
    </row>
    <row r="46" spans="1:10" x14ac:dyDescent="0.2">
      <c r="A46" s="680" t="s">
        <v>570</v>
      </c>
      <c r="B46" s="941" t="s">
        <v>591</v>
      </c>
      <c r="C46" s="941" t="s">
        <v>591</v>
      </c>
      <c r="D46" s="941" t="s">
        <v>591</v>
      </c>
      <c r="E46" s="941" t="s">
        <v>591</v>
      </c>
      <c r="F46" s="941" t="s">
        <v>591</v>
      </c>
      <c r="G46" s="941" t="s">
        <v>591</v>
      </c>
      <c r="H46" s="941" t="s">
        <v>591</v>
      </c>
      <c r="I46" s="941" t="s">
        <v>591</v>
      </c>
      <c r="J46" s="52"/>
    </row>
    <row r="47" spans="1:10" x14ac:dyDescent="0.2">
      <c r="A47" s="680" t="s">
        <v>571</v>
      </c>
      <c r="B47" s="941" t="s">
        <v>591</v>
      </c>
      <c r="C47" s="941" t="s">
        <v>591</v>
      </c>
      <c r="D47" s="941" t="s">
        <v>591</v>
      </c>
      <c r="E47" s="941" t="s">
        <v>591</v>
      </c>
      <c r="F47" s="941" t="s">
        <v>591</v>
      </c>
      <c r="G47" s="941" t="s">
        <v>591</v>
      </c>
      <c r="H47" s="941" t="s">
        <v>591</v>
      </c>
      <c r="I47" s="941" t="s">
        <v>591</v>
      </c>
      <c r="J47" s="52"/>
    </row>
    <row r="48" spans="1:10" x14ac:dyDescent="0.2">
      <c r="A48" s="680" t="s">
        <v>572</v>
      </c>
      <c r="B48" s="941" t="s">
        <v>591</v>
      </c>
      <c r="C48" s="941" t="s">
        <v>591</v>
      </c>
      <c r="D48" s="941" t="s">
        <v>591</v>
      </c>
      <c r="E48" s="941" t="s">
        <v>591</v>
      </c>
      <c r="F48" s="941" t="s">
        <v>591</v>
      </c>
      <c r="G48" s="941" t="s">
        <v>591</v>
      </c>
      <c r="H48" s="941" t="s">
        <v>591</v>
      </c>
      <c r="I48" s="941" t="s">
        <v>591</v>
      </c>
      <c r="J48" s="52"/>
    </row>
    <row r="49" spans="1:10" x14ac:dyDescent="0.2">
      <c r="A49" s="680" t="s">
        <v>760</v>
      </c>
      <c r="B49" s="941" t="s">
        <v>591</v>
      </c>
      <c r="C49" s="941" t="s">
        <v>591</v>
      </c>
      <c r="D49" s="941" t="s">
        <v>591</v>
      </c>
      <c r="E49" s="941" t="s">
        <v>591</v>
      </c>
      <c r="F49" s="941" t="s">
        <v>591</v>
      </c>
      <c r="G49" s="941" t="s">
        <v>591</v>
      </c>
      <c r="H49" s="941" t="s">
        <v>591</v>
      </c>
      <c r="I49" s="941" t="s">
        <v>591</v>
      </c>
      <c r="J49" s="1036"/>
    </row>
    <row r="50" spans="1:10" x14ac:dyDescent="0.2">
      <c r="A50" s="680" t="s">
        <v>761</v>
      </c>
      <c r="B50" s="941" t="s">
        <v>591</v>
      </c>
      <c r="C50" s="941" t="s">
        <v>591</v>
      </c>
      <c r="D50" s="941" t="s">
        <v>591</v>
      </c>
      <c r="E50" s="941" t="s">
        <v>591</v>
      </c>
      <c r="F50" s="941" t="s">
        <v>591</v>
      </c>
      <c r="G50" s="941" t="s">
        <v>591</v>
      </c>
      <c r="H50" s="941" t="s">
        <v>591</v>
      </c>
      <c r="I50" s="941" t="s">
        <v>591</v>
      </c>
      <c r="J50" s="1036"/>
    </row>
    <row r="51" spans="1:10" x14ac:dyDescent="0.2">
      <c r="A51" s="680" t="s">
        <v>762</v>
      </c>
      <c r="B51" s="941" t="s">
        <v>591</v>
      </c>
      <c r="C51" s="941" t="s">
        <v>591</v>
      </c>
      <c r="D51" s="941" t="s">
        <v>591</v>
      </c>
      <c r="E51" s="941" t="s">
        <v>591</v>
      </c>
      <c r="F51" s="941" t="s">
        <v>591</v>
      </c>
      <c r="G51" s="941" t="s">
        <v>591</v>
      </c>
      <c r="H51" s="941" t="s">
        <v>591</v>
      </c>
      <c r="I51" s="941" t="s">
        <v>591</v>
      </c>
    </row>
    <row r="52" spans="1:10" x14ac:dyDescent="0.2">
      <c r="A52" s="680" t="s">
        <v>573</v>
      </c>
      <c r="B52" s="941" t="s">
        <v>591</v>
      </c>
      <c r="C52" s="941" t="s">
        <v>591</v>
      </c>
      <c r="D52" s="941" t="s">
        <v>591</v>
      </c>
      <c r="E52" s="941" t="s">
        <v>591</v>
      </c>
      <c r="F52" s="941" t="s">
        <v>591</v>
      </c>
      <c r="G52" s="941" t="s">
        <v>591</v>
      </c>
      <c r="H52" s="941" t="s">
        <v>591</v>
      </c>
      <c r="I52" s="941" t="s">
        <v>591</v>
      </c>
    </row>
    <row r="53" spans="1:10" x14ac:dyDescent="0.2">
      <c r="A53" s="680" t="s">
        <v>574</v>
      </c>
      <c r="B53" s="941" t="s">
        <v>591</v>
      </c>
      <c r="C53" s="941" t="s">
        <v>591</v>
      </c>
      <c r="D53" s="941" t="s">
        <v>591</v>
      </c>
      <c r="E53" s="941" t="s">
        <v>591</v>
      </c>
      <c r="F53" s="941" t="s">
        <v>591</v>
      </c>
      <c r="G53" s="941" t="s">
        <v>591</v>
      </c>
      <c r="H53" s="941" t="s">
        <v>591</v>
      </c>
      <c r="I53" s="941" t="s">
        <v>591</v>
      </c>
    </row>
    <row r="54" spans="1:10" x14ac:dyDescent="0.2">
      <c r="A54" s="680" t="s">
        <v>575</v>
      </c>
      <c r="B54" s="941" t="s">
        <v>591</v>
      </c>
      <c r="C54" s="941" t="s">
        <v>591</v>
      </c>
      <c r="D54" s="941" t="s">
        <v>591</v>
      </c>
      <c r="E54" s="941" t="s">
        <v>591</v>
      </c>
      <c r="F54" s="941" t="s">
        <v>591</v>
      </c>
      <c r="G54" s="941" t="s">
        <v>591</v>
      </c>
      <c r="H54" s="941" t="s">
        <v>591</v>
      </c>
      <c r="I54" s="941" t="s">
        <v>591</v>
      </c>
    </row>
    <row r="55" spans="1:10" x14ac:dyDescent="0.2">
      <c r="A55" s="680" t="s">
        <v>576</v>
      </c>
      <c r="B55" s="941" t="s">
        <v>591</v>
      </c>
      <c r="C55" s="941" t="s">
        <v>591</v>
      </c>
      <c r="D55" s="941" t="s">
        <v>591</v>
      </c>
      <c r="E55" s="941" t="s">
        <v>591</v>
      </c>
      <c r="F55" s="941" t="s">
        <v>591</v>
      </c>
      <c r="G55" s="941" t="s">
        <v>591</v>
      </c>
      <c r="H55" s="941" t="s">
        <v>591</v>
      </c>
      <c r="I55" s="941" t="s">
        <v>591</v>
      </c>
    </row>
    <row r="56" spans="1:10" x14ac:dyDescent="0.2">
      <c r="A56" s="680" t="s">
        <v>577</v>
      </c>
      <c r="B56" s="941" t="s">
        <v>591</v>
      </c>
      <c r="C56" s="941" t="s">
        <v>591</v>
      </c>
      <c r="D56" s="941" t="s">
        <v>591</v>
      </c>
      <c r="E56" s="941" t="s">
        <v>591</v>
      </c>
      <c r="F56" s="941" t="s">
        <v>591</v>
      </c>
      <c r="G56" s="941" t="s">
        <v>591</v>
      </c>
      <c r="H56" s="941" t="s">
        <v>591</v>
      </c>
      <c r="I56" s="941" t="s">
        <v>591</v>
      </c>
    </row>
    <row r="57" spans="1:10" x14ac:dyDescent="0.2">
      <c r="A57" s="680" t="s">
        <v>578</v>
      </c>
      <c r="B57" s="941" t="s">
        <v>591</v>
      </c>
      <c r="C57" s="941" t="s">
        <v>591</v>
      </c>
      <c r="D57" s="941" t="s">
        <v>591</v>
      </c>
      <c r="E57" s="941" t="s">
        <v>591</v>
      </c>
      <c r="F57" s="941" t="s">
        <v>591</v>
      </c>
      <c r="G57" s="941" t="s">
        <v>591</v>
      </c>
      <c r="H57" s="941" t="s">
        <v>591</v>
      </c>
      <c r="I57" s="941" t="s">
        <v>591</v>
      </c>
    </row>
    <row r="58" spans="1:10" x14ac:dyDescent="0.2">
      <c r="A58" s="680" t="s">
        <v>579</v>
      </c>
      <c r="B58" s="941" t="s">
        <v>591</v>
      </c>
      <c r="C58" s="941" t="s">
        <v>591</v>
      </c>
      <c r="D58" s="941" t="s">
        <v>591</v>
      </c>
      <c r="E58" s="941" t="s">
        <v>591</v>
      </c>
      <c r="F58" s="941" t="s">
        <v>591</v>
      </c>
      <c r="G58" s="941" t="s">
        <v>591</v>
      </c>
      <c r="H58" s="941" t="s">
        <v>591</v>
      </c>
      <c r="I58" s="941" t="s">
        <v>591</v>
      </c>
    </row>
    <row r="59" spans="1:10" x14ac:dyDescent="0.2">
      <c r="A59" s="680" t="s">
        <v>580</v>
      </c>
      <c r="B59" s="941" t="s">
        <v>764</v>
      </c>
      <c r="C59" s="941" t="s">
        <v>764</v>
      </c>
      <c r="D59" s="941" t="s">
        <v>764</v>
      </c>
      <c r="E59" s="941" t="s">
        <v>764</v>
      </c>
      <c r="F59" s="941" t="s">
        <v>764</v>
      </c>
      <c r="G59" s="941" t="s">
        <v>764</v>
      </c>
      <c r="H59" s="941" t="s">
        <v>764</v>
      </c>
      <c r="I59" s="941" t="s">
        <v>764</v>
      </c>
    </row>
    <row r="60" spans="1:10" x14ac:dyDescent="0.2">
      <c r="A60" s="680" t="s">
        <v>581</v>
      </c>
      <c r="B60" s="941" t="s">
        <v>591</v>
      </c>
      <c r="C60" s="941" t="s">
        <v>591</v>
      </c>
      <c r="D60" s="941" t="s">
        <v>591</v>
      </c>
      <c r="E60" s="941" t="s">
        <v>591</v>
      </c>
      <c r="F60" s="941" t="s">
        <v>591</v>
      </c>
      <c r="G60" s="941" t="s">
        <v>591</v>
      </c>
      <c r="H60" s="941" t="s">
        <v>591</v>
      </c>
      <c r="I60" s="941" t="s">
        <v>591</v>
      </c>
    </row>
    <row r="61" spans="1:10" x14ac:dyDescent="0.2">
      <c r="A61" s="680" t="s">
        <v>582</v>
      </c>
      <c r="B61" s="941" t="s">
        <v>591</v>
      </c>
      <c r="C61" s="941" t="s">
        <v>591</v>
      </c>
      <c r="D61" s="941" t="s">
        <v>591</v>
      </c>
      <c r="E61" s="941" t="s">
        <v>591</v>
      </c>
      <c r="F61" s="941" t="s">
        <v>591</v>
      </c>
      <c r="G61" s="941" t="s">
        <v>591</v>
      </c>
      <c r="H61" s="941" t="s">
        <v>591</v>
      </c>
      <c r="I61" s="941" t="s">
        <v>591</v>
      </c>
    </row>
    <row r="62" spans="1:10" x14ac:dyDescent="0.2">
      <c r="A62" s="680" t="s">
        <v>583</v>
      </c>
      <c r="B62" s="941" t="s">
        <v>591</v>
      </c>
      <c r="C62" s="941" t="s">
        <v>591</v>
      </c>
      <c r="D62" s="941" t="s">
        <v>591</v>
      </c>
      <c r="E62" s="941" t="s">
        <v>591</v>
      </c>
      <c r="F62" s="941" t="s">
        <v>591</v>
      </c>
      <c r="G62" s="941" t="s">
        <v>591</v>
      </c>
      <c r="H62" s="941" t="s">
        <v>591</v>
      </c>
      <c r="I62" s="941" t="s">
        <v>591</v>
      </c>
    </row>
    <row r="63" spans="1:10" x14ac:dyDescent="0.2">
      <c r="A63" s="680" t="s">
        <v>584</v>
      </c>
      <c r="B63" s="941" t="s">
        <v>591</v>
      </c>
      <c r="C63" s="941" t="s">
        <v>591</v>
      </c>
      <c r="D63" s="941" t="s">
        <v>591</v>
      </c>
      <c r="E63" s="941" t="s">
        <v>591</v>
      </c>
      <c r="F63" s="941" t="s">
        <v>591</v>
      </c>
      <c r="G63" s="941" t="s">
        <v>591</v>
      </c>
      <c r="H63" s="941" t="s">
        <v>591</v>
      </c>
      <c r="I63" s="941" t="s">
        <v>591</v>
      </c>
    </row>
    <row r="64" spans="1:10" x14ac:dyDescent="0.2">
      <c r="A64" s="680" t="s">
        <v>585</v>
      </c>
      <c r="B64" s="941" t="s">
        <v>591</v>
      </c>
      <c r="C64" s="941" t="s">
        <v>591</v>
      </c>
      <c r="D64" s="941" t="s">
        <v>591</v>
      </c>
      <c r="E64" s="941" t="s">
        <v>591</v>
      </c>
      <c r="F64" s="941" t="s">
        <v>591</v>
      </c>
      <c r="G64" s="941" t="s">
        <v>591</v>
      </c>
      <c r="H64" s="941" t="s">
        <v>591</v>
      </c>
      <c r="I64" s="941" t="s">
        <v>591</v>
      </c>
    </row>
    <row r="65" spans="1:9" x14ac:dyDescent="0.2">
      <c r="A65" s="680" t="s">
        <v>586</v>
      </c>
      <c r="B65" s="941" t="s">
        <v>591</v>
      </c>
      <c r="C65" s="941" t="s">
        <v>591</v>
      </c>
      <c r="D65" s="941" t="s">
        <v>591</v>
      </c>
      <c r="E65" s="941" t="s">
        <v>591</v>
      </c>
      <c r="F65" s="941" t="s">
        <v>591</v>
      </c>
      <c r="G65" s="941" t="s">
        <v>591</v>
      </c>
      <c r="H65" s="941" t="s">
        <v>591</v>
      </c>
      <c r="I65" s="941" t="s">
        <v>591</v>
      </c>
    </row>
    <row r="66" spans="1:9" x14ac:dyDescent="0.2">
      <c r="A66" s="947" t="s">
        <v>587</v>
      </c>
      <c r="B66" s="941" t="s">
        <v>591</v>
      </c>
      <c r="C66" s="941" t="s">
        <v>591</v>
      </c>
      <c r="D66" s="941" t="s">
        <v>591</v>
      </c>
      <c r="E66" s="941" t="s">
        <v>591</v>
      </c>
      <c r="F66" s="941" t="s">
        <v>591</v>
      </c>
      <c r="G66" s="941" t="s">
        <v>591</v>
      </c>
      <c r="H66" s="941" t="s">
        <v>591</v>
      </c>
      <c r="I66" s="941" t="s">
        <v>591</v>
      </c>
    </row>
    <row r="67" spans="1:9" x14ac:dyDescent="0.2">
      <c r="A67" s="680" t="s">
        <v>588</v>
      </c>
      <c r="B67" s="941" t="s">
        <v>593</v>
      </c>
      <c r="C67" s="941" t="s">
        <v>593</v>
      </c>
      <c r="D67" s="941" t="s">
        <v>593</v>
      </c>
      <c r="E67" s="941" t="s">
        <v>591</v>
      </c>
      <c r="F67" s="941" t="s">
        <v>593</v>
      </c>
      <c r="G67" s="941" t="s">
        <v>593</v>
      </c>
      <c r="H67" s="941" t="s">
        <v>593</v>
      </c>
      <c r="I67" s="941" t="s">
        <v>593</v>
      </c>
    </row>
    <row r="68" spans="1:9" x14ac:dyDescent="0.2">
      <c r="A68" s="680" t="s">
        <v>589</v>
      </c>
      <c r="B68" s="941" t="s">
        <v>591</v>
      </c>
      <c r="C68" s="941" t="s">
        <v>591</v>
      </c>
      <c r="D68" s="941" t="s">
        <v>591</v>
      </c>
      <c r="E68" s="941" t="s">
        <v>593</v>
      </c>
      <c r="F68" s="941" t="s">
        <v>593</v>
      </c>
      <c r="G68" s="941" t="s">
        <v>591</v>
      </c>
      <c r="H68" s="941" t="s">
        <v>591</v>
      </c>
      <c r="I68" s="941" t="s">
        <v>591</v>
      </c>
    </row>
    <row r="69" spans="1:9" x14ac:dyDescent="0.2">
      <c r="A69" s="680" t="s">
        <v>621</v>
      </c>
      <c r="B69" s="941" t="s">
        <v>591</v>
      </c>
      <c r="C69" s="941" t="s">
        <v>591</v>
      </c>
      <c r="D69" s="941" t="s">
        <v>591</v>
      </c>
      <c r="E69" s="941" t="s">
        <v>591</v>
      </c>
      <c r="F69" s="941" t="s">
        <v>591</v>
      </c>
      <c r="G69" s="941" t="s">
        <v>591</v>
      </c>
      <c r="H69" s="941" t="s">
        <v>591</v>
      </c>
      <c r="I69" s="941" t="s">
        <v>591</v>
      </c>
    </row>
    <row r="70" spans="1:9" x14ac:dyDescent="0.2">
      <c r="A70" s="680" t="s">
        <v>759</v>
      </c>
      <c r="B70" s="941" t="s">
        <v>593</v>
      </c>
      <c r="C70" s="941" t="s">
        <v>593</v>
      </c>
      <c r="D70" s="941" t="s">
        <v>593</v>
      </c>
      <c r="E70" s="941" t="s">
        <v>593</v>
      </c>
      <c r="F70" s="941" t="s">
        <v>593</v>
      </c>
      <c r="G70" s="941" t="s">
        <v>593</v>
      </c>
      <c r="H70" s="941" t="s">
        <v>593</v>
      </c>
      <c r="I70" s="941" t="s">
        <v>593</v>
      </c>
    </row>
    <row r="71" spans="1:9" x14ac:dyDescent="0.2">
      <c r="A71" s="680" t="s">
        <v>763</v>
      </c>
      <c r="B71" s="941" t="s">
        <v>593</v>
      </c>
      <c r="C71" s="941" t="s">
        <v>593</v>
      </c>
      <c r="D71" s="941" t="s">
        <v>593</v>
      </c>
      <c r="E71" s="941" t="s">
        <v>593</v>
      </c>
      <c r="F71" s="941" t="s">
        <v>593</v>
      </c>
      <c r="G71" s="941" t="s">
        <v>593</v>
      </c>
      <c r="H71" s="941" t="s">
        <v>593</v>
      </c>
      <c r="I71" s="941" t="s">
        <v>593</v>
      </c>
    </row>
    <row r="72" spans="1:9" x14ac:dyDescent="0.2">
      <c r="A72" s="680" t="s">
        <v>590</v>
      </c>
      <c r="B72" s="1037" t="s">
        <v>593</v>
      </c>
      <c r="C72" s="1037" t="s">
        <v>593</v>
      </c>
      <c r="D72" s="1037" t="s">
        <v>593</v>
      </c>
      <c r="E72" s="1037" t="s">
        <v>593</v>
      </c>
      <c r="F72" s="1037" t="s">
        <v>593</v>
      </c>
      <c r="G72" s="1037" t="s">
        <v>593</v>
      </c>
      <c r="H72" s="1037" t="s">
        <v>593</v>
      </c>
      <c r="I72" s="1037" t="s">
        <v>593</v>
      </c>
    </row>
  </sheetData>
  <conditionalFormatting sqref="B3:B11 B26:B35 B37 B41:B66 B68:B80 E3:F80">
    <cfRule type="cellIs" dxfId="59" priority="62" operator="equal">
      <formula>"o"</formula>
    </cfRule>
    <cfRule type="cellIs" dxfId="58" priority="63" operator="equal">
      <formula>"x"</formula>
    </cfRule>
  </conditionalFormatting>
  <conditionalFormatting sqref="B3:B11 B26:B35 B37 B41:B66 B68:B72 E3:F72">
    <cfRule type="cellIs" dxfId="57" priority="61" operator="equal">
      <formula>"e"</formula>
    </cfRule>
  </conditionalFormatting>
  <conditionalFormatting sqref="C3:D11 C26:D26 C37:D37 D31:D34 C27:C30 C43:D66 D42 C41 C68:D80">
    <cfRule type="cellIs" dxfId="56" priority="59" operator="equal">
      <formula>"o"</formula>
    </cfRule>
    <cfRule type="cellIs" dxfId="55" priority="60" operator="equal">
      <formula>"x"</formula>
    </cfRule>
  </conditionalFormatting>
  <conditionalFormatting sqref="C3:D11 C26:D26 C37:D37 D31:D34 C27:C30 C43:D66 D42 C41 C68:D72">
    <cfRule type="cellIs" dxfId="54" priority="58" operator="equal">
      <formula>"e"</formula>
    </cfRule>
  </conditionalFormatting>
  <conditionalFormatting sqref="H3:I26 H37:I37 H27:H30 I31:I34 H43:I66 H41 I42 H68:I80">
    <cfRule type="cellIs" dxfId="53" priority="50" operator="equal">
      <formula>"o"</formula>
    </cfRule>
    <cfRule type="cellIs" dxfId="52" priority="51" operator="equal">
      <formula>"x"</formula>
    </cfRule>
  </conditionalFormatting>
  <conditionalFormatting sqref="H3:I26 H37:I37 H27:H30 I31:I34 H43:I66 H41 I42 H68:I72">
    <cfRule type="cellIs" dxfId="51" priority="49" operator="equal">
      <formula>"e"</formula>
    </cfRule>
  </conditionalFormatting>
  <conditionalFormatting sqref="G3:G34 G37 G41:G66 G68:G80">
    <cfRule type="cellIs" dxfId="50" priority="53" operator="equal">
      <formula>"o"</formula>
    </cfRule>
    <cfRule type="cellIs" dxfId="49" priority="54" operator="equal">
      <formula>"x"</formula>
    </cfRule>
  </conditionalFormatting>
  <conditionalFormatting sqref="G3:G34 G37 G41:G66 G68:G72">
    <cfRule type="cellIs" dxfId="48" priority="52" operator="equal">
      <formula>"e"</formula>
    </cfRule>
  </conditionalFormatting>
  <conditionalFormatting sqref="B12:D25">
    <cfRule type="cellIs" dxfId="47" priority="47" operator="equal">
      <formula>"o"</formula>
    </cfRule>
    <cfRule type="cellIs" dxfId="46" priority="48" operator="equal">
      <formula>"x"</formula>
    </cfRule>
  </conditionalFormatting>
  <conditionalFormatting sqref="B12:D25">
    <cfRule type="cellIs" dxfId="45" priority="46" operator="equal">
      <formula>"e"</formula>
    </cfRule>
  </conditionalFormatting>
  <conditionalFormatting sqref="B36:D36">
    <cfRule type="cellIs" dxfId="44" priority="44" operator="equal">
      <formula>"o"</formula>
    </cfRule>
    <cfRule type="cellIs" dxfId="43" priority="45" operator="equal">
      <formula>"x"</formula>
    </cfRule>
  </conditionalFormatting>
  <conditionalFormatting sqref="B36:D36">
    <cfRule type="cellIs" dxfId="42" priority="43" operator="equal">
      <formula>"e"</formula>
    </cfRule>
  </conditionalFormatting>
  <conditionalFormatting sqref="C31:C35">
    <cfRule type="cellIs" dxfId="41" priority="41" operator="equal">
      <formula>"o"</formula>
    </cfRule>
    <cfRule type="cellIs" dxfId="40" priority="42" operator="equal">
      <formula>"x"</formula>
    </cfRule>
  </conditionalFormatting>
  <conditionalFormatting sqref="C31:C35">
    <cfRule type="cellIs" dxfId="39" priority="40" operator="equal">
      <formula>"e"</formula>
    </cfRule>
  </conditionalFormatting>
  <conditionalFormatting sqref="D35">
    <cfRule type="cellIs" dxfId="38" priority="38" operator="equal">
      <formula>"o"</formula>
    </cfRule>
    <cfRule type="cellIs" dxfId="37" priority="39" operator="equal">
      <formula>"x"</formula>
    </cfRule>
  </conditionalFormatting>
  <conditionalFormatting sqref="D35">
    <cfRule type="cellIs" dxfId="36" priority="37" operator="equal">
      <formula>"e"</formula>
    </cfRule>
  </conditionalFormatting>
  <conditionalFormatting sqref="D27:D30">
    <cfRule type="cellIs" dxfId="35" priority="35" operator="equal">
      <formula>"o"</formula>
    </cfRule>
    <cfRule type="cellIs" dxfId="34" priority="36" operator="equal">
      <formula>"x"</formula>
    </cfRule>
  </conditionalFormatting>
  <conditionalFormatting sqref="D27:D30">
    <cfRule type="cellIs" dxfId="33" priority="34" operator="equal">
      <formula>"e"</formula>
    </cfRule>
  </conditionalFormatting>
  <conditionalFormatting sqref="I27:I30">
    <cfRule type="cellIs" dxfId="32" priority="32" operator="equal">
      <formula>"o"</formula>
    </cfRule>
    <cfRule type="cellIs" dxfId="31" priority="33" operator="equal">
      <formula>"x"</formula>
    </cfRule>
  </conditionalFormatting>
  <conditionalFormatting sqref="I27:I30">
    <cfRule type="cellIs" dxfId="30" priority="31" operator="equal">
      <formula>"e"</formula>
    </cfRule>
  </conditionalFormatting>
  <conditionalFormatting sqref="H31:H34">
    <cfRule type="cellIs" dxfId="29" priority="29" operator="equal">
      <formula>"o"</formula>
    </cfRule>
    <cfRule type="cellIs" dxfId="28" priority="30" operator="equal">
      <formula>"x"</formula>
    </cfRule>
  </conditionalFormatting>
  <conditionalFormatting sqref="H31:H34">
    <cfRule type="cellIs" dxfId="27" priority="28" operator="equal">
      <formula>"e"</formula>
    </cfRule>
  </conditionalFormatting>
  <conditionalFormatting sqref="G35:I36">
    <cfRule type="cellIs" dxfId="26" priority="26" operator="equal">
      <formula>"o"</formula>
    </cfRule>
    <cfRule type="cellIs" dxfId="25" priority="27" operator="equal">
      <formula>"x"</formula>
    </cfRule>
  </conditionalFormatting>
  <conditionalFormatting sqref="G35:I36">
    <cfRule type="cellIs" dxfId="24" priority="25" operator="equal">
      <formula>"e"</formula>
    </cfRule>
  </conditionalFormatting>
  <conditionalFormatting sqref="G38:I40">
    <cfRule type="cellIs" dxfId="23" priority="23" operator="equal">
      <formula>"o"</formula>
    </cfRule>
    <cfRule type="cellIs" dxfId="22" priority="24" operator="equal">
      <formula>"x"</formula>
    </cfRule>
  </conditionalFormatting>
  <conditionalFormatting sqref="G38:I40">
    <cfRule type="cellIs" dxfId="21" priority="22" operator="equal">
      <formula>"e"</formula>
    </cfRule>
  </conditionalFormatting>
  <conditionalFormatting sqref="I41">
    <cfRule type="cellIs" dxfId="20" priority="20" operator="equal">
      <formula>"o"</formula>
    </cfRule>
    <cfRule type="cellIs" dxfId="19" priority="21" operator="equal">
      <formula>"x"</formula>
    </cfRule>
  </conditionalFormatting>
  <conditionalFormatting sqref="I41">
    <cfRule type="cellIs" dxfId="18" priority="19" operator="equal">
      <formula>"e"</formula>
    </cfRule>
  </conditionalFormatting>
  <conditionalFormatting sqref="H42">
    <cfRule type="cellIs" dxfId="17" priority="17" operator="equal">
      <formula>"o"</formula>
    </cfRule>
    <cfRule type="cellIs" dxfId="16" priority="18" operator="equal">
      <formula>"x"</formula>
    </cfRule>
  </conditionalFormatting>
  <conditionalFormatting sqref="H42">
    <cfRule type="cellIs" dxfId="15" priority="16" operator="equal">
      <formula>"e"</formula>
    </cfRule>
  </conditionalFormatting>
  <conditionalFormatting sqref="C42">
    <cfRule type="cellIs" dxfId="14" priority="14" operator="equal">
      <formula>"o"</formula>
    </cfRule>
    <cfRule type="cellIs" dxfId="13" priority="15" operator="equal">
      <formula>"x"</formula>
    </cfRule>
  </conditionalFormatting>
  <conditionalFormatting sqref="C42">
    <cfRule type="cellIs" dxfId="12" priority="13" operator="equal">
      <formula>"e"</formula>
    </cfRule>
  </conditionalFormatting>
  <conditionalFormatting sqref="D38:D41">
    <cfRule type="cellIs" dxfId="11" priority="11" operator="equal">
      <formula>"o"</formula>
    </cfRule>
    <cfRule type="cellIs" dxfId="10" priority="12" operator="equal">
      <formula>"x"</formula>
    </cfRule>
  </conditionalFormatting>
  <conditionalFormatting sqref="D38:D41">
    <cfRule type="cellIs" dxfId="9" priority="10" operator="equal">
      <formula>"e"</formula>
    </cfRule>
  </conditionalFormatting>
  <conditionalFormatting sqref="B38:C40">
    <cfRule type="cellIs" dxfId="8" priority="8" operator="equal">
      <formula>"o"</formula>
    </cfRule>
    <cfRule type="cellIs" dxfId="7" priority="9" operator="equal">
      <formula>"x"</formula>
    </cfRule>
  </conditionalFormatting>
  <conditionalFormatting sqref="B38:C40">
    <cfRule type="cellIs" dxfId="6" priority="7" operator="equal">
      <formula>"e"</formula>
    </cfRule>
  </conditionalFormatting>
  <conditionalFormatting sqref="B67:D67">
    <cfRule type="cellIs" dxfId="5" priority="5" operator="equal">
      <formula>"o"</formula>
    </cfRule>
    <cfRule type="cellIs" dxfId="4" priority="6" operator="equal">
      <formula>"x"</formula>
    </cfRule>
  </conditionalFormatting>
  <conditionalFormatting sqref="B67:D67">
    <cfRule type="cellIs" dxfId="3" priority="4" operator="equal">
      <formula>"e"</formula>
    </cfRule>
  </conditionalFormatting>
  <conditionalFormatting sqref="G67:I67">
    <cfRule type="cellIs" dxfId="2" priority="2" operator="equal">
      <formula>"o"</formula>
    </cfRule>
    <cfRule type="cellIs" dxfId="1" priority="3" operator="equal">
      <formula>"x"</formula>
    </cfRule>
  </conditionalFormatting>
  <conditionalFormatting sqref="G67:I67">
    <cfRule type="cellIs" dxfId="0" priority="1" operator="equal">
      <formula>"e"</formula>
    </cfRule>
  </conditionalFormatting>
  <pageMargins left="0.7" right="0.7" top="0.75" bottom="0.75" header="0.3" footer="0.3"/>
  <pageSetup orientation="portrait" r:id="rId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4">
    <tabColor rgb="FFFFC000"/>
    <pageSetUpPr fitToPage="1"/>
  </sheetPr>
  <dimension ref="A2:P48"/>
  <sheetViews>
    <sheetView showGridLines="0" zoomScaleNormal="100" workbookViewId="0">
      <selection activeCell="H18" sqref="H18"/>
    </sheetView>
  </sheetViews>
  <sheetFormatPr defaultRowHeight="12.75" x14ac:dyDescent="0.2"/>
  <cols>
    <col min="1" max="1" width="5" style="52" customWidth="1"/>
    <col min="2" max="2" width="47.42578125" style="52" customWidth="1"/>
    <col min="3" max="3" width="12.7109375" style="52" bestFit="1" customWidth="1"/>
    <col min="4" max="4" width="1.7109375" style="52" customWidth="1"/>
    <col min="5" max="8" width="14.7109375" style="52" customWidth="1"/>
    <col min="9" max="12" width="16.7109375" style="52" customWidth="1"/>
    <col min="13" max="13" width="19.28515625" style="52" customWidth="1"/>
    <col min="14" max="14" width="40.140625" style="52" customWidth="1"/>
    <col min="15" max="15" width="13.7109375" style="52" customWidth="1"/>
    <col min="16" max="16" width="40.7109375" style="52" customWidth="1"/>
    <col min="17" max="259" width="9.140625" style="52"/>
    <col min="260" max="260" width="2.85546875" style="52" customWidth="1"/>
    <col min="261" max="261" width="5" style="52" customWidth="1"/>
    <col min="262" max="262" width="62" style="52" customWidth="1"/>
    <col min="263" max="263" width="12.7109375" style="52" bestFit="1" customWidth="1"/>
    <col min="264" max="264" width="1.7109375" style="52" customWidth="1"/>
    <col min="265" max="270" width="15.7109375" style="52" customWidth="1"/>
    <col min="271" max="271" width="13.7109375" style="52" customWidth="1"/>
    <col min="272" max="272" width="40.7109375" style="52" customWidth="1"/>
    <col min="273" max="515" width="9.140625" style="52"/>
    <col min="516" max="516" width="2.85546875" style="52" customWidth="1"/>
    <col min="517" max="517" width="5" style="52" customWidth="1"/>
    <col min="518" max="518" width="62" style="52" customWidth="1"/>
    <col min="519" max="519" width="12.7109375" style="52" bestFit="1" customWidth="1"/>
    <col min="520" max="520" width="1.7109375" style="52" customWidth="1"/>
    <col min="521" max="526" width="15.7109375" style="52" customWidth="1"/>
    <col min="527" max="527" width="13.7109375" style="52" customWidth="1"/>
    <col min="528" max="528" width="40.7109375" style="52" customWidth="1"/>
    <col min="529" max="771" width="9.140625" style="52"/>
    <col min="772" max="772" width="2.85546875" style="52" customWidth="1"/>
    <col min="773" max="773" width="5" style="52" customWidth="1"/>
    <col min="774" max="774" width="62" style="52" customWidth="1"/>
    <col min="775" max="775" width="12.7109375" style="52" bestFit="1" customWidth="1"/>
    <col min="776" max="776" width="1.7109375" style="52" customWidth="1"/>
    <col min="777" max="782" width="15.7109375" style="52" customWidth="1"/>
    <col min="783" max="783" width="13.7109375" style="52" customWidth="1"/>
    <col min="784" max="784" width="40.7109375" style="52" customWidth="1"/>
    <col min="785" max="1027" width="9.140625" style="52"/>
    <col min="1028" max="1028" width="2.85546875" style="52" customWidth="1"/>
    <col min="1029" max="1029" width="5" style="52" customWidth="1"/>
    <col min="1030" max="1030" width="62" style="52" customWidth="1"/>
    <col min="1031" max="1031" width="12.7109375" style="52" bestFit="1" customWidth="1"/>
    <col min="1032" max="1032" width="1.7109375" style="52" customWidth="1"/>
    <col min="1033" max="1038" width="15.7109375" style="52" customWidth="1"/>
    <col min="1039" max="1039" width="13.7109375" style="52" customWidth="1"/>
    <col min="1040" max="1040" width="40.7109375" style="52" customWidth="1"/>
    <col min="1041" max="1283" width="9.140625" style="52"/>
    <col min="1284" max="1284" width="2.85546875" style="52" customWidth="1"/>
    <col min="1285" max="1285" width="5" style="52" customWidth="1"/>
    <col min="1286" max="1286" width="62" style="52" customWidth="1"/>
    <col min="1287" max="1287" width="12.7109375" style="52" bestFit="1" customWidth="1"/>
    <col min="1288" max="1288" width="1.7109375" style="52" customWidth="1"/>
    <col min="1289" max="1294" width="15.7109375" style="52" customWidth="1"/>
    <col min="1295" max="1295" width="13.7109375" style="52" customWidth="1"/>
    <col min="1296" max="1296" width="40.7109375" style="52" customWidth="1"/>
    <col min="1297" max="1539" width="9.140625" style="52"/>
    <col min="1540" max="1540" width="2.85546875" style="52" customWidth="1"/>
    <col min="1541" max="1541" width="5" style="52" customWidth="1"/>
    <col min="1542" max="1542" width="62" style="52" customWidth="1"/>
    <col min="1543" max="1543" width="12.7109375" style="52" bestFit="1" customWidth="1"/>
    <col min="1544" max="1544" width="1.7109375" style="52" customWidth="1"/>
    <col min="1545" max="1550" width="15.7109375" style="52" customWidth="1"/>
    <col min="1551" max="1551" width="13.7109375" style="52" customWidth="1"/>
    <col min="1552" max="1552" width="40.7109375" style="52" customWidth="1"/>
    <col min="1553" max="1795" width="9.140625" style="52"/>
    <col min="1796" max="1796" width="2.85546875" style="52" customWidth="1"/>
    <col min="1797" max="1797" width="5" style="52" customWidth="1"/>
    <col min="1798" max="1798" width="62" style="52" customWidth="1"/>
    <col min="1799" max="1799" width="12.7109375" style="52" bestFit="1" customWidth="1"/>
    <col min="1800" max="1800" width="1.7109375" style="52" customWidth="1"/>
    <col min="1801" max="1806" width="15.7109375" style="52" customWidth="1"/>
    <col min="1807" max="1807" width="13.7109375" style="52" customWidth="1"/>
    <col min="1808" max="1808" width="40.7109375" style="52" customWidth="1"/>
    <col min="1809" max="2051" width="9.140625" style="52"/>
    <col min="2052" max="2052" width="2.85546875" style="52" customWidth="1"/>
    <col min="2053" max="2053" width="5" style="52" customWidth="1"/>
    <col min="2054" max="2054" width="62" style="52" customWidth="1"/>
    <col min="2055" max="2055" width="12.7109375" style="52" bestFit="1" customWidth="1"/>
    <col min="2056" max="2056" width="1.7109375" style="52" customWidth="1"/>
    <col min="2057" max="2062" width="15.7109375" style="52" customWidth="1"/>
    <col min="2063" max="2063" width="13.7109375" style="52" customWidth="1"/>
    <col min="2064" max="2064" width="40.7109375" style="52" customWidth="1"/>
    <col min="2065" max="2307" width="9.140625" style="52"/>
    <col min="2308" max="2308" width="2.85546875" style="52" customWidth="1"/>
    <col min="2309" max="2309" width="5" style="52" customWidth="1"/>
    <col min="2310" max="2310" width="62" style="52" customWidth="1"/>
    <col min="2311" max="2311" width="12.7109375" style="52" bestFit="1" customWidth="1"/>
    <col min="2312" max="2312" width="1.7109375" style="52" customWidth="1"/>
    <col min="2313" max="2318" width="15.7109375" style="52" customWidth="1"/>
    <col min="2319" max="2319" width="13.7109375" style="52" customWidth="1"/>
    <col min="2320" max="2320" width="40.7109375" style="52" customWidth="1"/>
    <col min="2321" max="2563" width="9.140625" style="52"/>
    <col min="2564" max="2564" width="2.85546875" style="52" customWidth="1"/>
    <col min="2565" max="2565" width="5" style="52" customWidth="1"/>
    <col min="2566" max="2566" width="62" style="52" customWidth="1"/>
    <col min="2567" max="2567" width="12.7109375" style="52" bestFit="1" customWidth="1"/>
    <col min="2568" max="2568" width="1.7109375" style="52" customWidth="1"/>
    <col min="2569" max="2574" width="15.7109375" style="52" customWidth="1"/>
    <col min="2575" max="2575" width="13.7109375" style="52" customWidth="1"/>
    <col min="2576" max="2576" width="40.7109375" style="52" customWidth="1"/>
    <col min="2577" max="2819" width="9.140625" style="52"/>
    <col min="2820" max="2820" width="2.85546875" style="52" customWidth="1"/>
    <col min="2821" max="2821" width="5" style="52" customWidth="1"/>
    <col min="2822" max="2822" width="62" style="52" customWidth="1"/>
    <col min="2823" max="2823" width="12.7109375" style="52" bestFit="1" customWidth="1"/>
    <col min="2824" max="2824" width="1.7109375" style="52" customWidth="1"/>
    <col min="2825" max="2830" width="15.7109375" style="52" customWidth="1"/>
    <col min="2831" max="2831" width="13.7109375" style="52" customWidth="1"/>
    <col min="2832" max="2832" width="40.7109375" style="52" customWidth="1"/>
    <col min="2833" max="3075" width="9.140625" style="52"/>
    <col min="3076" max="3076" width="2.85546875" style="52" customWidth="1"/>
    <col min="3077" max="3077" width="5" style="52" customWidth="1"/>
    <col min="3078" max="3078" width="62" style="52" customWidth="1"/>
    <col min="3079" max="3079" width="12.7109375" style="52" bestFit="1" customWidth="1"/>
    <col min="3080" max="3080" width="1.7109375" style="52" customWidth="1"/>
    <col min="3081" max="3086" width="15.7109375" style="52" customWidth="1"/>
    <col min="3087" max="3087" width="13.7109375" style="52" customWidth="1"/>
    <col min="3088" max="3088" width="40.7109375" style="52" customWidth="1"/>
    <col min="3089" max="3331" width="9.140625" style="52"/>
    <col min="3332" max="3332" width="2.85546875" style="52" customWidth="1"/>
    <col min="3333" max="3333" width="5" style="52" customWidth="1"/>
    <col min="3334" max="3334" width="62" style="52" customWidth="1"/>
    <col min="3335" max="3335" width="12.7109375" style="52" bestFit="1" customWidth="1"/>
    <col min="3336" max="3336" width="1.7109375" style="52" customWidth="1"/>
    <col min="3337" max="3342" width="15.7109375" style="52" customWidth="1"/>
    <col min="3343" max="3343" width="13.7109375" style="52" customWidth="1"/>
    <col min="3344" max="3344" width="40.7109375" style="52" customWidth="1"/>
    <col min="3345" max="3587" width="9.140625" style="52"/>
    <col min="3588" max="3588" width="2.85546875" style="52" customWidth="1"/>
    <col min="3589" max="3589" width="5" style="52" customWidth="1"/>
    <col min="3590" max="3590" width="62" style="52" customWidth="1"/>
    <col min="3591" max="3591" width="12.7109375" style="52" bestFit="1" customWidth="1"/>
    <col min="3592" max="3592" width="1.7109375" style="52" customWidth="1"/>
    <col min="3593" max="3598" width="15.7109375" style="52" customWidth="1"/>
    <col min="3599" max="3599" width="13.7109375" style="52" customWidth="1"/>
    <col min="3600" max="3600" width="40.7109375" style="52" customWidth="1"/>
    <col min="3601" max="3843" width="9.140625" style="52"/>
    <col min="3844" max="3844" width="2.85546875" style="52" customWidth="1"/>
    <col min="3845" max="3845" width="5" style="52" customWidth="1"/>
    <col min="3846" max="3846" width="62" style="52" customWidth="1"/>
    <col min="3847" max="3847" width="12.7109375" style="52" bestFit="1" customWidth="1"/>
    <col min="3848" max="3848" width="1.7109375" style="52" customWidth="1"/>
    <col min="3849" max="3854" width="15.7109375" style="52" customWidth="1"/>
    <col min="3855" max="3855" width="13.7109375" style="52" customWidth="1"/>
    <col min="3856" max="3856" width="40.7109375" style="52" customWidth="1"/>
    <col min="3857" max="4099" width="9.140625" style="52"/>
    <col min="4100" max="4100" width="2.85546875" style="52" customWidth="1"/>
    <col min="4101" max="4101" width="5" style="52" customWidth="1"/>
    <col min="4102" max="4102" width="62" style="52" customWidth="1"/>
    <col min="4103" max="4103" width="12.7109375" style="52" bestFit="1" customWidth="1"/>
    <col min="4104" max="4104" width="1.7109375" style="52" customWidth="1"/>
    <col min="4105" max="4110" width="15.7109375" style="52" customWidth="1"/>
    <col min="4111" max="4111" width="13.7109375" style="52" customWidth="1"/>
    <col min="4112" max="4112" width="40.7109375" style="52" customWidth="1"/>
    <col min="4113" max="4355" width="9.140625" style="52"/>
    <col min="4356" max="4356" width="2.85546875" style="52" customWidth="1"/>
    <col min="4357" max="4357" width="5" style="52" customWidth="1"/>
    <col min="4358" max="4358" width="62" style="52" customWidth="1"/>
    <col min="4359" max="4359" width="12.7109375" style="52" bestFit="1" customWidth="1"/>
    <col min="4360" max="4360" width="1.7109375" style="52" customWidth="1"/>
    <col min="4361" max="4366" width="15.7109375" style="52" customWidth="1"/>
    <col min="4367" max="4367" width="13.7109375" style="52" customWidth="1"/>
    <col min="4368" max="4368" width="40.7109375" style="52" customWidth="1"/>
    <col min="4369" max="4611" width="9.140625" style="52"/>
    <col min="4612" max="4612" width="2.85546875" style="52" customWidth="1"/>
    <col min="4613" max="4613" width="5" style="52" customWidth="1"/>
    <col min="4614" max="4614" width="62" style="52" customWidth="1"/>
    <col min="4615" max="4615" width="12.7109375" style="52" bestFit="1" customWidth="1"/>
    <col min="4616" max="4616" width="1.7109375" style="52" customWidth="1"/>
    <col min="4617" max="4622" width="15.7109375" style="52" customWidth="1"/>
    <col min="4623" max="4623" width="13.7109375" style="52" customWidth="1"/>
    <col min="4624" max="4624" width="40.7109375" style="52" customWidth="1"/>
    <col min="4625" max="4867" width="9.140625" style="52"/>
    <col min="4868" max="4868" width="2.85546875" style="52" customWidth="1"/>
    <col min="4869" max="4869" width="5" style="52" customWidth="1"/>
    <col min="4870" max="4870" width="62" style="52" customWidth="1"/>
    <col min="4871" max="4871" width="12.7109375" style="52" bestFit="1" customWidth="1"/>
    <col min="4872" max="4872" width="1.7109375" style="52" customWidth="1"/>
    <col min="4873" max="4878" width="15.7109375" style="52" customWidth="1"/>
    <col min="4879" max="4879" width="13.7109375" style="52" customWidth="1"/>
    <col min="4880" max="4880" width="40.7109375" style="52" customWidth="1"/>
    <col min="4881" max="5123" width="9.140625" style="52"/>
    <col min="5124" max="5124" width="2.85546875" style="52" customWidth="1"/>
    <col min="5125" max="5125" width="5" style="52" customWidth="1"/>
    <col min="5126" max="5126" width="62" style="52" customWidth="1"/>
    <col min="5127" max="5127" width="12.7109375" style="52" bestFit="1" customWidth="1"/>
    <col min="5128" max="5128" width="1.7109375" style="52" customWidth="1"/>
    <col min="5129" max="5134" width="15.7109375" style="52" customWidth="1"/>
    <col min="5135" max="5135" width="13.7109375" style="52" customWidth="1"/>
    <col min="5136" max="5136" width="40.7109375" style="52" customWidth="1"/>
    <col min="5137" max="5379" width="9.140625" style="52"/>
    <col min="5380" max="5380" width="2.85546875" style="52" customWidth="1"/>
    <col min="5381" max="5381" width="5" style="52" customWidth="1"/>
    <col min="5382" max="5382" width="62" style="52" customWidth="1"/>
    <col min="5383" max="5383" width="12.7109375" style="52" bestFit="1" customWidth="1"/>
    <col min="5384" max="5384" width="1.7109375" style="52" customWidth="1"/>
    <col min="5385" max="5390" width="15.7109375" style="52" customWidth="1"/>
    <col min="5391" max="5391" width="13.7109375" style="52" customWidth="1"/>
    <col min="5392" max="5392" width="40.7109375" style="52" customWidth="1"/>
    <col min="5393" max="5635" width="9.140625" style="52"/>
    <col min="5636" max="5636" width="2.85546875" style="52" customWidth="1"/>
    <col min="5637" max="5637" width="5" style="52" customWidth="1"/>
    <col min="5638" max="5638" width="62" style="52" customWidth="1"/>
    <col min="5639" max="5639" width="12.7109375" style="52" bestFit="1" customWidth="1"/>
    <col min="5640" max="5640" width="1.7109375" style="52" customWidth="1"/>
    <col min="5641" max="5646" width="15.7109375" style="52" customWidth="1"/>
    <col min="5647" max="5647" width="13.7109375" style="52" customWidth="1"/>
    <col min="5648" max="5648" width="40.7109375" style="52" customWidth="1"/>
    <col min="5649" max="5891" width="9.140625" style="52"/>
    <col min="5892" max="5892" width="2.85546875" style="52" customWidth="1"/>
    <col min="5893" max="5893" width="5" style="52" customWidth="1"/>
    <col min="5894" max="5894" width="62" style="52" customWidth="1"/>
    <col min="5895" max="5895" width="12.7109375" style="52" bestFit="1" customWidth="1"/>
    <col min="5896" max="5896" width="1.7109375" style="52" customWidth="1"/>
    <col min="5897" max="5902" width="15.7109375" style="52" customWidth="1"/>
    <col min="5903" max="5903" width="13.7109375" style="52" customWidth="1"/>
    <col min="5904" max="5904" width="40.7109375" style="52" customWidth="1"/>
    <col min="5905" max="6147" width="9.140625" style="52"/>
    <col min="6148" max="6148" width="2.85546875" style="52" customWidth="1"/>
    <col min="6149" max="6149" width="5" style="52" customWidth="1"/>
    <col min="6150" max="6150" width="62" style="52" customWidth="1"/>
    <col min="6151" max="6151" width="12.7109375" style="52" bestFit="1" customWidth="1"/>
    <col min="6152" max="6152" width="1.7109375" style="52" customWidth="1"/>
    <col min="6153" max="6158" width="15.7109375" style="52" customWidth="1"/>
    <col min="6159" max="6159" width="13.7109375" style="52" customWidth="1"/>
    <col min="6160" max="6160" width="40.7109375" style="52" customWidth="1"/>
    <col min="6161" max="6403" width="9.140625" style="52"/>
    <col min="6404" max="6404" width="2.85546875" style="52" customWidth="1"/>
    <col min="6405" max="6405" width="5" style="52" customWidth="1"/>
    <col min="6406" max="6406" width="62" style="52" customWidth="1"/>
    <col min="6407" max="6407" width="12.7109375" style="52" bestFit="1" customWidth="1"/>
    <col min="6408" max="6408" width="1.7109375" style="52" customWidth="1"/>
    <col min="6409" max="6414" width="15.7109375" style="52" customWidth="1"/>
    <col min="6415" max="6415" width="13.7109375" style="52" customWidth="1"/>
    <col min="6416" max="6416" width="40.7109375" style="52" customWidth="1"/>
    <col min="6417" max="6659" width="9.140625" style="52"/>
    <col min="6660" max="6660" width="2.85546875" style="52" customWidth="1"/>
    <col min="6661" max="6661" width="5" style="52" customWidth="1"/>
    <col min="6662" max="6662" width="62" style="52" customWidth="1"/>
    <col min="6663" max="6663" width="12.7109375" style="52" bestFit="1" customWidth="1"/>
    <col min="6664" max="6664" width="1.7109375" style="52" customWidth="1"/>
    <col min="6665" max="6670" width="15.7109375" style="52" customWidth="1"/>
    <col min="6671" max="6671" width="13.7109375" style="52" customWidth="1"/>
    <col min="6672" max="6672" width="40.7109375" style="52" customWidth="1"/>
    <col min="6673" max="6915" width="9.140625" style="52"/>
    <col min="6916" max="6916" width="2.85546875" style="52" customWidth="1"/>
    <col min="6917" max="6917" width="5" style="52" customWidth="1"/>
    <col min="6918" max="6918" width="62" style="52" customWidth="1"/>
    <col min="6919" max="6919" width="12.7109375" style="52" bestFit="1" customWidth="1"/>
    <col min="6920" max="6920" width="1.7109375" style="52" customWidth="1"/>
    <col min="6921" max="6926" width="15.7109375" style="52" customWidth="1"/>
    <col min="6927" max="6927" width="13.7109375" style="52" customWidth="1"/>
    <col min="6928" max="6928" width="40.7109375" style="52" customWidth="1"/>
    <col min="6929" max="7171" width="9.140625" style="52"/>
    <col min="7172" max="7172" width="2.85546875" style="52" customWidth="1"/>
    <col min="7173" max="7173" width="5" style="52" customWidth="1"/>
    <col min="7174" max="7174" width="62" style="52" customWidth="1"/>
    <col min="7175" max="7175" width="12.7109375" style="52" bestFit="1" customWidth="1"/>
    <col min="7176" max="7176" width="1.7109375" style="52" customWidth="1"/>
    <col min="7177" max="7182" width="15.7109375" style="52" customWidth="1"/>
    <col min="7183" max="7183" width="13.7109375" style="52" customWidth="1"/>
    <col min="7184" max="7184" width="40.7109375" style="52" customWidth="1"/>
    <col min="7185" max="7427" width="9.140625" style="52"/>
    <col min="7428" max="7428" width="2.85546875" style="52" customWidth="1"/>
    <col min="7429" max="7429" width="5" style="52" customWidth="1"/>
    <col min="7430" max="7430" width="62" style="52" customWidth="1"/>
    <col min="7431" max="7431" width="12.7109375" style="52" bestFit="1" customWidth="1"/>
    <col min="7432" max="7432" width="1.7109375" style="52" customWidth="1"/>
    <col min="7433" max="7438" width="15.7109375" style="52" customWidth="1"/>
    <col min="7439" max="7439" width="13.7109375" style="52" customWidth="1"/>
    <col min="7440" max="7440" width="40.7109375" style="52" customWidth="1"/>
    <col min="7441" max="7683" width="9.140625" style="52"/>
    <col min="7684" max="7684" width="2.85546875" style="52" customWidth="1"/>
    <col min="7685" max="7685" width="5" style="52" customWidth="1"/>
    <col min="7686" max="7686" width="62" style="52" customWidth="1"/>
    <col min="7687" max="7687" width="12.7109375" style="52" bestFit="1" customWidth="1"/>
    <col min="7688" max="7688" width="1.7109375" style="52" customWidth="1"/>
    <col min="7689" max="7694" width="15.7109375" style="52" customWidth="1"/>
    <col min="7695" max="7695" width="13.7109375" style="52" customWidth="1"/>
    <col min="7696" max="7696" width="40.7109375" style="52" customWidth="1"/>
    <col min="7697" max="7939" width="9.140625" style="52"/>
    <col min="7940" max="7940" width="2.85546875" style="52" customWidth="1"/>
    <col min="7941" max="7941" width="5" style="52" customWidth="1"/>
    <col min="7942" max="7942" width="62" style="52" customWidth="1"/>
    <col min="7943" max="7943" width="12.7109375" style="52" bestFit="1" customWidth="1"/>
    <col min="7944" max="7944" width="1.7109375" style="52" customWidth="1"/>
    <col min="7945" max="7950" width="15.7109375" style="52" customWidth="1"/>
    <col min="7951" max="7951" width="13.7109375" style="52" customWidth="1"/>
    <col min="7952" max="7952" width="40.7109375" style="52" customWidth="1"/>
    <col min="7953" max="8195" width="9.140625" style="52"/>
    <col min="8196" max="8196" width="2.85546875" style="52" customWidth="1"/>
    <col min="8197" max="8197" width="5" style="52" customWidth="1"/>
    <col min="8198" max="8198" width="62" style="52" customWidth="1"/>
    <col min="8199" max="8199" width="12.7109375" style="52" bestFit="1" customWidth="1"/>
    <col min="8200" max="8200" width="1.7109375" style="52" customWidth="1"/>
    <col min="8201" max="8206" width="15.7109375" style="52" customWidth="1"/>
    <col min="8207" max="8207" width="13.7109375" style="52" customWidth="1"/>
    <col min="8208" max="8208" width="40.7109375" style="52" customWidth="1"/>
    <col min="8209" max="8451" width="9.140625" style="52"/>
    <col min="8452" max="8452" width="2.85546875" style="52" customWidth="1"/>
    <col min="8453" max="8453" width="5" style="52" customWidth="1"/>
    <col min="8454" max="8454" width="62" style="52" customWidth="1"/>
    <col min="8455" max="8455" width="12.7109375" style="52" bestFit="1" customWidth="1"/>
    <col min="8456" max="8456" width="1.7109375" style="52" customWidth="1"/>
    <col min="8457" max="8462" width="15.7109375" style="52" customWidth="1"/>
    <col min="8463" max="8463" width="13.7109375" style="52" customWidth="1"/>
    <col min="8464" max="8464" width="40.7109375" style="52" customWidth="1"/>
    <col min="8465" max="8707" width="9.140625" style="52"/>
    <col min="8708" max="8708" width="2.85546875" style="52" customWidth="1"/>
    <col min="8709" max="8709" width="5" style="52" customWidth="1"/>
    <col min="8710" max="8710" width="62" style="52" customWidth="1"/>
    <col min="8711" max="8711" width="12.7109375" style="52" bestFit="1" customWidth="1"/>
    <col min="8712" max="8712" width="1.7109375" style="52" customWidth="1"/>
    <col min="8713" max="8718" width="15.7109375" style="52" customWidth="1"/>
    <col min="8719" max="8719" width="13.7109375" style="52" customWidth="1"/>
    <col min="8720" max="8720" width="40.7109375" style="52" customWidth="1"/>
    <col min="8721" max="8963" width="9.140625" style="52"/>
    <col min="8964" max="8964" width="2.85546875" style="52" customWidth="1"/>
    <col min="8965" max="8965" width="5" style="52" customWidth="1"/>
    <col min="8966" max="8966" width="62" style="52" customWidth="1"/>
    <col min="8967" max="8967" width="12.7109375" style="52" bestFit="1" customWidth="1"/>
    <col min="8968" max="8968" width="1.7109375" style="52" customWidth="1"/>
    <col min="8969" max="8974" width="15.7109375" style="52" customWidth="1"/>
    <col min="8975" max="8975" width="13.7109375" style="52" customWidth="1"/>
    <col min="8976" max="8976" width="40.7109375" style="52" customWidth="1"/>
    <col min="8977" max="9219" width="9.140625" style="52"/>
    <col min="9220" max="9220" width="2.85546875" style="52" customWidth="1"/>
    <col min="9221" max="9221" width="5" style="52" customWidth="1"/>
    <col min="9222" max="9222" width="62" style="52" customWidth="1"/>
    <col min="9223" max="9223" width="12.7109375" style="52" bestFit="1" customWidth="1"/>
    <col min="9224" max="9224" width="1.7109375" style="52" customWidth="1"/>
    <col min="9225" max="9230" width="15.7109375" style="52" customWidth="1"/>
    <col min="9231" max="9231" width="13.7109375" style="52" customWidth="1"/>
    <col min="9232" max="9232" width="40.7109375" style="52" customWidth="1"/>
    <col min="9233" max="9475" width="9.140625" style="52"/>
    <col min="9476" max="9476" width="2.85546875" style="52" customWidth="1"/>
    <col min="9477" max="9477" width="5" style="52" customWidth="1"/>
    <col min="9478" max="9478" width="62" style="52" customWidth="1"/>
    <col min="9479" max="9479" width="12.7109375" style="52" bestFit="1" customWidth="1"/>
    <col min="9480" max="9480" width="1.7109375" style="52" customWidth="1"/>
    <col min="9481" max="9486" width="15.7109375" style="52" customWidth="1"/>
    <col min="9487" max="9487" width="13.7109375" style="52" customWidth="1"/>
    <col min="9488" max="9488" width="40.7109375" style="52" customWidth="1"/>
    <col min="9489" max="9731" width="9.140625" style="52"/>
    <col min="9732" max="9732" width="2.85546875" style="52" customWidth="1"/>
    <col min="9733" max="9733" width="5" style="52" customWidth="1"/>
    <col min="9734" max="9734" width="62" style="52" customWidth="1"/>
    <col min="9735" max="9735" width="12.7109375" style="52" bestFit="1" customWidth="1"/>
    <col min="9736" max="9736" width="1.7109375" style="52" customWidth="1"/>
    <col min="9737" max="9742" width="15.7109375" style="52" customWidth="1"/>
    <col min="9743" max="9743" width="13.7109375" style="52" customWidth="1"/>
    <col min="9744" max="9744" width="40.7109375" style="52" customWidth="1"/>
    <col min="9745" max="9987" width="9.140625" style="52"/>
    <col min="9988" max="9988" width="2.85546875" style="52" customWidth="1"/>
    <col min="9989" max="9989" width="5" style="52" customWidth="1"/>
    <col min="9990" max="9990" width="62" style="52" customWidth="1"/>
    <col min="9991" max="9991" width="12.7109375" style="52" bestFit="1" customWidth="1"/>
    <col min="9992" max="9992" width="1.7109375" style="52" customWidth="1"/>
    <col min="9993" max="9998" width="15.7109375" style="52" customWidth="1"/>
    <col min="9999" max="9999" width="13.7109375" style="52" customWidth="1"/>
    <col min="10000" max="10000" width="40.7109375" style="52" customWidth="1"/>
    <col min="10001" max="10243" width="9.140625" style="52"/>
    <col min="10244" max="10244" width="2.85546875" style="52" customWidth="1"/>
    <col min="10245" max="10245" width="5" style="52" customWidth="1"/>
    <col min="10246" max="10246" width="62" style="52" customWidth="1"/>
    <col min="10247" max="10247" width="12.7109375" style="52" bestFit="1" customWidth="1"/>
    <col min="10248" max="10248" width="1.7109375" style="52" customWidth="1"/>
    <col min="10249" max="10254" width="15.7109375" style="52" customWidth="1"/>
    <col min="10255" max="10255" width="13.7109375" style="52" customWidth="1"/>
    <col min="10256" max="10256" width="40.7109375" style="52" customWidth="1"/>
    <col min="10257" max="10499" width="9.140625" style="52"/>
    <col min="10500" max="10500" width="2.85546875" style="52" customWidth="1"/>
    <col min="10501" max="10501" width="5" style="52" customWidth="1"/>
    <col min="10502" max="10502" width="62" style="52" customWidth="1"/>
    <col min="10503" max="10503" width="12.7109375" style="52" bestFit="1" customWidth="1"/>
    <col min="10504" max="10504" width="1.7109375" style="52" customWidth="1"/>
    <col min="10505" max="10510" width="15.7109375" style="52" customWidth="1"/>
    <col min="10511" max="10511" width="13.7109375" style="52" customWidth="1"/>
    <col min="10512" max="10512" width="40.7109375" style="52" customWidth="1"/>
    <col min="10513" max="10755" width="9.140625" style="52"/>
    <col min="10756" max="10756" width="2.85546875" style="52" customWidth="1"/>
    <col min="10757" max="10757" width="5" style="52" customWidth="1"/>
    <col min="10758" max="10758" width="62" style="52" customWidth="1"/>
    <col min="10759" max="10759" width="12.7109375" style="52" bestFit="1" customWidth="1"/>
    <col min="10760" max="10760" width="1.7109375" style="52" customWidth="1"/>
    <col min="10761" max="10766" width="15.7109375" style="52" customWidth="1"/>
    <col min="10767" max="10767" width="13.7109375" style="52" customWidth="1"/>
    <col min="10768" max="10768" width="40.7109375" style="52" customWidth="1"/>
    <col min="10769" max="11011" width="9.140625" style="52"/>
    <col min="11012" max="11012" width="2.85546875" style="52" customWidth="1"/>
    <col min="11013" max="11013" width="5" style="52" customWidth="1"/>
    <col min="11014" max="11014" width="62" style="52" customWidth="1"/>
    <col min="11015" max="11015" width="12.7109375" style="52" bestFit="1" customWidth="1"/>
    <col min="11016" max="11016" width="1.7109375" style="52" customWidth="1"/>
    <col min="11017" max="11022" width="15.7109375" style="52" customWidth="1"/>
    <col min="11023" max="11023" width="13.7109375" style="52" customWidth="1"/>
    <col min="11024" max="11024" width="40.7109375" style="52" customWidth="1"/>
    <col min="11025" max="11267" width="9.140625" style="52"/>
    <col min="11268" max="11268" width="2.85546875" style="52" customWidth="1"/>
    <col min="11269" max="11269" width="5" style="52" customWidth="1"/>
    <col min="11270" max="11270" width="62" style="52" customWidth="1"/>
    <col min="11271" max="11271" width="12.7109375" style="52" bestFit="1" customWidth="1"/>
    <col min="11272" max="11272" width="1.7109375" style="52" customWidth="1"/>
    <col min="11273" max="11278" width="15.7109375" style="52" customWidth="1"/>
    <col min="11279" max="11279" width="13.7109375" style="52" customWidth="1"/>
    <col min="11280" max="11280" width="40.7109375" style="52" customWidth="1"/>
    <col min="11281" max="11523" width="9.140625" style="52"/>
    <col min="11524" max="11524" width="2.85546875" style="52" customWidth="1"/>
    <col min="11525" max="11525" width="5" style="52" customWidth="1"/>
    <col min="11526" max="11526" width="62" style="52" customWidth="1"/>
    <col min="11527" max="11527" width="12.7109375" style="52" bestFit="1" customWidth="1"/>
    <col min="11528" max="11528" width="1.7109375" style="52" customWidth="1"/>
    <col min="11529" max="11534" width="15.7109375" style="52" customWidth="1"/>
    <col min="11535" max="11535" width="13.7109375" style="52" customWidth="1"/>
    <col min="11536" max="11536" width="40.7109375" style="52" customWidth="1"/>
    <col min="11537" max="11779" width="9.140625" style="52"/>
    <col min="11780" max="11780" width="2.85546875" style="52" customWidth="1"/>
    <col min="11781" max="11781" width="5" style="52" customWidth="1"/>
    <col min="11782" max="11782" width="62" style="52" customWidth="1"/>
    <col min="11783" max="11783" width="12.7109375" style="52" bestFit="1" customWidth="1"/>
    <col min="11784" max="11784" width="1.7109375" style="52" customWidth="1"/>
    <col min="11785" max="11790" width="15.7109375" style="52" customWidth="1"/>
    <col min="11791" max="11791" width="13.7109375" style="52" customWidth="1"/>
    <col min="11792" max="11792" width="40.7109375" style="52" customWidth="1"/>
    <col min="11793" max="12035" width="9.140625" style="52"/>
    <col min="12036" max="12036" width="2.85546875" style="52" customWidth="1"/>
    <col min="12037" max="12037" width="5" style="52" customWidth="1"/>
    <col min="12038" max="12038" width="62" style="52" customWidth="1"/>
    <col min="12039" max="12039" width="12.7109375" style="52" bestFit="1" customWidth="1"/>
    <col min="12040" max="12040" width="1.7109375" style="52" customWidth="1"/>
    <col min="12041" max="12046" width="15.7109375" style="52" customWidth="1"/>
    <col min="12047" max="12047" width="13.7109375" style="52" customWidth="1"/>
    <col min="12048" max="12048" width="40.7109375" style="52" customWidth="1"/>
    <col min="12049" max="12291" width="9.140625" style="52"/>
    <col min="12292" max="12292" width="2.85546875" style="52" customWidth="1"/>
    <col min="12293" max="12293" width="5" style="52" customWidth="1"/>
    <col min="12294" max="12294" width="62" style="52" customWidth="1"/>
    <col min="12295" max="12295" width="12.7109375" style="52" bestFit="1" customWidth="1"/>
    <col min="12296" max="12296" width="1.7109375" style="52" customWidth="1"/>
    <col min="12297" max="12302" width="15.7109375" style="52" customWidth="1"/>
    <col min="12303" max="12303" width="13.7109375" style="52" customWidth="1"/>
    <col min="12304" max="12304" width="40.7109375" style="52" customWidth="1"/>
    <col min="12305" max="12547" width="9.140625" style="52"/>
    <col min="12548" max="12548" width="2.85546875" style="52" customWidth="1"/>
    <col min="12549" max="12549" width="5" style="52" customWidth="1"/>
    <col min="12550" max="12550" width="62" style="52" customWidth="1"/>
    <col min="12551" max="12551" width="12.7109375" style="52" bestFit="1" customWidth="1"/>
    <col min="12552" max="12552" width="1.7109375" style="52" customWidth="1"/>
    <col min="12553" max="12558" width="15.7109375" style="52" customWidth="1"/>
    <col min="12559" max="12559" width="13.7109375" style="52" customWidth="1"/>
    <col min="12560" max="12560" width="40.7109375" style="52" customWidth="1"/>
    <col min="12561" max="12803" width="9.140625" style="52"/>
    <col min="12804" max="12804" width="2.85546875" style="52" customWidth="1"/>
    <col min="12805" max="12805" width="5" style="52" customWidth="1"/>
    <col min="12806" max="12806" width="62" style="52" customWidth="1"/>
    <col min="12807" max="12807" width="12.7109375" style="52" bestFit="1" customWidth="1"/>
    <col min="12808" max="12808" width="1.7109375" style="52" customWidth="1"/>
    <col min="12809" max="12814" width="15.7109375" style="52" customWidth="1"/>
    <col min="12815" max="12815" width="13.7109375" style="52" customWidth="1"/>
    <col min="12816" max="12816" width="40.7109375" style="52" customWidth="1"/>
    <col min="12817" max="13059" width="9.140625" style="52"/>
    <col min="13060" max="13060" width="2.85546875" style="52" customWidth="1"/>
    <col min="13061" max="13061" width="5" style="52" customWidth="1"/>
    <col min="13062" max="13062" width="62" style="52" customWidth="1"/>
    <col min="13063" max="13063" width="12.7109375" style="52" bestFit="1" customWidth="1"/>
    <col min="13064" max="13064" width="1.7109375" style="52" customWidth="1"/>
    <col min="13065" max="13070" width="15.7109375" style="52" customWidth="1"/>
    <col min="13071" max="13071" width="13.7109375" style="52" customWidth="1"/>
    <col min="13072" max="13072" width="40.7109375" style="52" customWidth="1"/>
    <col min="13073" max="13315" width="9.140625" style="52"/>
    <col min="13316" max="13316" width="2.85546875" style="52" customWidth="1"/>
    <col min="13317" max="13317" width="5" style="52" customWidth="1"/>
    <col min="13318" max="13318" width="62" style="52" customWidth="1"/>
    <col min="13319" max="13319" width="12.7109375" style="52" bestFit="1" customWidth="1"/>
    <col min="13320" max="13320" width="1.7109375" style="52" customWidth="1"/>
    <col min="13321" max="13326" width="15.7109375" style="52" customWidth="1"/>
    <col min="13327" max="13327" width="13.7109375" style="52" customWidth="1"/>
    <col min="13328" max="13328" width="40.7109375" style="52" customWidth="1"/>
    <col min="13329" max="13571" width="9.140625" style="52"/>
    <col min="13572" max="13572" width="2.85546875" style="52" customWidth="1"/>
    <col min="13573" max="13573" width="5" style="52" customWidth="1"/>
    <col min="13574" max="13574" width="62" style="52" customWidth="1"/>
    <col min="13575" max="13575" width="12.7109375" style="52" bestFit="1" customWidth="1"/>
    <col min="13576" max="13576" width="1.7109375" style="52" customWidth="1"/>
    <col min="13577" max="13582" width="15.7109375" style="52" customWidth="1"/>
    <col min="13583" max="13583" width="13.7109375" style="52" customWidth="1"/>
    <col min="13584" max="13584" width="40.7109375" style="52" customWidth="1"/>
    <col min="13585" max="13827" width="9.140625" style="52"/>
    <col min="13828" max="13828" width="2.85546875" style="52" customWidth="1"/>
    <col min="13829" max="13829" width="5" style="52" customWidth="1"/>
    <col min="13830" max="13830" width="62" style="52" customWidth="1"/>
    <col min="13831" max="13831" width="12.7109375" style="52" bestFit="1" customWidth="1"/>
    <col min="13832" max="13832" width="1.7109375" style="52" customWidth="1"/>
    <col min="13833" max="13838" width="15.7109375" style="52" customWidth="1"/>
    <col min="13839" max="13839" width="13.7109375" style="52" customWidth="1"/>
    <col min="13840" max="13840" width="40.7109375" style="52" customWidth="1"/>
    <col min="13841" max="14083" width="9.140625" style="52"/>
    <col min="14084" max="14084" width="2.85546875" style="52" customWidth="1"/>
    <col min="14085" max="14085" width="5" style="52" customWidth="1"/>
    <col min="14086" max="14086" width="62" style="52" customWidth="1"/>
    <col min="14087" max="14087" width="12.7109375" style="52" bestFit="1" customWidth="1"/>
    <col min="14088" max="14088" width="1.7109375" style="52" customWidth="1"/>
    <col min="14089" max="14094" width="15.7109375" style="52" customWidth="1"/>
    <col min="14095" max="14095" width="13.7109375" style="52" customWidth="1"/>
    <col min="14096" max="14096" width="40.7109375" style="52" customWidth="1"/>
    <col min="14097" max="14339" width="9.140625" style="52"/>
    <col min="14340" max="14340" width="2.85546875" style="52" customWidth="1"/>
    <col min="14341" max="14341" width="5" style="52" customWidth="1"/>
    <col min="14342" max="14342" width="62" style="52" customWidth="1"/>
    <col min="14343" max="14343" width="12.7109375" style="52" bestFit="1" customWidth="1"/>
    <col min="14344" max="14344" width="1.7109375" style="52" customWidth="1"/>
    <col min="14345" max="14350" width="15.7109375" style="52" customWidth="1"/>
    <col min="14351" max="14351" width="13.7109375" style="52" customWidth="1"/>
    <col min="14352" max="14352" width="40.7109375" style="52" customWidth="1"/>
    <col min="14353" max="14595" width="9.140625" style="52"/>
    <col min="14596" max="14596" width="2.85546875" style="52" customWidth="1"/>
    <col min="14597" max="14597" width="5" style="52" customWidth="1"/>
    <col min="14598" max="14598" width="62" style="52" customWidth="1"/>
    <col min="14599" max="14599" width="12.7109375" style="52" bestFit="1" customWidth="1"/>
    <col min="14600" max="14600" width="1.7109375" style="52" customWidth="1"/>
    <col min="14601" max="14606" width="15.7109375" style="52" customWidth="1"/>
    <col min="14607" max="14607" width="13.7109375" style="52" customWidth="1"/>
    <col min="14608" max="14608" width="40.7109375" style="52" customWidth="1"/>
    <col min="14609" max="14851" width="9.140625" style="52"/>
    <col min="14852" max="14852" width="2.85546875" style="52" customWidth="1"/>
    <col min="14853" max="14853" width="5" style="52" customWidth="1"/>
    <col min="14854" max="14854" width="62" style="52" customWidth="1"/>
    <col min="14855" max="14855" width="12.7109375" style="52" bestFit="1" customWidth="1"/>
    <col min="14856" max="14856" width="1.7109375" style="52" customWidth="1"/>
    <col min="14857" max="14862" width="15.7109375" style="52" customWidth="1"/>
    <col min="14863" max="14863" width="13.7109375" style="52" customWidth="1"/>
    <col min="14864" max="14864" width="40.7109375" style="52" customWidth="1"/>
    <col min="14865" max="15107" width="9.140625" style="52"/>
    <col min="15108" max="15108" width="2.85546875" style="52" customWidth="1"/>
    <col min="15109" max="15109" width="5" style="52" customWidth="1"/>
    <col min="15110" max="15110" width="62" style="52" customWidth="1"/>
    <col min="15111" max="15111" width="12.7109375" style="52" bestFit="1" customWidth="1"/>
    <col min="15112" max="15112" width="1.7109375" style="52" customWidth="1"/>
    <col min="15113" max="15118" width="15.7109375" style="52" customWidth="1"/>
    <col min="15119" max="15119" width="13.7109375" style="52" customWidth="1"/>
    <col min="15120" max="15120" width="40.7109375" style="52" customWidth="1"/>
    <col min="15121" max="15363" width="9.140625" style="52"/>
    <col min="15364" max="15364" width="2.85546875" style="52" customWidth="1"/>
    <col min="15365" max="15365" width="5" style="52" customWidth="1"/>
    <col min="15366" max="15366" width="62" style="52" customWidth="1"/>
    <col min="15367" max="15367" width="12.7109375" style="52" bestFit="1" customWidth="1"/>
    <col min="15368" max="15368" width="1.7109375" style="52" customWidth="1"/>
    <col min="15369" max="15374" width="15.7109375" style="52" customWidth="1"/>
    <col min="15375" max="15375" width="13.7109375" style="52" customWidth="1"/>
    <col min="15376" max="15376" width="40.7109375" style="52" customWidth="1"/>
    <col min="15377" max="15619" width="9.140625" style="52"/>
    <col min="15620" max="15620" width="2.85546875" style="52" customWidth="1"/>
    <col min="15621" max="15621" width="5" style="52" customWidth="1"/>
    <col min="15622" max="15622" width="62" style="52" customWidth="1"/>
    <col min="15623" max="15623" width="12.7109375" style="52" bestFit="1" customWidth="1"/>
    <col min="15624" max="15624" width="1.7109375" style="52" customWidth="1"/>
    <col min="15625" max="15630" width="15.7109375" style="52" customWidth="1"/>
    <col min="15631" max="15631" width="13.7109375" style="52" customWidth="1"/>
    <col min="15632" max="15632" width="40.7109375" style="52" customWidth="1"/>
    <col min="15633" max="15875" width="9.140625" style="52"/>
    <col min="15876" max="15876" width="2.85546875" style="52" customWidth="1"/>
    <col min="15877" max="15877" width="5" style="52" customWidth="1"/>
    <col min="15878" max="15878" width="62" style="52" customWidth="1"/>
    <col min="15879" max="15879" width="12.7109375" style="52" bestFit="1" customWidth="1"/>
    <col min="15880" max="15880" width="1.7109375" style="52" customWidth="1"/>
    <col min="15881" max="15886" width="15.7109375" style="52" customWidth="1"/>
    <col min="15887" max="15887" width="13.7109375" style="52" customWidth="1"/>
    <col min="15888" max="15888" width="40.7109375" style="52" customWidth="1"/>
    <col min="15889" max="16131" width="9.140625" style="52"/>
    <col min="16132" max="16132" width="2.85546875" style="52" customWidth="1"/>
    <col min="16133" max="16133" width="5" style="52" customWidth="1"/>
    <col min="16134" max="16134" width="62" style="52" customWidth="1"/>
    <col min="16135" max="16135" width="12.7109375" style="52" bestFit="1" customWidth="1"/>
    <col min="16136" max="16136" width="1.7109375" style="52" customWidth="1"/>
    <col min="16137" max="16142" width="15.7109375" style="52" customWidth="1"/>
    <col min="16143" max="16143" width="13.7109375" style="52" customWidth="1"/>
    <col min="16144" max="16144" width="40.7109375" style="52" customWidth="1"/>
    <col min="16145" max="16384" width="9.140625" style="52"/>
  </cols>
  <sheetData>
    <row r="2" spans="1:16" x14ac:dyDescent="0.2">
      <c r="M2" s="152" t="s">
        <v>301</v>
      </c>
      <c r="N2" s="1092" t="str">
        <f>EBNUMBER</f>
        <v>EB-2016-0066</v>
      </c>
    </row>
    <row r="3" spans="1:16" x14ac:dyDescent="0.2">
      <c r="M3" s="152" t="s">
        <v>302</v>
      </c>
      <c r="N3" s="51"/>
    </row>
    <row r="4" spans="1:16" x14ac:dyDescent="0.2">
      <c r="M4" s="152" t="s">
        <v>303</v>
      </c>
      <c r="N4" s="51"/>
    </row>
    <row r="5" spans="1:16" x14ac:dyDescent="0.2">
      <c r="M5" s="152" t="s">
        <v>304</v>
      </c>
      <c r="N5" s="51"/>
    </row>
    <row r="6" spans="1:16" x14ac:dyDescent="0.2">
      <c r="M6" s="152" t="s">
        <v>305</v>
      </c>
      <c r="N6" s="1093"/>
    </row>
    <row r="7" spans="1:16" x14ac:dyDescent="0.2">
      <c r="M7" s="152"/>
      <c r="N7" s="1092"/>
    </row>
    <row r="8" spans="1:16" x14ac:dyDescent="0.2">
      <c r="M8" s="152" t="s">
        <v>306</v>
      </c>
      <c r="N8" s="1093"/>
    </row>
    <row r="9" spans="1:16" ht="18" x14ac:dyDescent="0.25">
      <c r="A9" s="1591" t="s">
        <v>1243</v>
      </c>
      <c r="B9" s="1728"/>
      <c r="C9" s="1728"/>
      <c r="D9" s="1728"/>
      <c r="E9" s="1728"/>
      <c r="F9" s="1728"/>
      <c r="G9" s="1728"/>
      <c r="H9" s="1728"/>
      <c r="I9" s="1728"/>
      <c r="J9" s="1728"/>
      <c r="K9" s="1728"/>
      <c r="L9" s="1728"/>
      <c r="M9" s="1728"/>
      <c r="N9" s="1728"/>
      <c r="O9" s="1728"/>
      <c r="P9" s="1728"/>
    </row>
    <row r="10" spans="1:16" ht="18" x14ac:dyDescent="0.25">
      <c r="A10" s="1591" t="s">
        <v>408</v>
      </c>
      <c r="B10" s="1729"/>
      <c r="C10" s="1729"/>
      <c r="D10" s="1729"/>
      <c r="E10" s="1729"/>
      <c r="F10" s="1729"/>
      <c r="G10" s="1729"/>
      <c r="H10" s="1729"/>
      <c r="I10" s="1729"/>
      <c r="J10" s="1729"/>
      <c r="K10" s="1729"/>
      <c r="L10" s="1729"/>
      <c r="M10" s="1729"/>
      <c r="N10" s="1729"/>
      <c r="O10" s="1729"/>
      <c r="P10" s="1729"/>
    </row>
    <row r="12" spans="1:16" ht="27" customHeight="1" x14ac:dyDescent="0.2">
      <c r="A12" s="1592" t="s">
        <v>409</v>
      </c>
      <c r="B12" s="1592"/>
      <c r="C12" s="1592"/>
      <c r="D12" s="1592"/>
      <c r="E12" s="1592"/>
      <c r="F12" s="1592"/>
      <c r="G12" s="1592"/>
      <c r="H12" s="1592"/>
      <c r="I12" s="1592"/>
      <c r="J12" s="1592"/>
      <c r="K12" s="1592"/>
      <c r="L12" s="1592"/>
      <c r="M12" s="1592"/>
      <c r="N12" s="1592"/>
      <c r="O12" s="1071"/>
      <c r="P12" s="1071"/>
    </row>
    <row r="13" spans="1:16" ht="13.5" thickBot="1" x14ac:dyDescent="0.25"/>
    <row r="14" spans="1:16" ht="27.75" customHeight="1" x14ac:dyDescent="0.2">
      <c r="A14" s="2077" t="s">
        <v>410</v>
      </c>
      <c r="B14" s="2078"/>
      <c r="C14" s="2078"/>
      <c r="D14" s="1016"/>
      <c r="E14" s="1438" t="s">
        <v>1107</v>
      </c>
      <c r="F14" s="1438" t="s">
        <v>1107</v>
      </c>
      <c r="G14" s="1438" t="s">
        <v>1107</v>
      </c>
      <c r="H14" s="1438" t="s">
        <v>1107</v>
      </c>
      <c r="I14" s="1432" t="s">
        <v>1108</v>
      </c>
      <c r="J14" s="2084" t="s">
        <v>948</v>
      </c>
      <c r="K14" s="2084" t="s">
        <v>948</v>
      </c>
      <c r="L14" s="2086" t="s">
        <v>1111</v>
      </c>
      <c r="M14" s="2081" t="s">
        <v>949</v>
      </c>
      <c r="N14" s="2081" t="s">
        <v>411</v>
      </c>
    </row>
    <row r="15" spans="1:16" x14ac:dyDescent="0.2">
      <c r="A15" s="2079"/>
      <c r="B15" s="2080"/>
      <c r="C15" s="2080"/>
      <c r="D15" s="1018"/>
      <c r="E15" s="1021"/>
      <c r="F15" s="1021"/>
      <c r="G15" s="1021"/>
      <c r="H15" s="1021"/>
      <c r="I15" s="1157"/>
      <c r="J15" s="2085"/>
      <c r="K15" s="2085"/>
      <c r="L15" s="2087"/>
      <c r="M15" s="2089"/>
      <c r="N15" s="2082"/>
    </row>
    <row r="16" spans="1:16" ht="36" customHeight="1" x14ac:dyDescent="0.2">
      <c r="A16" s="2079"/>
      <c r="B16" s="2080"/>
      <c r="C16" s="2080"/>
      <c r="D16" s="1018"/>
      <c r="E16" s="1022">
        <v>2012</v>
      </c>
      <c r="F16" s="1022">
        <v>2013</v>
      </c>
      <c r="G16" s="1022">
        <v>2014</v>
      </c>
      <c r="H16" s="1022">
        <v>2015</v>
      </c>
      <c r="I16" s="1096" t="s">
        <v>1109</v>
      </c>
      <c r="J16" s="1154">
        <v>2016</v>
      </c>
      <c r="K16" s="1096" t="s">
        <v>1110</v>
      </c>
      <c r="L16" s="2088"/>
      <c r="M16" s="2090"/>
      <c r="N16" s="2083"/>
    </row>
    <row r="17" spans="1:16" x14ac:dyDescent="0.2">
      <c r="A17" s="2063" t="s">
        <v>1251</v>
      </c>
      <c r="B17" s="2064"/>
      <c r="C17" s="2065"/>
      <c r="D17" s="175"/>
      <c r="E17" s="339"/>
      <c r="F17" s="339">
        <v>20475</v>
      </c>
      <c r="G17" s="339"/>
      <c r="H17" s="339">
        <v>675</v>
      </c>
      <c r="I17" s="339"/>
      <c r="J17" s="339"/>
      <c r="K17" s="339"/>
      <c r="L17" s="339"/>
      <c r="M17" s="1023">
        <f>SUM(E17:L17)</f>
        <v>21150</v>
      </c>
      <c r="N17" s="1423"/>
    </row>
    <row r="18" spans="1:16" x14ac:dyDescent="0.2">
      <c r="A18" s="2062" t="s">
        <v>1252</v>
      </c>
      <c r="B18" s="1652"/>
      <c r="C18" s="1653"/>
      <c r="D18" s="175"/>
      <c r="E18" s="339"/>
      <c r="F18" s="339"/>
      <c r="G18" s="339"/>
      <c r="H18" s="339"/>
      <c r="I18" s="339"/>
      <c r="J18" s="339"/>
      <c r="K18" s="339"/>
      <c r="L18" s="339"/>
      <c r="M18" s="1023">
        <f t="shared" ref="M18:M28" si="0">SUM(E18:L18)</f>
        <v>0</v>
      </c>
      <c r="N18" s="1423"/>
    </row>
    <row r="19" spans="1:16" x14ac:dyDescent="0.2">
      <c r="A19" s="2063" t="s">
        <v>1253</v>
      </c>
      <c r="B19" s="2064"/>
      <c r="C19" s="2065"/>
      <c r="D19" s="175"/>
      <c r="E19" s="339"/>
      <c r="F19" s="339"/>
      <c r="G19" s="339"/>
      <c r="H19" s="339">
        <v>450.83</v>
      </c>
      <c r="I19" s="339"/>
      <c r="J19" s="339"/>
      <c r="K19" s="339"/>
      <c r="L19" s="339"/>
      <c r="M19" s="1023">
        <f t="shared" si="0"/>
        <v>450.83</v>
      </c>
      <c r="N19" s="1423"/>
    </row>
    <row r="20" spans="1:16" x14ac:dyDescent="0.2">
      <c r="A20" s="2066" t="s">
        <v>1254</v>
      </c>
      <c r="B20" s="2067"/>
      <c r="C20" s="2068"/>
      <c r="D20" s="175"/>
      <c r="E20" s="339"/>
      <c r="F20" s="339"/>
      <c r="G20" s="339"/>
      <c r="H20" s="339"/>
      <c r="I20" s="339"/>
      <c r="J20" s="339"/>
      <c r="K20" s="339"/>
      <c r="L20" s="339"/>
      <c r="M20" s="1023">
        <f t="shared" si="0"/>
        <v>0</v>
      </c>
      <c r="N20" s="1423"/>
    </row>
    <row r="21" spans="1:16" ht="24" customHeight="1" x14ac:dyDescent="0.2">
      <c r="A21" s="2062" t="s">
        <v>1255</v>
      </c>
      <c r="B21" s="1652"/>
      <c r="C21" s="1653"/>
      <c r="D21" s="175"/>
      <c r="E21" s="339"/>
      <c r="F21" s="339"/>
      <c r="G21" s="339"/>
      <c r="H21" s="339"/>
      <c r="I21" s="339"/>
      <c r="J21" s="339"/>
      <c r="K21" s="339"/>
      <c r="L21" s="339"/>
      <c r="M21" s="1023">
        <f t="shared" si="0"/>
        <v>0</v>
      </c>
      <c r="N21" s="1423"/>
    </row>
    <row r="22" spans="1:16" x14ac:dyDescent="0.2">
      <c r="A22" s="2069"/>
      <c r="B22" s="2070"/>
      <c r="C22" s="2071"/>
      <c r="D22" s="175"/>
      <c r="E22" s="339"/>
      <c r="F22" s="339"/>
      <c r="G22" s="339"/>
      <c r="H22" s="339"/>
      <c r="I22" s="339"/>
      <c r="J22" s="339"/>
      <c r="K22" s="339"/>
      <c r="L22" s="339"/>
      <c r="M22" s="1023">
        <f t="shared" si="0"/>
        <v>0</v>
      </c>
      <c r="N22" s="1423"/>
    </row>
    <row r="23" spans="1:16" ht="24.95" customHeight="1" x14ac:dyDescent="0.2">
      <c r="A23" s="2001"/>
      <c r="B23" s="2002"/>
      <c r="C23" s="2072"/>
      <c r="D23" s="175"/>
      <c r="E23" s="339"/>
      <c r="F23" s="339"/>
      <c r="G23" s="339"/>
      <c r="H23" s="339"/>
      <c r="I23" s="339"/>
      <c r="J23" s="339"/>
      <c r="K23" s="339"/>
      <c r="L23" s="339"/>
      <c r="M23" s="1023">
        <f t="shared" si="0"/>
        <v>0</v>
      </c>
      <c r="N23" s="1423"/>
    </row>
    <row r="24" spans="1:16" ht="24.95" customHeight="1" x14ac:dyDescent="0.2">
      <c r="A24" s="2001"/>
      <c r="B24" s="2002"/>
      <c r="C24" s="2072"/>
      <c r="D24" s="175"/>
      <c r="E24" s="339"/>
      <c r="F24" s="339"/>
      <c r="G24" s="339"/>
      <c r="H24" s="339"/>
      <c r="I24" s="339"/>
      <c r="J24" s="339"/>
      <c r="K24" s="339"/>
      <c r="L24" s="339"/>
      <c r="M24" s="1023">
        <f t="shared" si="0"/>
        <v>0</v>
      </c>
      <c r="N24" s="1423"/>
    </row>
    <row r="25" spans="1:16" ht="13.5" customHeight="1" x14ac:dyDescent="0.2">
      <c r="A25" s="2069"/>
      <c r="B25" s="2070"/>
      <c r="C25" s="2071"/>
      <c r="D25" s="175"/>
      <c r="E25" s="339"/>
      <c r="F25" s="339"/>
      <c r="G25" s="339"/>
      <c r="H25" s="339"/>
      <c r="I25" s="339"/>
      <c r="J25" s="339"/>
      <c r="K25" s="339"/>
      <c r="L25" s="339"/>
      <c r="M25" s="1023">
        <f t="shared" si="0"/>
        <v>0</v>
      </c>
      <c r="N25" s="1423"/>
    </row>
    <row r="26" spans="1:16" ht="32.25" customHeight="1" x14ac:dyDescent="0.2">
      <c r="A26" s="1992" t="s">
        <v>1112</v>
      </c>
      <c r="B26" s="1993"/>
      <c r="C26" s="2073"/>
      <c r="D26" s="175"/>
      <c r="E26" s="339"/>
      <c r="F26" s="339"/>
      <c r="G26" s="339"/>
      <c r="H26" s="339"/>
      <c r="I26" s="339"/>
      <c r="J26" s="339"/>
      <c r="K26" s="339"/>
      <c r="L26" s="339"/>
      <c r="M26" s="1023">
        <f t="shared" si="0"/>
        <v>0</v>
      </c>
      <c r="N26" s="1423"/>
    </row>
    <row r="27" spans="1:16" ht="27" customHeight="1" x14ac:dyDescent="0.2">
      <c r="A27" s="1992"/>
      <c r="B27" s="1993"/>
      <c r="C27" s="2073"/>
      <c r="D27" s="175"/>
      <c r="E27" s="339"/>
      <c r="F27" s="339"/>
      <c r="G27" s="339"/>
      <c r="H27" s="339"/>
      <c r="I27" s="339"/>
      <c r="J27" s="339"/>
      <c r="K27" s="339"/>
      <c r="L27" s="339"/>
      <c r="M27" s="1023">
        <f t="shared" si="0"/>
        <v>0</v>
      </c>
      <c r="N27" s="1423"/>
    </row>
    <row r="28" spans="1:16" ht="13.5" thickBot="1" x14ac:dyDescent="0.25">
      <c r="A28" s="2074" t="s">
        <v>182</v>
      </c>
      <c r="B28" s="2075"/>
      <c r="C28" s="2076"/>
      <c r="D28" s="175"/>
      <c r="E28" s="341"/>
      <c r="F28" s="341"/>
      <c r="G28" s="341"/>
      <c r="H28" s="341"/>
      <c r="I28" s="341"/>
      <c r="J28" s="341"/>
      <c r="K28" s="341"/>
      <c r="L28" s="1024"/>
      <c r="M28" s="1023">
        <f t="shared" si="0"/>
        <v>0</v>
      </c>
      <c r="N28" s="1424"/>
    </row>
    <row r="29" spans="1:16" ht="14.25" thickTop="1" thickBot="1" x14ac:dyDescent="0.25">
      <c r="A29" s="2059" t="s">
        <v>295</v>
      </c>
      <c r="B29" s="2060"/>
      <c r="C29" s="2061"/>
      <c r="D29" s="1020"/>
      <c r="E29" s="343">
        <f t="shared" ref="E29:K29" si="1">SUM(E17:E28)</f>
        <v>0</v>
      </c>
      <c r="F29" s="343">
        <f t="shared" si="1"/>
        <v>20475</v>
      </c>
      <c r="G29" s="343"/>
      <c r="H29" s="343">
        <f>SUM(H17:H28)</f>
        <v>1125.83</v>
      </c>
      <c r="I29" s="343">
        <f t="shared" si="1"/>
        <v>0</v>
      </c>
      <c r="J29" s="343"/>
      <c r="K29" s="343">
        <f t="shared" si="1"/>
        <v>0</v>
      </c>
      <c r="L29" s="1025"/>
      <c r="M29" s="343">
        <f>SUM(M17:M28)</f>
        <v>21600.83</v>
      </c>
      <c r="N29" s="1425"/>
    </row>
    <row r="31" spans="1:16" x14ac:dyDescent="0.2">
      <c r="A31" s="152" t="s">
        <v>117</v>
      </c>
      <c r="B31" s="56"/>
      <c r="C31" s="56"/>
      <c r="D31" s="56"/>
    </row>
    <row r="32" spans="1:16" ht="27" customHeight="1" x14ac:dyDescent="0.2">
      <c r="A32" s="1090">
        <v>1</v>
      </c>
      <c r="B32" s="1590" t="s">
        <v>412</v>
      </c>
      <c r="C32" s="1590"/>
      <c r="D32" s="1590"/>
      <c r="E32" s="1590"/>
      <c r="F32" s="1590"/>
      <c r="G32" s="1590"/>
      <c r="H32" s="1590"/>
      <c r="I32" s="1590"/>
      <c r="J32" s="1590"/>
      <c r="K32" s="1590"/>
      <c r="L32" s="1590"/>
      <c r="M32" s="1590"/>
      <c r="N32" s="1590"/>
      <c r="O32" s="1089"/>
      <c r="P32" s="1089"/>
    </row>
    <row r="33" spans="1:14" ht="12.75" customHeight="1" x14ac:dyDescent="0.2">
      <c r="A33" s="1090">
        <v>2</v>
      </c>
      <c r="B33" s="2057" t="s">
        <v>522</v>
      </c>
      <c r="C33" s="2057"/>
      <c r="D33" s="2057"/>
      <c r="E33" s="2057"/>
      <c r="F33" s="2058"/>
      <c r="G33" s="2058"/>
    </row>
    <row r="34" spans="1:14" ht="12.75" customHeight="1" x14ac:dyDescent="0.2">
      <c r="A34" s="1722">
        <v>3</v>
      </c>
      <c r="B34" s="1590" t="s">
        <v>1018</v>
      </c>
      <c r="C34" s="1590"/>
      <c r="D34" s="1590"/>
      <c r="E34" s="1590"/>
      <c r="F34" s="1590"/>
      <c r="G34" s="1590"/>
      <c r="H34" s="1590"/>
      <c r="I34" s="1590"/>
      <c r="J34" s="1590"/>
      <c r="K34" s="1590"/>
      <c r="L34" s="1590"/>
      <c r="M34" s="1590"/>
      <c r="N34" s="1590"/>
    </row>
    <row r="35" spans="1:14" x14ac:dyDescent="0.2">
      <c r="A35" s="1722"/>
      <c r="B35" s="1066"/>
      <c r="C35" s="1066"/>
      <c r="D35" s="1066"/>
    </row>
    <row r="36" spans="1:14" x14ac:dyDescent="0.2">
      <c r="A36" s="334"/>
      <c r="B36" s="56"/>
      <c r="C36" s="56"/>
      <c r="D36" s="56"/>
    </row>
    <row r="37" spans="1:14" ht="12.75" customHeight="1" x14ac:dyDescent="0.2">
      <c r="A37" s="1722"/>
      <c r="B37" s="1683"/>
      <c r="C37" s="1683"/>
      <c r="D37" s="1683"/>
      <c r="E37" s="1089"/>
      <c r="F37" s="1089"/>
      <c r="G37" s="1089"/>
      <c r="H37" s="1089"/>
      <c r="I37" s="1089"/>
      <c r="J37" s="1089"/>
      <c r="K37" s="1089"/>
      <c r="L37" s="1089"/>
      <c r="M37" s="1089"/>
      <c r="N37" s="1089"/>
    </row>
    <row r="38" spans="1:14" x14ac:dyDescent="0.2">
      <c r="A38" s="1722"/>
      <c r="B38" s="1723"/>
      <c r="C38" s="1723"/>
      <c r="D38" s="1723"/>
      <c r="E38" s="1089"/>
      <c r="F38" s="1089"/>
      <c r="G38" s="1089"/>
      <c r="H38" s="1089"/>
      <c r="I38" s="1089"/>
      <c r="J38" s="1089"/>
      <c r="K38" s="1089"/>
      <c r="L38" s="1089"/>
      <c r="M38" s="1089"/>
      <c r="N38" s="1089"/>
    </row>
    <row r="39" spans="1:14" ht="12.75" customHeight="1" x14ac:dyDescent="0.2">
      <c r="A39" s="334"/>
      <c r="B39" s="1068"/>
      <c r="C39" s="1068"/>
      <c r="D39" s="1068"/>
      <c r="E39" s="1089"/>
      <c r="F39" s="1089"/>
      <c r="G39" s="1089"/>
      <c r="H39" s="1089"/>
      <c r="I39" s="1089"/>
      <c r="J39" s="1089"/>
      <c r="K39" s="1089"/>
      <c r="L39" s="1089"/>
      <c r="M39" s="1089"/>
      <c r="N39" s="1089"/>
    </row>
    <row r="40" spans="1:14" x14ac:dyDescent="0.2">
      <c r="A40" s="1724"/>
      <c r="B40" s="1683"/>
      <c r="C40" s="1683"/>
      <c r="D40" s="1683"/>
      <c r="E40" s="1089"/>
      <c r="F40" s="1089"/>
      <c r="G40" s="1089"/>
      <c r="H40" s="1089"/>
      <c r="I40" s="1089"/>
      <c r="J40" s="1089"/>
      <c r="K40" s="1089"/>
      <c r="L40" s="1089"/>
      <c r="M40" s="1089"/>
      <c r="N40" s="1089"/>
    </row>
    <row r="41" spans="1:14" x14ac:dyDescent="0.2">
      <c r="A41" s="1724"/>
      <c r="B41" s="1683"/>
      <c r="C41" s="1683"/>
      <c r="D41" s="1683"/>
      <c r="E41" s="1089"/>
      <c r="F41" s="1089"/>
      <c r="G41" s="1089"/>
      <c r="H41" s="1089"/>
      <c r="I41" s="1089"/>
      <c r="J41" s="1089"/>
      <c r="K41" s="1089"/>
      <c r="L41" s="1089"/>
      <c r="M41" s="1089"/>
      <c r="N41" s="1089"/>
    </row>
    <row r="42" spans="1:14" x14ac:dyDescent="0.2">
      <c r="A42" s="1724"/>
      <c r="B42" s="1723"/>
      <c r="C42" s="1723"/>
      <c r="D42" s="1723"/>
      <c r="E42" s="1089"/>
      <c r="F42" s="1089"/>
      <c r="G42" s="1089"/>
      <c r="H42" s="1089"/>
      <c r="I42" s="1089"/>
      <c r="J42" s="1089"/>
      <c r="K42" s="1089"/>
      <c r="L42" s="1089"/>
      <c r="M42" s="1089"/>
      <c r="N42" s="1089"/>
    </row>
    <row r="43" spans="1:14" x14ac:dyDescent="0.2">
      <c r="A43" s="1724"/>
      <c r="B43" s="1723"/>
      <c r="C43" s="1723"/>
      <c r="D43" s="1723"/>
      <c r="E43" s="1089"/>
      <c r="F43" s="1089"/>
      <c r="G43" s="1089"/>
      <c r="H43" s="1089"/>
      <c r="I43" s="1089"/>
      <c r="J43" s="1089"/>
      <c r="K43" s="1089"/>
      <c r="L43" s="1089"/>
      <c r="M43" s="1089"/>
      <c r="N43" s="1089"/>
    </row>
    <row r="44" spans="1:14" x14ac:dyDescent="0.2">
      <c r="A44" s="334"/>
      <c r="B44" s="56"/>
      <c r="C44" s="56"/>
      <c r="D44" s="56"/>
    </row>
    <row r="45" spans="1:14" ht="12.75" customHeight="1" x14ac:dyDescent="0.2">
      <c r="A45" s="1722"/>
      <c r="B45" s="1683"/>
      <c r="C45" s="1683"/>
      <c r="D45" s="1683"/>
      <c r="E45" s="1089"/>
      <c r="F45" s="1089"/>
      <c r="G45" s="1089"/>
      <c r="H45" s="1089"/>
      <c r="I45" s="1089"/>
      <c r="J45" s="1089"/>
      <c r="K45" s="1089"/>
      <c r="L45" s="1089"/>
      <c r="M45" s="1089"/>
      <c r="N45" s="1089"/>
    </row>
    <row r="46" spans="1:14" x14ac:dyDescent="0.2">
      <c r="A46" s="1722"/>
      <c r="B46" s="1683"/>
      <c r="C46" s="1683"/>
      <c r="D46" s="1683"/>
      <c r="E46" s="1089"/>
      <c r="F46" s="1089"/>
      <c r="G46" s="1089"/>
      <c r="H46" s="1089"/>
      <c r="I46" s="1089"/>
      <c r="J46" s="1089"/>
      <c r="K46" s="1089"/>
      <c r="L46" s="1089"/>
      <c r="M46" s="1089"/>
      <c r="N46" s="1089"/>
    </row>
    <row r="48" spans="1:14" ht="12.75" customHeight="1" x14ac:dyDescent="0.2"/>
  </sheetData>
  <mergeCells count="33">
    <mergeCell ref="A17:C17"/>
    <mergeCell ref="A9:P9"/>
    <mergeCell ref="A10:P10"/>
    <mergeCell ref="A14:C16"/>
    <mergeCell ref="N14:N16"/>
    <mergeCell ref="K14:K15"/>
    <mergeCell ref="L14:L16"/>
    <mergeCell ref="M14:M16"/>
    <mergeCell ref="A12:N12"/>
    <mergeCell ref="J14:J15"/>
    <mergeCell ref="A29:C29"/>
    <mergeCell ref="A18:C18"/>
    <mergeCell ref="A19:C19"/>
    <mergeCell ref="A20:C20"/>
    <mergeCell ref="A21:C21"/>
    <mergeCell ref="A22:C22"/>
    <mergeCell ref="A23:C23"/>
    <mergeCell ref="A24:C24"/>
    <mergeCell ref="A25:C25"/>
    <mergeCell ref="A26:C26"/>
    <mergeCell ref="A27:C27"/>
    <mergeCell ref="A28:C28"/>
    <mergeCell ref="B32:N32"/>
    <mergeCell ref="A40:A43"/>
    <mergeCell ref="B40:D43"/>
    <mergeCell ref="A45:A46"/>
    <mergeCell ref="B45:D46"/>
    <mergeCell ref="A34:A35"/>
    <mergeCell ref="A37:A38"/>
    <mergeCell ref="B37:D38"/>
    <mergeCell ref="B34:N34"/>
    <mergeCell ref="B33:E33"/>
    <mergeCell ref="F33:G33"/>
  </mergeCells>
  <dataValidations count="1">
    <dataValidation allowBlank="1" showInputMessage="1" showErrorMessage="1" promptTitle="Date Format" prompt="E.g:  &quot;August 1, 2011&quot;" sqref="WVQ983040 JE7 TA7 ACW7 AMS7 AWO7 BGK7 BQG7 CAC7 CJY7 CTU7 DDQ7 DNM7 DXI7 EHE7 ERA7 FAW7 FKS7 FUO7 GEK7 GOG7 GYC7 HHY7 HRU7 IBQ7 ILM7 IVI7 JFE7 JPA7 JYW7 KIS7 KSO7 LCK7 LMG7 LWC7 MFY7 MPU7 MZQ7 NJM7 NTI7 ODE7 ONA7 OWW7 PGS7 PQO7 QAK7 QKG7 QUC7 RDY7 RNU7 RXQ7 SHM7 SRI7 TBE7 TLA7 TUW7 UES7 UOO7 UYK7 VIG7 VSC7 WBY7 WLU7 WVQ7 JE65536 TA65536 ACW65536 AMS65536 AWO65536 BGK65536 BQG65536 CAC65536 CJY65536 CTU65536 DDQ65536 DNM65536 DXI65536 EHE65536 ERA65536 FAW65536 FKS65536 FUO65536 GEK65536 GOG65536 GYC65536 HHY65536 HRU65536 IBQ65536 ILM65536 IVI65536 JFE65536 JPA65536 JYW65536 KIS65536 KSO65536 LCK65536 LMG65536 LWC65536 MFY65536 MPU65536 MZQ65536 NJM65536 NTI65536 ODE65536 ONA65536 OWW65536 PGS65536 PQO65536 QAK65536 QKG65536 QUC65536 RDY65536 RNU65536 RXQ65536 SHM65536 SRI65536 TBE65536 TLA65536 TUW65536 UES65536 UOO65536 UYK65536 VIG65536 VSC65536 WBY65536 WLU65536 WVQ65536 JE131072 TA131072 ACW131072 AMS131072 AWO131072 BGK131072 BQG131072 CAC131072 CJY131072 CTU131072 DDQ131072 DNM131072 DXI131072 EHE131072 ERA131072 FAW131072 FKS131072 FUO131072 GEK131072 GOG131072 GYC131072 HHY131072 HRU131072 IBQ131072 ILM131072 IVI131072 JFE131072 JPA131072 JYW131072 KIS131072 KSO131072 LCK131072 LMG131072 LWC131072 MFY131072 MPU131072 MZQ131072 NJM131072 NTI131072 ODE131072 ONA131072 OWW131072 PGS131072 PQO131072 QAK131072 QKG131072 QUC131072 RDY131072 RNU131072 RXQ131072 SHM131072 SRI131072 TBE131072 TLA131072 TUW131072 UES131072 UOO131072 UYK131072 VIG131072 VSC131072 WBY131072 WLU131072 WVQ131072 JE196608 TA196608 ACW196608 AMS196608 AWO196608 BGK196608 BQG196608 CAC196608 CJY196608 CTU196608 DDQ196608 DNM196608 DXI196608 EHE196608 ERA196608 FAW196608 FKS196608 FUO196608 GEK196608 GOG196608 GYC196608 HHY196608 HRU196608 IBQ196608 ILM196608 IVI196608 JFE196608 JPA196608 JYW196608 KIS196608 KSO196608 LCK196608 LMG196608 LWC196608 MFY196608 MPU196608 MZQ196608 NJM196608 NTI196608 ODE196608 ONA196608 OWW196608 PGS196608 PQO196608 QAK196608 QKG196608 QUC196608 RDY196608 RNU196608 RXQ196608 SHM196608 SRI196608 TBE196608 TLA196608 TUW196608 UES196608 UOO196608 UYK196608 VIG196608 VSC196608 WBY196608 WLU196608 WVQ196608 JE262144 TA262144 ACW262144 AMS262144 AWO262144 BGK262144 BQG262144 CAC262144 CJY262144 CTU262144 DDQ262144 DNM262144 DXI262144 EHE262144 ERA262144 FAW262144 FKS262144 FUO262144 GEK262144 GOG262144 GYC262144 HHY262144 HRU262144 IBQ262144 ILM262144 IVI262144 JFE262144 JPA262144 JYW262144 KIS262144 KSO262144 LCK262144 LMG262144 LWC262144 MFY262144 MPU262144 MZQ262144 NJM262144 NTI262144 ODE262144 ONA262144 OWW262144 PGS262144 PQO262144 QAK262144 QKG262144 QUC262144 RDY262144 RNU262144 RXQ262144 SHM262144 SRI262144 TBE262144 TLA262144 TUW262144 UES262144 UOO262144 UYK262144 VIG262144 VSC262144 WBY262144 WLU262144 WVQ262144 JE327680 TA327680 ACW327680 AMS327680 AWO327680 BGK327680 BQG327680 CAC327680 CJY327680 CTU327680 DDQ327680 DNM327680 DXI327680 EHE327680 ERA327680 FAW327680 FKS327680 FUO327680 GEK327680 GOG327680 GYC327680 HHY327680 HRU327680 IBQ327680 ILM327680 IVI327680 JFE327680 JPA327680 JYW327680 KIS327680 KSO327680 LCK327680 LMG327680 LWC327680 MFY327680 MPU327680 MZQ327680 NJM327680 NTI327680 ODE327680 ONA327680 OWW327680 PGS327680 PQO327680 QAK327680 QKG327680 QUC327680 RDY327680 RNU327680 RXQ327680 SHM327680 SRI327680 TBE327680 TLA327680 TUW327680 UES327680 UOO327680 UYK327680 VIG327680 VSC327680 WBY327680 WLU327680 WVQ327680 JE393216 TA393216 ACW393216 AMS393216 AWO393216 BGK393216 BQG393216 CAC393216 CJY393216 CTU393216 DDQ393216 DNM393216 DXI393216 EHE393216 ERA393216 FAW393216 FKS393216 FUO393216 GEK393216 GOG393216 GYC393216 HHY393216 HRU393216 IBQ393216 ILM393216 IVI393216 JFE393216 JPA393216 JYW393216 KIS393216 KSO393216 LCK393216 LMG393216 LWC393216 MFY393216 MPU393216 MZQ393216 NJM393216 NTI393216 ODE393216 ONA393216 OWW393216 PGS393216 PQO393216 QAK393216 QKG393216 QUC393216 RDY393216 RNU393216 RXQ393216 SHM393216 SRI393216 TBE393216 TLA393216 TUW393216 UES393216 UOO393216 UYK393216 VIG393216 VSC393216 WBY393216 WLU393216 WVQ393216 JE458752 TA458752 ACW458752 AMS458752 AWO458752 BGK458752 BQG458752 CAC458752 CJY458752 CTU458752 DDQ458752 DNM458752 DXI458752 EHE458752 ERA458752 FAW458752 FKS458752 FUO458752 GEK458752 GOG458752 GYC458752 HHY458752 HRU458752 IBQ458752 ILM458752 IVI458752 JFE458752 JPA458752 JYW458752 KIS458752 KSO458752 LCK458752 LMG458752 LWC458752 MFY458752 MPU458752 MZQ458752 NJM458752 NTI458752 ODE458752 ONA458752 OWW458752 PGS458752 PQO458752 QAK458752 QKG458752 QUC458752 RDY458752 RNU458752 RXQ458752 SHM458752 SRI458752 TBE458752 TLA458752 TUW458752 UES458752 UOO458752 UYK458752 VIG458752 VSC458752 WBY458752 WLU458752 WVQ458752 JE524288 TA524288 ACW524288 AMS524288 AWO524288 BGK524288 BQG524288 CAC524288 CJY524288 CTU524288 DDQ524288 DNM524288 DXI524288 EHE524288 ERA524288 FAW524288 FKS524288 FUO524288 GEK524288 GOG524288 GYC524288 HHY524288 HRU524288 IBQ524288 ILM524288 IVI524288 JFE524288 JPA524288 JYW524288 KIS524288 KSO524288 LCK524288 LMG524288 LWC524288 MFY524288 MPU524288 MZQ524288 NJM524288 NTI524288 ODE524288 ONA524288 OWW524288 PGS524288 PQO524288 QAK524288 QKG524288 QUC524288 RDY524288 RNU524288 RXQ524288 SHM524288 SRI524288 TBE524288 TLA524288 TUW524288 UES524288 UOO524288 UYK524288 VIG524288 VSC524288 WBY524288 WLU524288 WVQ524288 JE589824 TA589824 ACW589824 AMS589824 AWO589824 BGK589824 BQG589824 CAC589824 CJY589824 CTU589824 DDQ589824 DNM589824 DXI589824 EHE589824 ERA589824 FAW589824 FKS589824 FUO589824 GEK589824 GOG589824 GYC589824 HHY589824 HRU589824 IBQ589824 ILM589824 IVI589824 JFE589824 JPA589824 JYW589824 KIS589824 KSO589824 LCK589824 LMG589824 LWC589824 MFY589824 MPU589824 MZQ589824 NJM589824 NTI589824 ODE589824 ONA589824 OWW589824 PGS589824 PQO589824 QAK589824 QKG589824 QUC589824 RDY589824 RNU589824 RXQ589824 SHM589824 SRI589824 TBE589824 TLA589824 TUW589824 UES589824 UOO589824 UYK589824 VIG589824 VSC589824 WBY589824 WLU589824 WVQ589824 JE655360 TA655360 ACW655360 AMS655360 AWO655360 BGK655360 BQG655360 CAC655360 CJY655360 CTU655360 DDQ655360 DNM655360 DXI655360 EHE655360 ERA655360 FAW655360 FKS655360 FUO655360 GEK655360 GOG655360 GYC655360 HHY655360 HRU655360 IBQ655360 ILM655360 IVI655360 JFE655360 JPA655360 JYW655360 KIS655360 KSO655360 LCK655360 LMG655360 LWC655360 MFY655360 MPU655360 MZQ655360 NJM655360 NTI655360 ODE655360 ONA655360 OWW655360 PGS655360 PQO655360 QAK655360 QKG655360 QUC655360 RDY655360 RNU655360 RXQ655360 SHM655360 SRI655360 TBE655360 TLA655360 TUW655360 UES655360 UOO655360 UYK655360 VIG655360 VSC655360 WBY655360 WLU655360 WVQ655360 JE720896 TA720896 ACW720896 AMS720896 AWO720896 BGK720896 BQG720896 CAC720896 CJY720896 CTU720896 DDQ720896 DNM720896 DXI720896 EHE720896 ERA720896 FAW720896 FKS720896 FUO720896 GEK720896 GOG720896 GYC720896 HHY720896 HRU720896 IBQ720896 ILM720896 IVI720896 JFE720896 JPA720896 JYW720896 KIS720896 KSO720896 LCK720896 LMG720896 LWC720896 MFY720896 MPU720896 MZQ720896 NJM720896 NTI720896 ODE720896 ONA720896 OWW720896 PGS720896 PQO720896 QAK720896 QKG720896 QUC720896 RDY720896 RNU720896 RXQ720896 SHM720896 SRI720896 TBE720896 TLA720896 TUW720896 UES720896 UOO720896 UYK720896 VIG720896 VSC720896 WBY720896 WLU720896 WVQ720896 JE786432 TA786432 ACW786432 AMS786432 AWO786432 BGK786432 BQG786432 CAC786432 CJY786432 CTU786432 DDQ786432 DNM786432 DXI786432 EHE786432 ERA786432 FAW786432 FKS786432 FUO786432 GEK786432 GOG786432 GYC786432 HHY786432 HRU786432 IBQ786432 ILM786432 IVI786432 JFE786432 JPA786432 JYW786432 KIS786432 KSO786432 LCK786432 LMG786432 LWC786432 MFY786432 MPU786432 MZQ786432 NJM786432 NTI786432 ODE786432 ONA786432 OWW786432 PGS786432 PQO786432 QAK786432 QKG786432 QUC786432 RDY786432 RNU786432 RXQ786432 SHM786432 SRI786432 TBE786432 TLA786432 TUW786432 UES786432 UOO786432 UYK786432 VIG786432 VSC786432 WBY786432 WLU786432 WVQ786432 JE851968 TA851968 ACW851968 AMS851968 AWO851968 BGK851968 BQG851968 CAC851968 CJY851968 CTU851968 DDQ851968 DNM851968 DXI851968 EHE851968 ERA851968 FAW851968 FKS851968 FUO851968 GEK851968 GOG851968 GYC851968 HHY851968 HRU851968 IBQ851968 ILM851968 IVI851968 JFE851968 JPA851968 JYW851968 KIS851968 KSO851968 LCK851968 LMG851968 LWC851968 MFY851968 MPU851968 MZQ851968 NJM851968 NTI851968 ODE851968 ONA851968 OWW851968 PGS851968 PQO851968 QAK851968 QKG851968 QUC851968 RDY851968 RNU851968 RXQ851968 SHM851968 SRI851968 TBE851968 TLA851968 TUW851968 UES851968 UOO851968 UYK851968 VIG851968 VSC851968 WBY851968 WLU851968 WVQ851968 JE917504 TA917504 ACW917504 AMS917504 AWO917504 BGK917504 BQG917504 CAC917504 CJY917504 CTU917504 DDQ917504 DNM917504 DXI917504 EHE917504 ERA917504 FAW917504 FKS917504 FUO917504 GEK917504 GOG917504 GYC917504 HHY917504 HRU917504 IBQ917504 ILM917504 IVI917504 JFE917504 JPA917504 JYW917504 KIS917504 KSO917504 LCK917504 LMG917504 LWC917504 MFY917504 MPU917504 MZQ917504 NJM917504 NTI917504 ODE917504 ONA917504 OWW917504 PGS917504 PQO917504 QAK917504 QKG917504 QUC917504 RDY917504 RNU917504 RXQ917504 SHM917504 SRI917504 TBE917504 TLA917504 TUW917504 UES917504 UOO917504 UYK917504 VIG917504 VSC917504 WBY917504 WLU917504 WVQ917504 JE983040 TA983040 ACW983040 AMS983040 AWO983040 BGK983040 BQG983040 CAC983040 CJY983040 CTU983040 DDQ983040 DNM983040 DXI983040 EHE983040 ERA983040 FAW983040 FKS983040 FUO983040 GEK983040 GOG983040 GYC983040 HHY983040 HRU983040 IBQ983040 ILM983040 IVI983040 JFE983040 JPA983040 JYW983040 KIS983040 KSO983040 LCK983040 LMG983040 LWC983040 MFY983040 MPU983040 MZQ983040 NJM983040 NTI983040 ODE983040 ONA983040 OWW983040 PGS983040 PQO983040 QAK983040 QKG983040 QUC983040 RDY983040 RNU983040 RXQ983040 SHM983040 SRI983040 TBE983040 TLA983040 TUW983040 UES983040 UOO983040 UYK983040 VIG983040 VSC983040 WBY983040 WLU983040"/>
  </dataValidations>
  <pageMargins left="0.74803149606299213" right="0.74803149606299213" top="0.98425196850393704" bottom="0.98425196850393704" header="0.51181102362204722" footer="0.51181102362204722"/>
  <pageSetup scale="40" orientation="landscape" r:id="rId1"/>
  <headerFooter alignWithMargins="0"/>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7"/>
  <dimension ref="A1"/>
  <sheetViews>
    <sheetView showGridLines="0" workbookViewId="0"/>
  </sheetViews>
  <sheetFormatPr defaultRowHeight="12.75" x14ac:dyDescent="0.2"/>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49</vt:i4>
      </vt:variant>
      <vt:variant>
        <vt:lpstr>Named Ranges</vt:lpstr>
      </vt:variant>
      <vt:variant>
        <vt:i4>44</vt:i4>
      </vt:variant>
    </vt:vector>
  </HeadingPairs>
  <TitlesOfParts>
    <vt:vector size="93" baseType="lpstr">
      <vt:lpstr>LDC Info</vt:lpstr>
      <vt:lpstr>Index</vt:lpstr>
      <vt:lpstr>COS Flowchart</vt:lpstr>
      <vt:lpstr>List of Key References</vt:lpstr>
      <vt:lpstr>App.2-A_Requested_Approvals</vt:lpstr>
      <vt:lpstr>App.2-AA_Capital Projects</vt:lpstr>
      <vt:lpstr>App.2-AB_Capital Expenditures</vt:lpstr>
      <vt:lpstr>App.2-AC_Customer Engagement</vt:lpstr>
      <vt:lpstr>App.2-B_Acctg Instructions</vt:lpstr>
      <vt:lpstr>App.2-BA_Fixed Asset Cont</vt:lpstr>
      <vt:lpstr>Appendix 2-BB Service Life  </vt:lpstr>
      <vt:lpstr>App.2-CA_OldCGAAPDepExp_Yr1</vt:lpstr>
      <vt:lpstr>App.2-CB_NewCGAAP_DepExp_Yr1</vt:lpstr>
      <vt:lpstr>App.2-CC_DepExp_Yr2</vt:lpstr>
      <vt:lpstr>App.2-CD_DepExp_Yr3</vt:lpstr>
      <vt:lpstr>App.2-CE_DepExp_Yr4</vt:lpstr>
      <vt:lpstr>App.2-CF_DepExp_Yr5</vt:lpstr>
      <vt:lpstr>App.2-CG_DepExp_Yr6</vt:lpstr>
      <vt:lpstr>App.2-CH_DepExp</vt:lpstr>
      <vt:lpstr>App.2-D_Overhead</vt:lpstr>
      <vt:lpstr>App.2-EA_Account 1575 (2015)</vt:lpstr>
      <vt:lpstr>App.2-EB_Account 1576 (2012)</vt:lpstr>
      <vt:lpstr>App.2-EC_Account 1576 (2013)</vt:lpstr>
      <vt:lpstr>App.2-FA Proposed REG Invest.</vt:lpstr>
      <vt:lpstr>App.2-FB Calc of REG Improvemnt</vt:lpstr>
      <vt:lpstr>App.2-FC Calc of REG Expansion</vt:lpstr>
      <vt:lpstr>App.2-G SQI</vt:lpstr>
      <vt:lpstr>App.2-H_Other_Oper_Rev</vt:lpstr>
      <vt:lpstr>App_2-I LF_CDM</vt:lpstr>
      <vt:lpstr>App.2-IA_Load_Forecast_Instrct</vt:lpstr>
      <vt:lpstr>App.2-IB_Load_Forecast_Analysis</vt:lpstr>
      <vt:lpstr>App.2-JA_OM&amp;A_Summary_Analys</vt:lpstr>
      <vt:lpstr>App.2-JB_OM&amp;A_Cost _Drivers</vt:lpstr>
      <vt:lpstr>App.2-JC_OMA Programs</vt:lpstr>
      <vt:lpstr>App.2-K_Employee Costs</vt:lpstr>
      <vt:lpstr>App.2-KA_P_OPEBs</vt:lpstr>
      <vt:lpstr>App.2-L_OM&amp;A_per_Cust_FTE</vt:lpstr>
      <vt:lpstr>App.2-L_OM&amp;A_per_Cust_FTEE_exp</vt:lpstr>
      <vt:lpstr>App.2-M_Regulatory_Costs</vt:lpstr>
      <vt:lpstr>App.2-N_Corp_Cost_Allocation</vt:lpstr>
      <vt:lpstr>App.2-OA Capital Structure</vt:lpstr>
      <vt:lpstr>App.2-OB_Debt Instruments</vt:lpstr>
      <vt:lpstr>App.2-Q_Cost of Serv. Emb. Dx</vt:lpstr>
      <vt:lpstr>App.2-R_Loss Factors</vt:lpstr>
      <vt:lpstr>App.2-S_Stranded Meters</vt:lpstr>
      <vt:lpstr>App.2-Y_MIFRS Summary Impacts</vt:lpstr>
      <vt:lpstr>Sheet19</vt:lpstr>
      <vt:lpstr>App.2-YA_IFRS Transition Costs</vt:lpstr>
      <vt:lpstr>Sheet1</vt:lpstr>
      <vt:lpstr>'App_2-I LF_CDM'!BridgeYear</vt:lpstr>
      <vt:lpstr>BridgeYear</vt:lpstr>
      <vt:lpstr>'App_2-I LF_CDM'!EBNUMBER</vt:lpstr>
      <vt:lpstr>EBNUMBER</vt:lpstr>
      <vt:lpstr>'List of Key References'!infra</vt:lpstr>
      <vt:lpstr>LDCLIST</vt:lpstr>
      <vt:lpstr>'List of Key References'!OLE_LINK1</vt:lpstr>
      <vt:lpstr>'List of Key References'!OLE_LINK7</vt:lpstr>
      <vt:lpstr>'App.2-A_Requested_Approvals'!Print_Area</vt:lpstr>
      <vt:lpstr>'App.2-AA_Capital Projects'!Print_Area</vt:lpstr>
      <vt:lpstr>'App.2-B_Acctg Instructions'!Print_Area</vt:lpstr>
      <vt:lpstr>'App.2-BA_Fixed Asset Cont'!Print_Area</vt:lpstr>
      <vt:lpstr>'App.2-CA_OldCGAAPDepExp_Yr1'!Print_Area</vt:lpstr>
      <vt:lpstr>'App.2-CB_NewCGAAP_DepExp_Yr1'!Print_Area</vt:lpstr>
      <vt:lpstr>'App.2-CC_DepExp_Yr2'!Print_Area</vt:lpstr>
      <vt:lpstr>'App.2-CD_DepExp_Yr3'!Print_Area</vt:lpstr>
      <vt:lpstr>'App.2-CE_DepExp_Yr4'!Print_Area</vt:lpstr>
      <vt:lpstr>'App.2-CF_DepExp_Yr5'!Print_Area</vt:lpstr>
      <vt:lpstr>'App.2-CG_DepExp_Yr6'!Print_Area</vt:lpstr>
      <vt:lpstr>'App.2-CH_DepExp'!Print_Area</vt:lpstr>
      <vt:lpstr>'App.2-D_Overhead'!Print_Area</vt:lpstr>
      <vt:lpstr>'App.2-H_Other_Oper_Rev'!Print_Area</vt:lpstr>
      <vt:lpstr>'App.2-IA_Load_Forecast_Instrct'!Print_Area</vt:lpstr>
      <vt:lpstr>'App.2-JA_OM&amp;A_Summary_Analys'!Print_Area</vt:lpstr>
      <vt:lpstr>'App.2-JB_OM&amp;A_Cost _Drivers'!Print_Area</vt:lpstr>
      <vt:lpstr>'App.2-JC_OMA Programs'!Print_Area</vt:lpstr>
      <vt:lpstr>'App.2-K_Employee Costs'!Print_Area</vt:lpstr>
      <vt:lpstr>'App.2-L_OM&amp;A_per_Cust_FTE'!Print_Area</vt:lpstr>
      <vt:lpstr>'App.2-L_OM&amp;A_per_Cust_FTEE_exp'!Print_Area</vt:lpstr>
      <vt:lpstr>'App.2-M_Regulatory_Costs'!Print_Area</vt:lpstr>
      <vt:lpstr>'App.2-N_Corp_Cost_Allocation'!Print_Area</vt:lpstr>
      <vt:lpstr>'App.2-OA Capital Structure'!Print_Area</vt:lpstr>
      <vt:lpstr>'App.2-OB_Debt Instruments'!Print_Area</vt:lpstr>
      <vt:lpstr>'App.2-Q_Cost of Serv. Emb. Dx'!Print_Area</vt:lpstr>
      <vt:lpstr>'App.2-R_Loss Factors'!Print_Area</vt:lpstr>
      <vt:lpstr>'App.2-S_Stranded Meters'!Print_Area</vt:lpstr>
      <vt:lpstr>'App.2-YA_IFRS Transition Costs'!Print_Area</vt:lpstr>
      <vt:lpstr>'COS Flowchart'!Print_Area</vt:lpstr>
      <vt:lpstr>Index!Print_Area</vt:lpstr>
      <vt:lpstr>'LDC Info'!Print_Area</vt:lpstr>
      <vt:lpstr>'App_2-I LF_CDM'!RebaseYear</vt:lpstr>
      <vt:lpstr>RebaseYear</vt:lpstr>
      <vt:lpstr>'App_2-I LF_CDM'!TestYear</vt:lpstr>
      <vt:lpstr>TestYear</vt:lpstr>
    </vt:vector>
  </TitlesOfParts>
  <Company>Ontario Energy Board</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ArmstrBi</dc:creator>
  <cp:lastModifiedBy>Becky Proctor</cp:lastModifiedBy>
  <cp:lastPrinted>2016-11-03T19:26:01Z</cp:lastPrinted>
  <dcterms:created xsi:type="dcterms:W3CDTF">2009-03-26T15:32:04Z</dcterms:created>
  <dcterms:modified xsi:type="dcterms:W3CDTF">2016-11-03T19:28:20Z</dcterms:modified>
</cp:coreProperties>
</file>