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7.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8.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9.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10.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11.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12.xml" ContentType="application/vnd.openxmlformats-officedocument.drawing+xml"/>
  <Override PartName="/xl/ctrlProps/ctrlProp1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F8BD" lockStructure="1"/>
  <bookViews>
    <workbookView xWindow="-165" yWindow="1890" windowWidth="18960" windowHeight="8970" tabRatio="971"/>
  </bookViews>
  <sheets>
    <sheet name="LDC Info" sheetId="32" r:id="rId1"/>
    <sheet name="Index" sheetId="10" r:id="rId2"/>
    <sheet name="COS Flowchart" sheetId="26" r:id="rId3"/>
    <sheet name="List of Key References" sheetId="99" r:id="rId4"/>
    <sheet name="App.2-A_Requested_Approvals" sheetId="135" r:id="rId5"/>
    <sheet name="App.2-AA_Capital Projects" sheetId="11" r:id="rId6"/>
    <sheet name="App.2-AB_Capital Expenditures" sheetId="102" r:id="rId7"/>
    <sheet name="App.2-AC_Customer Engagement" sheetId="110" r:id="rId8"/>
    <sheet name="App.2-B_Acctg Instructions" sheetId="77" r:id="rId9"/>
    <sheet name="App.2-BA_Fixed Asset Cont" sheetId="100" r:id="rId10"/>
    <sheet name="Appendix 2-BB Service Life  " sheetId="109" r:id="rId11"/>
    <sheet name="App.2-CA_OldCGAAPDepExp_Yr1" sheetId="58" r:id="rId12"/>
    <sheet name="App.2-CB_NewCGAAP_DepExp_Yr1" sheetId="59" r:id="rId13"/>
    <sheet name="App.2-CC_DepExp_Yr2" sheetId="60" r:id="rId14"/>
    <sheet name="App.2-CD_DepExp_Yr3" sheetId="61" r:id="rId15"/>
    <sheet name="App.2-CE_DepExp_Yr4" sheetId="62" r:id="rId16"/>
    <sheet name="App.2-CF_DepExp_Yr5" sheetId="120" r:id="rId17"/>
    <sheet name="App.2-CG_DepExp_Yr6" sheetId="130" r:id="rId18"/>
    <sheet name="App.2-CH_DepExp" sheetId="87" r:id="rId19"/>
    <sheet name="App.2-D_Overhead" sheetId="71" r:id="rId20"/>
    <sheet name="App.2-EA_Account 1575 (2015)" sheetId="118" r:id="rId21"/>
    <sheet name="App.2-EB_Account 1576 (2012)" sheetId="75" r:id="rId22"/>
    <sheet name="App.2-EC_Account 1576 (2013)" sheetId="119" r:id="rId23"/>
    <sheet name="App.2-FA Proposed REG Invest." sheetId="55" r:id="rId24"/>
    <sheet name="App.2-FB Calc of REG Improvemnt" sheetId="54" r:id="rId25"/>
    <sheet name="App.2-FC Calc of REG Expansion" sheetId="98" r:id="rId26"/>
    <sheet name="App.2-G SQI" sheetId="53" r:id="rId27"/>
    <sheet name="App.2-H_Other_Oper_Rev" sheetId="14" r:id="rId28"/>
    <sheet name="App_2-I LF_CDM" sheetId="122" r:id="rId29"/>
    <sheet name="App.2-IA_Load_Forecast_Instrct" sheetId="132" r:id="rId30"/>
    <sheet name="App.2-IB_Load_Forecast_Analysis" sheetId="133" r:id="rId31"/>
    <sheet name="App.2-JA_OM&amp;A_Summary_Analys" sheetId="49" r:id="rId32"/>
    <sheet name="App.2-JB_OM&amp;A_Cost _Drivers" sheetId="15" r:id="rId33"/>
    <sheet name="App.2-JC_OMA Programs" sheetId="105" r:id="rId34"/>
    <sheet name="App.2-K_Employee Costs" sheetId="5" r:id="rId35"/>
    <sheet name="App.2-KA_P_OPEBs" sheetId="131" r:id="rId36"/>
    <sheet name="App.2-L_OM&amp;A_per_Cust_FTE" sheetId="136" r:id="rId37"/>
    <sheet name="App.2-L_OM&amp;A_per_Cust_FTEE_exp" sheetId="20" state="hidden" r:id="rId38"/>
    <sheet name="App.2-M_Regulatory_Costs" sheetId="12" r:id="rId39"/>
    <sheet name="App.2-N_Corp_Cost_Allocation" sheetId="18" r:id="rId40"/>
    <sheet name="App.2-OA Capital Structure" sheetId="50" r:id="rId41"/>
    <sheet name="App.2-OB_Debt Instruments" sheetId="6" r:id="rId42"/>
    <sheet name="App.2-Q_Cost of Serv. Emb. Dx" sheetId="34" r:id="rId43"/>
    <sheet name="App.2-R_Loss Factors" sheetId="21" r:id="rId44"/>
    <sheet name="App.2-S_Stranded Meters" sheetId="23" r:id="rId45"/>
    <sheet name="App.2-Y_MIFRS Summary Impacts" sheetId="81" r:id="rId46"/>
    <sheet name="Sheet19" sheetId="96" state="hidden" r:id="rId47"/>
    <sheet name="App.2-YA_IFRS Transition Costs" sheetId="80" r:id="rId48"/>
    <sheet name="Sheet1" sheetId="134" r:id="rId49"/>
  </sheets>
  <externalReferences>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s>
  <definedNames>
    <definedName name="_ftn1" localSheetId="8">'App.2-B_Acctg Instructions'!#REF!</definedName>
    <definedName name="_ftnref1" localSheetId="8">'App.2-B_Acctg Instructions'!#REF!</definedName>
    <definedName name="BI_LDCLIST">'[1]3. Rate Class Selection'!$B$19:$B$21</definedName>
    <definedName name="BridgeYear" localSheetId="28">'LDC Info'!$E$26</definedName>
    <definedName name="BridgeYear" localSheetId="10">'[2]LDC Info'!$E$26</definedName>
    <definedName name="BridgeYear">'LDC Info'!$E$26</definedName>
    <definedName name="contactf" localSheetId="16">#REF!</definedName>
    <definedName name="contactf" localSheetId="17">#REF!</definedName>
    <definedName name="contactf" localSheetId="20">#REF!</definedName>
    <definedName name="contactf" localSheetId="22">#REF!</definedName>
    <definedName name="contactf" localSheetId="30">#REF!</definedName>
    <definedName name="contactf" localSheetId="36">#REF!</definedName>
    <definedName name="contactf" localSheetId="28">#REF!</definedName>
    <definedName name="contactf" localSheetId="10">#REF!</definedName>
    <definedName name="contactf">#REF!</definedName>
    <definedName name="CustomerAdministration" localSheetId="28">[3]lists!$Z$1:$Z$36</definedName>
    <definedName name="CustomerAdministration" localSheetId="10">[2]lists!$Z$1:$Z$36</definedName>
    <definedName name="CustomerAdministration">[3]lists!$Z$1:$Z$36</definedName>
    <definedName name="EBNUMBER" localSheetId="28">'LDC Info'!$E$16</definedName>
    <definedName name="EBNUMBER" localSheetId="10">'[2]LDC Info'!$E$16</definedName>
    <definedName name="EBNUMBER">'LDC Info'!$E$16</definedName>
    <definedName name="Fixed_Charges" localSheetId="28">[3]lists!$I$1:$I$212</definedName>
    <definedName name="Fixed_Charges" localSheetId="10">[2]lists!$I$1:$I$185</definedName>
    <definedName name="Fixed_Charges">[3]lists!$I$1:$I$212</definedName>
    <definedName name="histdate">[4]Financials!$E$76</definedName>
    <definedName name="Incr2000" localSheetId="16">#REF!</definedName>
    <definedName name="Incr2000" localSheetId="17">#REF!</definedName>
    <definedName name="Incr2000" localSheetId="20">#REF!</definedName>
    <definedName name="Incr2000" localSheetId="22">#REF!</definedName>
    <definedName name="Incr2000" localSheetId="30">#REF!</definedName>
    <definedName name="Incr2000" localSheetId="36">#REF!</definedName>
    <definedName name="Incr2000" localSheetId="28">#REF!</definedName>
    <definedName name="Incr2000" localSheetId="10">#REF!</definedName>
    <definedName name="Incr2000">#REF!</definedName>
    <definedName name="infra" localSheetId="3">'List of Key References'!$B$41</definedName>
    <definedName name="IRMWG" localSheetId="8">'App.2-B_Acctg Instructions'!#REF!</definedName>
    <definedName name="LDC_LIST" localSheetId="10">[5]lists!$AM$1:$AM$80</definedName>
    <definedName name="LDC_LIST">[6]lists!$AM$1:$AM$80</definedName>
    <definedName name="LDCLIST" localSheetId="8">#REF!</definedName>
    <definedName name="LDCLIST" localSheetId="9">#REF!</definedName>
    <definedName name="LDCLIST" localSheetId="20">#REF!</definedName>
    <definedName name="LDCLIST" localSheetId="40">'[7]LDC Info'!$AA$3:$AA$79</definedName>
    <definedName name="LDCLIST">'LDC Info'!$AA$3:$AA$77</definedName>
    <definedName name="LDCNAMES">[3]lists!$AL$1:$AL$78</definedName>
    <definedName name="LIMIT" localSheetId="16">#REF!</definedName>
    <definedName name="LIMIT" localSheetId="17">#REF!</definedName>
    <definedName name="LIMIT" localSheetId="20">#REF!</definedName>
    <definedName name="LIMIT" localSheetId="22">#REF!</definedName>
    <definedName name="LIMIT" localSheetId="30">#REF!</definedName>
    <definedName name="LIMIT" localSheetId="36">#REF!</definedName>
    <definedName name="LIMIT" localSheetId="28">#REF!</definedName>
    <definedName name="LIMIT" localSheetId="10">#REF!</definedName>
    <definedName name="LIMIT">#REF!</definedName>
    <definedName name="LossFactors" localSheetId="28">[3]lists!$L$2:$L$15</definedName>
    <definedName name="LossFactors" localSheetId="10">[2]lists!$L$2:$L$15</definedName>
    <definedName name="LossFactors">[3]lists!$L$2:$L$15</definedName>
    <definedName name="man_beg_bud" localSheetId="16">#REF!</definedName>
    <definedName name="man_beg_bud" localSheetId="17">#REF!</definedName>
    <definedName name="man_beg_bud" localSheetId="20">#REF!</definedName>
    <definedName name="man_beg_bud" localSheetId="22">#REF!</definedName>
    <definedName name="man_beg_bud" localSheetId="30">#REF!</definedName>
    <definedName name="man_beg_bud" localSheetId="36">#REF!</definedName>
    <definedName name="man_beg_bud" localSheetId="28">#REF!</definedName>
    <definedName name="man_beg_bud" localSheetId="10">#REF!</definedName>
    <definedName name="man_beg_bud">#REF!</definedName>
    <definedName name="man_end_bud" localSheetId="16">#REF!</definedName>
    <definedName name="man_end_bud" localSheetId="17">#REF!</definedName>
    <definedName name="man_end_bud" localSheetId="20">#REF!</definedName>
    <definedName name="man_end_bud" localSheetId="22">#REF!</definedName>
    <definedName name="man_end_bud" localSheetId="30">#REF!</definedName>
    <definedName name="man_end_bud" localSheetId="36">#REF!</definedName>
    <definedName name="man_end_bud" localSheetId="28">#REF!</definedName>
    <definedName name="man_end_bud" localSheetId="10">#REF!</definedName>
    <definedName name="man_end_bud">#REF!</definedName>
    <definedName name="man12ACT" localSheetId="16">#REF!</definedName>
    <definedName name="man12ACT" localSheetId="17">#REF!</definedName>
    <definedName name="man12ACT" localSheetId="20">#REF!</definedName>
    <definedName name="man12ACT" localSheetId="22">#REF!</definedName>
    <definedName name="man12ACT" localSheetId="30">#REF!</definedName>
    <definedName name="man12ACT" localSheetId="36">#REF!</definedName>
    <definedName name="man12ACT" localSheetId="28">#REF!</definedName>
    <definedName name="man12ACT" localSheetId="10">#REF!</definedName>
    <definedName name="man12ACT">#REF!</definedName>
    <definedName name="MANBUD" localSheetId="16">#REF!</definedName>
    <definedName name="MANBUD" localSheetId="17">#REF!</definedName>
    <definedName name="MANBUD" localSheetId="20">#REF!</definedName>
    <definedName name="MANBUD" localSheetId="22">#REF!</definedName>
    <definedName name="MANBUD" localSheetId="30">#REF!</definedName>
    <definedName name="MANBUD" localSheetId="36">#REF!</definedName>
    <definedName name="MANBUD" localSheetId="28">#REF!</definedName>
    <definedName name="MANBUD">#REF!</definedName>
    <definedName name="manCYACT" localSheetId="16">#REF!</definedName>
    <definedName name="manCYACT" localSheetId="17">#REF!</definedName>
    <definedName name="manCYACT" localSheetId="20">#REF!</definedName>
    <definedName name="manCYACT" localSheetId="22">#REF!</definedName>
    <definedName name="manCYACT" localSheetId="30">#REF!</definedName>
    <definedName name="manCYACT" localSheetId="36">#REF!</definedName>
    <definedName name="manCYACT" localSheetId="28">#REF!</definedName>
    <definedName name="manCYACT">#REF!</definedName>
    <definedName name="manCYBUD" localSheetId="16">#REF!</definedName>
    <definedName name="manCYBUD" localSheetId="17">#REF!</definedName>
    <definedName name="manCYBUD" localSheetId="20">#REF!</definedName>
    <definedName name="manCYBUD" localSheetId="22">#REF!</definedName>
    <definedName name="manCYBUD" localSheetId="30">#REF!</definedName>
    <definedName name="manCYBUD" localSheetId="36">#REF!</definedName>
    <definedName name="manCYBUD" localSheetId="28">#REF!</definedName>
    <definedName name="manCYBUD">#REF!</definedName>
    <definedName name="manCYF" localSheetId="16">#REF!</definedName>
    <definedName name="manCYF" localSheetId="17">#REF!</definedName>
    <definedName name="manCYF" localSheetId="20">#REF!</definedName>
    <definedName name="manCYF" localSheetId="22">#REF!</definedName>
    <definedName name="manCYF" localSheetId="30">#REF!</definedName>
    <definedName name="manCYF" localSheetId="36">#REF!</definedName>
    <definedName name="manCYF" localSheetId="28">#REF!</definedName>
    <definedName name="manCYF">#REF!</definedName>
    <definedName name="MANEND" localSheetId="16">#REF!</definedName>
    <definedName name="MANEND" localSheetId="17">#REF!</definedName>
    <definedName name="MANEND" localSheetId="20">#REF!</definedName>
    <definedName name="MANEND" localSheetId="22">#REF!</definedName>
    <definedName name="MANEND" localSheetId="30">#REF!</definedName>
    <definedName name="MANEND" localSheetId="36">#REF!</definedName>
    <definedName name="MANEND" localSheetId="28">#REF!</definedName>
    <definedName name="MANEND">#REF!</definedName>
    <definedName name="manNYbud" localSheetId="16">#REF!</definedName>
    <definedName name="manNYbud" localSheetId="17">#REF!</definedName>
    <definedName name="manNYbud" localSheetId="20">#REF!</definedName>
    <definedName name="manNYbud" localSheetId="22">#REF!</definedName>
    <definedName name="manNYbud" localSheetId="30">#REF!</definedName>
    <definedName name="manNYbud" localSheetId="36">#REF!</definedName>
    <definedName name="manNYbud" localSheetId="28">#REF!</definedName>
    <definedName name="manNYbud">#REF!</definedName>
    <definedName name="manpower_costs" localSheetId="16">#REF!</definedName>
    <definedName name="manpower_costs" localSheetId="17">#REF!</definedName>
    <definedName name="manpower_costs" localSheetId="20">#REF!</definedName>
    <definedName name="manpower_costs" localSheetId="22">#REF!</definedName>
    <definedName name="manpower_costs" localSheetId="30">#REF!</definedName>
    <definedName name="manpower_costs" localSheetId="36">#REF!</definedName>
    <definedName name="manpower_costs" localSheetId="28">#REF!</definedName>
    <definedName name="manpower_costs">#REF!</definedName>
    <definedName name="manPYACT" localSheetId="16">#REF!</definedName>
    <definedName name="manPYACT" localSheetId="17">#REF!</definedName>
    <definedName name="manPYACT" localSheetId="20">#REF!</definedName>
    <definedName name="manPYACT" localSheetId="22">#REF!</definedName>
    <definedName name="manPYACT" localSheetId="30">#REF!</definedName>
    <definedName name="manPYACT" localSheetId="36">#REF!</definedName>
    <definedName name="manPYACT" localSheetId="28">#REF!</definedName>
    <definedName name="manPYACT">#REF!</definedName>
    <definedName name="MANSTART" localSheetId="16">#REF!</definedName>
    <definedName name="MANSTART" localSheetId="17">#REF!</definedName>
    <definedName name="MANSTART" localSheetId="20">#REF!</definedName>
    <definedName name="MANSTART" localSheetId="22">#REF!</definedName>
    <definedName name="MANSTART" localSheetId="30">#REF!</definedName>
    <definedName name="MANSTART" localSheetId="36">#REF!</definedName>
    <definedName name="MANSTART" localSheetId="28">#REF!</definedName>
    <definedName name="MANSTART">#REF!</definedName>
    <definedName name="mat_beg_bud" localSheetId="16">#REF!</definedName>
    <definedName name="mat_beg_bud" localSheetId="17">#REF!</definedName>
    <definedName name="mat_beg_bud" localSheetId="20">#REF!</definedName>
    <definedName name="mat_beg_bud" localSheetId="22">#REF!</definedName>
    <definedName name="mat_beg_bud" localSheetId="30">#REF!</definedName>
    <definedName name="mat_beg_bud" localSheetId="36">#REF!</definedName>
    <definedName name="mat_beg_bud" localSheetId="28">#REF!</definedName>
    <definedName name="mat_beg_bud">#REF!</definedName>
    <definedName name="mat_end_bud" localSheetId="16">#REF!</definedName>
    <definedName name="mat_end_bud" localSheetId="17">#REF!</definedName>
    <definedName name="mat_end_bud" localSheetId="20">#REF!</definedName>
    <definedName name="mat_end_bud" localSheetId="22">#REF!</definedName>
    <definedName name="mat_end_bud" localSheetId="30">#REF!</definedName>
    <definedName name="mat_end_bud" localSheetId="36">#REF!</definedName>
    <definedName name="mat_end_bud" localSheetId="28">#REF!</definedName>
    <definedName name="mat_end_bud">#REF!</definedName>
    <definedName name="mat12ACT" localSheetId="16">#REF!</definedName>
    <definedName name="mat12ACT" localSheetId="17">#REF!</definedName>
    <definedName name="mat12ACT" localSheetId="20">#REF!</definedName>
    <definedName name="mat12ACT" localSheetId="22">#REF!</definedName>
    <definedName name="mat12ACT" localSheetId="30">#REF!</definedName>
    <definedName name="mat12ACT" localSheetId="36">#REF!</definedName>
    <definedName name="mat12ACT" localSheetId="28">#REF!</definedName>
    <definedName name="mat12ACT">#REF!</definedName>
    <definedName name="MATBUD" localSheetId="16">#REF!</definedName>
    <definedName name="MATBUD" localSheetId="17">#REF!</definedName>
    <definedName name="MATBUD" localSheetId="20">#REF!</definedName>
    <definedName name="MATBUD" localSheetId="22">#REF!</definedName>
    <definedName name="MATBUD" localSheetId="30">#REF!</definedName>
    <definedName name="MATBUD" localSheetId="36">#REF!</definedName>
    <definedName name="MATBUD" localSheetId="28">#REF!</definedName>
    <definedName name="MATBUD">#REF!</definedName>
    <definedName name="matCYACT" localSheetId="16">#REF!</definedName>
    <definedName name="matCYACT" localSheetId="17">#REF!</definedName>
    <definedName name="matCYACT" localSheetId="20">#REF!</definedName>
    <definedName name="matCYACT" localSheetId="22">#REF!</definedName>
    <definedName name="matCYACT" localSheetId="30">#REF!</definedName>
    <definedName name="matCYACT" localSheetId="36">#REF!</definedName>
    <definedName name="matCYACT" localSheetId="28">#REF!</definedName>
    <definedName name="matCYACT">#REF!</definedName>
    <definedName name="matCYBUD" localSheetId="16">#REF!</definedName>
    <definedName name="matCYBUD" localSheetId="17">#REF!</definedName>
    <definedName name="matCYBUD" localSheetId="20">#REF!</definedName>
    <definedName name="matCYBUD" localSheetId="22">#REF!</definedName>
    <definedName name="matCYBUD" localSheetId="30">#REF!</definedName>
    <definedName name="matCYBUD" localSheetId="36">#REF!</definedName>
    <definedName name="matCYBUD" localSheetId="28">#REF!</definedName>
    <definedName name="matCYBUD">#REF!</definedName>
    <definedName name="matCYF" localSheetId="16">#REF!</definedName>
    <definedName name="matCYF" localSheetId="17">#REF!</definedName>
    <definedName name="matCYF" localSheetId="20">#REF!</definedName>
    <definedName name="matCYF" localSheetId="22">#REF!</definedName>
    <definedName name="matCYF" localSheetId="30">#REF!</definedName>
    <definedName name="matCYF" localSheetId="36">#REF!</definedName>
    <definedName name="matCYF" localSheetId="28">#REF!</definedName>
    <definedName name="matCYF">#REF!</definedName>
    <definedName name="MATEND" localSheetId="16">#REF!</definedName>
    <definedName name="MATEND" localSheetId="17">#REF!</definedName>
    <definedName name="MATEND" localSheetId="20">#REF!</definedName>
    <definedName name="MATEND" localSheetId="22">#REF!</definedName>
    <definedName name="MATEND" localSheetId="30">#REF!</definedName>
    <definedName name="MATEND" localSheetId="36">#REF!</definedName>
    <definedName name="MATEND" localSheetId="28">#REF!</definedName>
    <definedName name="MATEND">#REF!</definedName>
    <definedName name="material_costs" localSheetId="16">#REF!</definedName>
    <definedName name="material_costs" localSheetId="17">#REF!</definedName>
    <definedName name="material_costs" localSheetId="20">#REF!</definedName>
    <definedName name="material_costs" localSheetId="22">#REF!</definedName>
    <definedName name="material_costs" localSheetId="30">#REF!</definedName>
    <definedName name="material_costs" localSheetId="36">#REF!</definedName>
    <definedName name="material_costs" localSheetId="28">#REF!</definedName>
    <definedName name="material_costs">#REF!</definedName>
    <definedName name="matNYbud" localSheetId="16">#REF!</definedName>
    <definedName name="matNYbud" localSheetId="17">#REF!</definedName>
    <definedName name="matNYbud" localSheetId="20">#REF!</definedName>
    <definedName name="matNYbud" localSheetId="22">#REF!</definedName>
    <definedName name="matNYbud" localSheetId="30">#REF!</definedName>
    <definedName name="matNYbud" localSheetId="36">#REF!</definedName>
    <definedName name="matNYbud" localSheetId="28">#REF!</definedName>
    <definedName name="matNYbud">#REF!</definedName>
    <definedName name="matPYACT" localSheetId="16">#REF!</definedName>
    <definedName name="matPYACT" localSheetId="17">#REF!</definedName>
    <definedName name="matPYACT" localSheetId="20">#REF!</definedName>
    <definedName name="matPYACT" localSheetId="22">#REF!</definedName>
    <definedName name="matPYACT" localSheetId="30">#REF!</definedName>
    <definedName name="matPYACT" localSheetId="36">#REF!</definedName>
    <definedName name="matPYACT" localSheetId="28">#REF!</definedName>
    <definedName name="matPYACT">#REF!</definedName>
    <definedName name="MATSTART" localSheetId="16">#REF!</definedName>
    <definedName name="MATSTART" localSheetId="17">#REF!</definedName>
    <definedName name="MATSTART" localSheetId="20">#REF!</definedName>
    <definedName name="MATSTART" localSheetId="22">#REF!</definedName>
    <definedName name="MATSTART" localSheetId="30">#REF!</definedName>
    <definedName name="MATSTART" localSheetId="36">#REF!</definedName>
    <definedName name="MATSTART" localSheetId="28">#REF!</definedName>
    <definedName name="MATSTART">#REF!</definedName>
    <definedName name="NonPayment" localSheetId="28">[3]lists!$AA$1:$AA$71</definedName>
    <definedName name="NonPayment" localSheetId="10">[2]lists!$AA$1:$AA$71</definedName>
    <definedName name="NonPayment">[3]lists!$AA$1:$AA$71</definedName>
    <definedName name="OLE_LINK1" localSheetId="3">'List of Key References'!$A$5</definedName>
    <definedName name="OLE_LINK7" localSheetId="3">'List of Key References'!$B$22</definedName>
    <definedName name="oth_beg_bud" localSheetId="16">#REF!</definedName>
    <definedName name="oth_beg_bud" localSheetId="17">#REF!</definedName>
    <definedName name="oth_beg_bud" localSheetId="20">#REF!</definedName>
    <definedName name="oth_beg_bud" localSheetId="22">#REF!</definedName>
    <definedName name="oth_beg_bud" localSheetId="30">#REF!</definedName>
    <definedName name="oth_beg_bud" localSheetId="36">#REF!</definedName>
    <definedName name="oth_beg_bud" localSheetId="28">#REF!</definedName>
    <definedName name="oth_beg_bud" localSheetId="10">#REF!</definedName>
    <definedName name="oth_beg_bud">#REF!</definedName>
    <definedName name="oth_end_bud" localSheetId="16">#REF!</definedName>
    <definedName name="oth_end_bud" localSheetId="17">#REF!</definedName>
    <definedName name="oth_end_bud" localSheetId="20">#REF!</definedName>
    <definedName name="oth_end_bud" localSheetId="22">#REF!</definedName>
    <definedName name="oth_end_bud" localSheetId="30">#REF!</definedName>
    <definedName name="oth_end_bud" localSheetId="36">#REF!</definedName>
    <definedName name="oth_end_bud" localSheetId="28">#REF!</definedName>
    <definedName name="oth_end_bud" localSheetId="10">#REF!</definedName>
    <definedName name="oth_end_bud">#REF!</definedName>
    <definedName name="oth12ACT" localSheetId="16">#REF!</definedName>
    <definedName name="oth12ACT" localSheetId="17">#REF!</definedName>
    <definedName name="oth12ACT" localSheetId="20">#REF!</definedName>
    <definedName name="oth12ACT" localSheetId="22">#REF!</definedName>
    <definedName name="oth12ACT" localSheetId="30">#REF!</definedName>
    <definedName name="oth12ACT" localSheetId="36">#REF!</definedName>
    <definedName name="oth12ACT" localSheetId="28">#REF!</definedName>
    <definedName name="oth12ACT" localSheetId="10">#REF!</definedName>
    <definedName name="oth12ACT">#REF!</definedName>
    <definedName name="othCYACT" localSheetId="16">#REF!</definedName>
    <definedName name="othCYACT" localSheetId="17">#REF!</definedName>
    <definedName name="othCYACT" localSheetId="20">#REF!</definedName>
    <definedName name="othCYACT" localSheetId="22">#REF!</definedName>
    <definedName name="othCYACT" localSheetId="30">#REF!</definedName>
    <definedName name="othCYACT" localSheetId="36">#REF!</definedName>
    <definedName name="othCYACT" localSheetId="28">#REF!</definedName>
    <definedName name="othCYACT">#REF!</definedName>
    <definedName name="othCYBUD" localSheetId="16">#REF!</definedName>
    <definedName name="othCYBUD" localSheetId="17">#REF!</definedName>
    <definedName name="othCYBUD" localSheetId="20">#REF!</definedName>
    <definedName name="othCYBUD" localSheetId="22">#REF!</definedName>
    <definedName name="othCYBUD" localSheetId="30">#REF!</definedName>
    <definedName name="othCYBUD" localSheetId="36">#REF!</definedName>
    <definedName name="othCYBUD" localSheetId="28">#REF!</definedName>
    <definedName name="othCYBUD">#REF!</definedName>
    <definedName name="othCYF" localSheetId="16">#REF!</definedName>
    <definedName name="othCYF" localSheetId="17">#REF!</definedName>
    <definedName name="othCYF" localSheetId="20">#REF!</definedName>
    <definedName name="othCYF" localSheetId="22">#REF!</definedName>
    <definedName name="othCYF" localSheetId="30">#REF!</definedName>
    <definedName name="othCYF" localSheetId="36">#REF!</definedName>
    <definedName name="othCYF" localSheetId="28">#REF!</definedName>
    <definedName name="othCYF">#REF!</definedName>
    <definedName name="OTHEND" localSheetId="16">#REF!</definedName>
    <definedName name="OTHEND" localSheetId="17">#REF!</definedName>
    <definedName name="OTHEND" localSheetId="20">#REF!</definedName>
    <definedName name="OTHEND" localSheetId="22">#REF!</definedName>
    <definedName name="OTHEND" localSheetId="30">#REF!</definedName>
    <definedName name="OTHEND" localSheetId="36">#REF!</definedName>
    <definedName name="OTHEND" localSheetId="28">#REF!</definedName>
    <definedName name="OTHEND">#REF!</definedName>
    <definedName name="other_costs" localSheetId="16">#REF!</definedName>
    <definedName name="other_costs" localSheetId="17">#REF!</definedName>
    <definedName name="other_costs" localSheetId="20">#REF!</definedName>
    <definedName name="other_costs" localSheetId="22">#REF!</definedName>
    <definedName name="other_costs" localSheetId="30">#REF!</definedName>
    <definedName name="other_costs" localSheetId="36">#REF!</definedName>
    <definedName name="other_costs" localSheetId="28">#REF!</definedName>
    <definedName name="other_costs">#REF!</definedName>
    <definedName name="OTHERBUD" localSheetId="16">#REF!</definedName>
    <definedName name="OTHERBUD" localSheetId="17">#REF!</definedName>
    <definedName name="OTHERBUD" localSheetId="20">#REF!</definedName>
    <definedName name="OTHERBUD" localSheetId="22">#REF!</definedName>
    <definedName name="OTHERBUD" localSheetId="30">#REF!</definedName>
    <definedName name="OTHERBUD" localSheetId="36">#REF!</definedName>
    <definedName name="OTHERBUD" localSheetId="28">#REF!</definedName>
    <definedName name="OTHERBUD">#REF!</definedName>
    <definedName name="othNYbud" localSheetId="16">#REF!</definedName>
    <definedName name="othNYbud" localSheetId="17">#REF!</definedName>
    <definedName name="othNYbud" localSheetId="20">#REF!</definedName>
    <definedName name="othNYbud" localSheetId="22">#REF!</definedName>
    <definedName name="othNYbud" localSheetId="30">#REF!</definedName>
    <definedName name="othNYbud" localSheetId="36">#REF!</definedName>
    <definedName name="othNYbud" localSheetId="28">#REF!</definedName>
    <definedName name="othNYbud">#REF!</definedName>
    <definedName name="othPYACT" localSheetId="16">#REF!</definedName>
    <definedName name="othPYACT" localSheetId="17">#REF!</definedName>
    <definedName name="othPYACT" localSheetId="20">#REF!</definedName>
    <definedName name="othPYACT" localSheetId="22">#REF!</definedName>
    <definedName name="othPYACT" localSheetId="30">#REF!</definedName>
    <definedName name="othPYACT" localSheetId="36">#REF!</definedName>
    <definedName name="othPYACT" localSheetId="28">#REF!</definedName>
    <definedName name="othPYACT">#REF!</definedName>
    <definedName name="OTHSTART" localSheetId="16">#REF!</definedName>
    <definedName name="OTHSTART" localSheetId="17">#REF!</definedName>
    <definedName name="OTHSTART" localSheetId="20">#REF!</definedName>
    <definedName name="OTHSTART" localSheetId="22">#REF!</definedName>
    <definedName name="OTHSTART" localSheetId="30">#REF!</definedName>
    <definedName name="OTHSTART" localSheetId="36">#REF!</definedName>
    <definedName name="OTHSTART" localSheetId="28">#REF!</definedName>
    <definedName name="OTHSTART">#REF!</definedName>
    <definedName name="_xlnm.Print_Area" localSheetId="4">'App.2-A_Requested_Approvals'!$A$1:$H$45</definedName>
    <definedName name="_xlnm.Print_Area" localSheetId="5">'App.2-AA_Capital Projects'!$A$1:$I$177</definedName>
    <definedName name="_xlnm.Print_Area" localSheetId="8">'App.2-B_Acctg Instructions'!$A$1:$P$82</definedName>
    <definedName name="_xlnm.Print_Area" localSheetId="9">'App.2-BA_Fixed Asset Cont'!$A$1:$M$415</definedName>
    <definedName name="_xlnm.Print_Area" localSheetId="11">'App.2-CA_OldCGAAPDepExp_Yr1'!$A$1:$L$67</definedName>
    <definedName name="_xlnm.Print_Area" localSheetId="12">'App.2-CB_NewCGAAP_DepExp_Yr1'!$A$1:$O$71</definedName>
    <definedName name="_xlnm.Print_Area" localSheetId="13">'App.2-CC_DepExp_Yr2'!$A$1:$K$66</definedName>
    <definedName name="_xlnm.Print_Area" localSheetId="14">'App.2-CD_DepExp_Yr3'!$A$1:$K$73</definedName>
    <definedName name="_xlnm.Print_Area" localSheetId="15">'App.2-CE_DepExp_Yr4'!$A$1:$K$67</definedName>
    <definedName name="_xlnm.Print_Area" localSheetId="16">'App.2-CF_DepExp_Yr5'!$A$1:$K$67</definedName>
    <definedName name="_xlnm.Print_Area" localSheetId="17">'App.2-CG_DepExp_Yr6'!$A$1:$K$67</definedName>
    <definedName name="_xlnm.Print_Area" localSheetId="18">'App.2-CH_DepExp'!$A$1:$L$310</definedName>
    <definedName name="_xlnm.Print_Area" localSheetId="19">'App.2-D_Overhead'!$A$1:$H$49</definedName>
    <definedName name="_xlnm.Print_Area" localSheetId="27">'App.2-H_Other_Oper_Rev'!$A$1:$H$66</definedName>
    <definedName name="_xlnm.Print_Area" localSheetId="29">'App.2-IA_Load_Forecast_Instrct'!$A$1:$R$44</definedName>
    <definedName name="_xlnm.Print_Area" localSheetId="31">'App.2-JA_OM&amp;A_Summary_Analys'!$A$1:$M$61</definedName>
    <definedName name="_xlnm.Print_Area" localSheetId="32">'App.2-JB_OM&amp;A_Cost _Drivers'!$A$1:$I$33</definedName>
    <definedName name="_xlnm.Print_Area" localSheetId="33">'App.2-JC_OMA Programs'!$A$1:$J$37</definedName>
    <definedName name="_xlnm.Print_Area" localSheetId="34">'App.2-K_Employee Costs'!$A$1:$H$32</definedName>
    <definedName name="_xlnm.Print_Area" localSheetId="36">'App.2-L_OM&amp;A_per_Cust_FTE'!$A$1:$J$38</definedName>
    <definedName name="_xlnm.Print_Area" localSheetId="37">'App.2-L_OM&amp;A_per_Cust_FTEE_exp'!$A$1:$L$39</definedName>
    <definedName name="_xlnm.Print_Area" localSheetId="38">'App.2-M_Regulatory_Costs'!$A$1:$K$46</definedName>
    <definedName name="_xlnm.Print_Area" localSheetId="39">'App.2-N_Corp_Cost_Allocation'!$A$1:$G$172</definedName>
    <definedName name="_xlnm.Print_Area" localSheetId="40">'App.2-OA Capital Structure'!$A$1:$P$32</definedName>
    <definedName name="_xlnm.Print_Area" localSheetId="41">'App.2-OB_Debt Instruments'!$A$1:$K$68</definedName>
    <definedName name="_xlnm.Print_Area" localSheetId="42">'App.2-Q_Cost of Serv. Emb. Dx'!$A$1:$G$60</definedName>
    <definedName name="_xlnm.Print_Area" localSheetId="43">'App.2-R_Loss Factors'!$A$1:$H$70</definedName>
    <definedName name="_xlnm.Print_Area" localSheetId="44">'App.2-S_Stranded Meters'!$A$1:$H$95</definedName>
    <definedName name="_xlnm.Print_Area" localSheetId="47">'App.2-YA_IFRS Transition Costs'!$A$1:$N$34</definedName>
    <definedName name="_xlnm.Print_Area" localSheetId="2">'COS Flowchart'!$A$1:$G$39</definedName>
    <definedName name="_xlnm.Print_Area" localSheetId="1">Index!$A$1:$G$42</definedName>
    <definedName name="_xlnm.Print_Area" localSheetId="0">'LDC Info'!$A$1:$M$55</definedName>
    <definedName name="print_end" localSheetId="16">#REF!</definedName>
    <definedName name="print_end" localSheetId="17">#REF!</definedName>
    <definedName name="print_end" localSheetId="20">#REF!</definedName>
    <definedName name="print_end" localSheetId="22">#REF!</definedName>
    <definedName name="print_end" localSheetId="30">#REF!</definedName>
    <definedName name="print_end" localSheetId="36">#REF!</definedName>
    <definedName name="print_end" localSheetId="28">#REF!</definedName>
    <definedName name="print_end" localSheetId="10">#REF!</definedName>
    <definedName name="print_end">#REF!</definedName>
    <definedName name="Rate_Class" localSheetId="10">[2]lists!$A$1:$A$104</definedName>
    <definedName name="Rate_Class">[3]lists!$A$2:$A$105</definedName>
    <definedName name="RATE_CLASSES">[3]lists!$A$1:$A$104</definedName>
    <definedName name="ratedescription" localSheetId="10">[8]hidden1!$D$1:$D$122</definedName>
    <definedName name="ratedescription">[9]hidden1!$D$1:$D$122</definedName>
    <definedName name="RebaseYear" localSheetId="28">'LDC Info'!$E$28</definedName>
    <definedName name="RebaseYear" localSheetId="10">'[2]LDC Info'!$E$28</definedName>
    <definedName name="RebaseYear">'LDC Info'!$E$28</definedName>
    <definedName name="SALBENF" localSheetId="16">#REF!</definedName>
    <definedName name="SALBENF" localSheetId="17">#REF!</definedName>
    <definedName name="SALBENF" localSheetId="20">#REF!</definedName>
    <definedName name="SALBENF" localSheetId="22">#REF!</definedName>
    <definedName name="SALBENF" localSheetId="30">#REF!</definedName>
    <definedName name="SALBENF" localSheetId="36">#REF!</definedName>
    <definedName name="SALBENF" localSheetId="28">#REF!</definedName>
    <definedName name="SALBENF" localSheetId="10">#REF!</definedName>
    <definedName name="SALBENF">#REF!</definedName>
    <definedName name="salreg" localSheetId="16">#REF!</definedName>
    <definedName name="salreg" localSheetId="17">#REF!</definedName>
    <definedName name="salreg" localSheetId="20">#REF!</definedName>
    <definedName name="salreg" localSheetId="22">#REF!</definedName>
    <definedName name="salreg" localSheetId="30">#REF!</definedName>
    <definedName name="salreg" localSheetId="36">#REF!</definedName>
    <definedName name="salreg" localSheetId="28">#REF!</definedName>
    <definedName name="salreg" localSheetId="10">#REF!</definedName>
    <definedName name="salreg">#REF!</definedName>
    <definedName name="SALREGF" localSheetId="16">#REF!</definedName>
    <definedName name="SALREGF" localSheetId="17">#REF!</definedName>
    <definedName name="SALREGF" localSheetId="20">#REF!</definedName>
    <definedName name="SALREGF" localSheetId="22">#REF!</definedName>
    <definedName name="SALREGF" localSheetId="30">#REF!</definedName>
    <definedName name="SALREGF" localSheetId="36">#REF!</definedName>
    <definedName name="SALREGF" localSheetId="28">#REF!</definedName>
    <definedName name="SALREGF" localSheetId="10">#REF!</definedName>
    <definedName name="SALREGF">#REF!</definedName>
    <definedName name="TEMPA" localSheetId="16">#REF!</definedName>
    <definedName name="TEMPA" localSheetId="17">#REF!</definedName>
    <definedName name="TEMPA" localSheetId="20">#REF!</definedName>
    <definedName name="TEMPA" localSheetId="22">#REF!</definedName>
    <definedName name="TEMPA" localSheetId="30">#REF!</definedName>
    <definedName name="TEMPA" localSheetId="36">#REF!</definedName>
    <definedName name="TEMPA" localSheetId="28">#REF!</definedName>
    <definedName name="TEMPA">#REF!</definedName>
    <definedName name="TestYear" localSheetId="28">'LDC Info'!$E$24</definedName>
    <definedName name="TestYear" localSheetId="10">'[2]LDC Info'!$E$24</definedName>
    <definedName name="TestYear">'LDC Info'!$E$24</definedName>
    <definedName name="total_dept" localSheetId="16">#REF!</definedName>
    <definedName name="total_dept" localSheetId="17">#REF!</definedName>
    <definedName name="total_dept" localSheetId="20">#REF!</definedName>
    <definedName name="total_dept" localSheetId="22">#REF!</definedName>
    <definedName name="total_dept" localSheetId="30">#REF!</definedName>
    <definedName name="total_dept" localSheetId="36">#REF!</definedName>
    <definedName name="total_dept" localSheetId="28">#REF!</definedName>
    <definedName name="total_dept" localSheetId="10">#REF!</definedName>
    <definedName name="total_dept">#REF!</definedName>
    <definedName name="total_manpower" localSheetId="16">#REF!</definedName>
    <definedName name="total_manpower" localSheetId="17">#REF!</definedName>
    <definedName name="total_manpower" localSheetId="20">#REF!</definedName>
    <definedName name="total_manpower" localSheetId="22">#REF!</definedName>
    <definedName name="total_manpower" localSheetId="30">#REF!</definedName>
    <definedName name="total_manpower" localSheetId="36">#REF!</definedName>
    <definedName name="total_manpower" localSheetId="28">#REF!</definedName>
    <definedName name="total_manpower" localSheetId="10">#REF!</definedName>
    <definedName name="total_manpower">#REF!</definedName>
    <definedName name="total_material" localSheetId="16">#REF!</definedName>
    <definedName name="total_material" localSheetId="17">#REF!</definedName>
    <definedName name="total_material" localSheetId="20">#REF!</definedName>
    <definedName name="total_material" localSheetId="22">#REF!</definedName>
    <definedName name="total_material" localSheetId="30">#REF!</definedName>
    <definedName name="total_material" localSheetId="36">#REF!</definedName>
    <definedName name="total_material" localSheetId="28">#REF!</definedName>
    <definedName name="total_material" localSheetId="10">#REF!</definedName>
    <definedName name="total_material">#REF!</definedName>
    <definedName name="total_other" localSheetId="16">#REF!</definedName>
    <definedName name="total_other" localSheetId="17">#REF!</definedName>
    <definedName name="total_other" localSheetId="20">#REF!</definedName>
    <definedName name="total_other" localSheetId="22">#REF!</definedName>
    <definedName name="total_other" localSheetId="30">#REF!</definedName>
    <definedName name="total_other" localSheetId="36">#REF!</definedName>
    <definedName name="total_other" localSheetId="28">#REF!</definedName>
    <definedName name="total_other">#REF!</definedName>
    <definedName name="total_transportation" localSheetId="16">#REF!</definedName>
    <definedName name="total_transportation" localSheetId="17">#REF!</definedName>
    <definedName name="total_transportation" localSheetId="20">#REF!</definedName>
    <definedName name="total_transportation" localSheetId="22">#REF!</definedName>
    <definedName name="total_transportation" localSheetId="30">#REF!</definedName>
    <definedName name="total_transportation" localSheetId="36">#REF!</definedName>
    <definedName name="total_transportation" localSheetId="28">#REF!</definedName>
    <definedName name="total_transportation">#REF!</definedName>
    <definedName name="TRANBUD" localSheetId="16">#REF!</definedName>
    <definedName name="TRANBUD" localSheetId="17">#REF!</definedName>
    <definedName name="TRANBUD" localSheetId="20">#REF!</definedName>
    <definedName name="TRANBUD" localSheetId="22">#REF!</definedName>
    <definedName name="TRANBUD" localSheetId="30">#REF!</definedName>
    <definedName name="TRANBUD" localSheetId="36">#REF!</definedName>
    <definedName name="TRANBUD" localSheetId="28">#REF!</definedName>
    <definedName name="TRANBUD">#REF!</definedName>
    <definedName name="TRANEND" localSheetId="16">#REF!</definedName>
    <definedName name="TRANEND" localSheetId="17">#REF!</definedName>
    <definedName name="TRANEND" localSheetId="20">#REF!</definedName>
    <definedName name="TRANEND" localSheetId="22">#REF!</definedName>
    <definedName name="TRANEND" localSheetId="30">#REF!</definedName>
    <definedName name="TRANEND" localSheetId="36">#REF!</definedName>
    <definedName name="TRANEND" localSheetId="28">#REF!</definedName>
    <definedName name="TRANEND">#REF!</definedName>
    <definedName name="transportation_costs" localSheetId="16">#REF!</definedName>
    <definedName name="transportation_costs" localSheetId="17">#REF!</definedName>
    <definedName name="transportation_costs" localSheetId="20">#REF!</definedName>
    <definedName name="transportation_costs" localSheetId="22">#REF!</definedName>
    <definedName name="transportation_costs" localSheetId="30">#REF!</definedName>
    <definedName name="transportation_costs" localSheetId="36">#REF!</definedName>
    <definedName name="transportation_costs" localSheetId="28">#REF!</definedName>
    <definedName name="transportation_costs">#REF!</definedName>
    <definedName name="TRANSTART" localSheetId="16">#REF!</definedName>
    <definedName name="TRANSTART" localSheetId="17">#REF!</definedName>
    <definedName name="TRANSTART" localSheetId="20">#REF!</definedName>
    <definedName name="TRANSTART" localSheetId="22">#REF!</definedName>
    <definedName name="TRANSTART" localSheetId="30">#REF!</definedName>
    <definedName name="TRANSTART" localSheetId="36">#REF!</definedName>
    <definedName name="TRANSTART" localSheetId="28">#REF!</definedName>
    <definedName name="TRANSTART">#REF!</definedName>
    <definedName name="trn_beg_bud" localSheetId="16">#REF!</definedName>
    <definedName name="trn_beg_bud" localSheetId="17">#REF!</definedName>
    <definedName name="trn_beg_bud" localSheetId="20">#REF!</definedName>
    <definedName name="trn_beg_bud" localSheetId="22">#REF!</definedName>
    <definedName name="trn_beg_bud" localSheetId="30">#REF!</definedName>
    <definedName name="trn_beg_bud" localSheetId="36">#REF!</definedName>
    <definedName name="trn_beg_bud" localSheetId="28">#REF!</definedName>
    <definedName name="trn_beg_bud">#REF!</definedName>
    <definedName name="trn_end_bud" localSheetId="16">#REF!</definedName>
    <definedName name="trn_end_bud" localSheetId="17">#REF!</definedName>
    <definedName name="trn_end_bud" localSheetId="20">#REF!</definedName>
    <definedName name="trn_end_bud" localSheetId="22">#REF!</definedName>
    <definedName name="trn_end_bud" localSheetId="30">#REF!</definedName>
    <definedName name="trn_end_bud" localSheetId="36">#REF!</definedName>
    <definedName name="trn_end_bud" localSheetId="28">#REF!</definedName>
    <definedName name="trn_end_bud">#REF!</definedName>
    <definedName name="trn12ACT" localSheetId="16">#REF!</definedName>
    <definedName name="trn12ACT" localSheetId="17">#REF!</definedName>
    <definedName name="trn12ACT" localSheetId="20">#REF!</definedName>
    <definedName name="trn12ACT" localSheetId="22">#REF!</definedName>
    <definedName name="trn12ACT" localSheetId="30">#REF!</definedName>
    <definedName name="trn12ACT" localSheetId="36">#REF!</definedName>
    <definedName name="trn12ACT" localSheetId="28">#REF!</definedName>
    <definedName name="trn12ACT">#REF!</definedName>
    <definedName name="trnCYACT" localSheetId="16">#REF!</definedName>
    <definedName name="trnCYACT" localSheetId="17">#REF!</definedName>
    <definedName name="trnCYACT" localSheetId="20">#REF!</definedName>
    <definedName name="trnCYACT" localSheetId="22">#REF!</definedName>
    <definedName name="trnCYACT" localSheetId="30">#REF!</definedName>
    <definedName name="trnCYACT" localSheetId="36">#REF!</definedName>
    <definedName name="trnCYACT" localSheetId="28">#REF!</definedName>
    <definedName name="trnCYACT">#REF!</definedName>
    <definedName name="trnCYBUD" localSheetId="16">#REF!</definedName>
    <definedName name="trnCYBUD" localSheetId="17">#REF!</definedName>
    <definedName name="trnCYBUD" localSheetId="20">#REF!</definedName>
    <definedName name="trnCYBUD" localSheetId="22">#REF!</definedName>
    <definedName name="trnCYBUD" localSheetId="30">#REF!</definedName>
    <definedName name="trnCYBUD" localSheetId="36">#REF!</definedName>
    <definedName name="trnCYBUD" localSheetId="28">#REF!</definedName>
    <definedName name="trnCYBUD">#REF!</definedName>
    <definedName name="trnCYF" localSheetId="16">#REF!</definedName>
    <definedName name="trnCYF" localSheetId="17">#REF!</definedName>
    <definedName name="trnCYF" localSheetId="20">#REF!</definedName>
    <definedName name="trnCYF" localSheetId="22">#REF!</definedName>
    <definedName name="trnCYF" localSheetId="30">#REF!</definedName>
    <definedName name="trnCYF" localSheetId="36">#REF!</definedName>
    <definedName name="trnCYF" localSheetId="28">#REF!</definedName>
    <definedName name="trnCYF">#REF!</definedName>
    <definedName name="trnNYbud" localSheetId="16">#REF!</definedName>
    <definedName name="trnNYbud" localSheetId="17">#REF!</definedName>
    <definedName name="trnNYbud" localSheetId="20">#REF!</definedName>
    <definedName name="trnNYbud" localSheetId="22">#REF!</definedName>
    <definedName name="trnNYbud" localSheetId="30">#REF!</definedName>
    <definedName name="trnNYbud" localSheetId="36">#REF!</definedName>
    <definedName name="trnNYbud" localSheetId="28">#REF!</definedName>
    <definedName name="trnNYbud">#REF!</definedName>
    <definedName name="trnPYACT" localSheetId="16">#REF!</definedName>
    <definedName name="trnPYACT" localSheetId="17">#REF!</definedName>
    <definedName name="trnPYACT" localSheetId="20">#REF!</definedName>
    <definedName name="trnPYACT" localSheetId="22">#REF!</definedName>
    <definedName name="trnPYACT" localSheetId="30">#REF!</definedName>
    <definedName name="trnPYACT" localSheetId="36">#REF!</definedName>
    <definedName name="trnPYACT" localSheetId="28">#REF!</definedName>
    <definedName name="trnPYACT">#REF!</definedName>
    <definedName name="Units" localSheetId="28">[3]lists!$N$2:$N$5</definedName>
    <definedName name="Units" localSheetId="10">[2]lists!$N$2:$N$5</definedName>
    <definedName name="Units">[3]lists!$N$2:$N$5</definedName>
    <definedName name="Units1">[3]lists!$O$2:$O$4</definedName>
    <definedName name="Units2">[3]lists!$P$2:$P$3</definedName>
    <definedName name="Utility">[4]Financials!$A$1</definedName>
    <definedName name="utitliy1">[10]Financials!$A$1</definedName>
    <definedName name="WAGBENF" localSheetId="16">#REF!</definedName>
    <definedName name="WAGBENF" localSheetId="17">#REF!</definedName>
    <definedName name="WAGBENF" localSheetId="20">#REF!</definedName>
    <definedName name="WAGBENF" localSheetId="22">#REF!</definedName>
    <definedName name="WAGBENF" localSheetId="30">#REF!</definedName>
    <definedName name="WAGBENF" localSheetId="36">#REF!</definedName>
    <definedName name="WAGBENF" localSheetId="28">#REF!</definedName>
    <definedName name="WAGBENF" localSheetId="10">#REF!</definedName>
    <definedName name="WAGBENF">#REF!</definedName>
    <definedName name="wagdob" localSheetId="16">#REF!</definedName>
    <definedName name="wagdob" localSheetId="17">#REF!</definedName>
    <definedName name="wagdob" localSheetId="20">#REF!</definedName>
    <definedName name="wagdob" localSheetId="22">#REF!</definedName>
    <definedName name="wagdob" localSheetId="30">#REF!</definedName>
    <definedName name="wagdob" localSheetId="36">#REF!</definedName>
    <definedName name="wagdob" localSheetId="28">#REF!</definedName>
    <definedName name="wagdob" localSheetId="10">#REF!</definedName>
    <definedName name="wagdob">#REF!</definedName>
    <definedName name="wagdobf" localSheetId="16">#REF!</definedName>
    <definedName name="wagdobf" localSheetId="17">#REF!</definedName>
    <definedName name="wagdobf" localSheetId="20">#REF!</definedName>
    <definedName name="wagdobf" localSheetId="22">#REF!</definedName>
    <definedName name="wagdobf" localSheetId="30">#REF!</definedName>
    <definedName name="wagdobf" localSheetId="36">#REF!</definedName>
    <definedName name="wagdobf" localSheetId="28">#REF!</definedName>
    <definedName name="wagdobf" localSheetId="10">#REF!</definedName>
    <definedName name="wagdobf">#REF!</definedName>
    <definedName name="wagreg" localSheetId="16">#REF!</definedName>
    <definedName name="wagreg" localSheetId="17">#REF!</definedName>
    <definedName name="wagreg" localSheetId="20">#REF!</definedName>
    <definedName name="wagreg" localSheetId="22">#REF!</definedName>
    <definedName name="wagreg" localSheetId="30">#REF!</definedName>
    <definedName name="wagreg" localSheetId="36">#REF!</definedName>
    <definedName name="wagreg" localSheetId="28">#REF!</definedName>
    <definedName name="wagreg">#REF!</definedName>
    <definedName name="wagregf" localSheetId="16">#REF!</definedName>
    <definedName name="wagregf" localSheetId="17">#REF!</definedName>
    <definedName name="wagregf" localSheetId="20">#REF!</definedName>
    <definedName name="wagregf" localSheetId="22">#REF!</definedName>
    <definedName name="wagregf" localSheetId="30">#REF!</definedName>
    <definedName name="wagregf" localSheetId="36">#REF!</definedName>
    <definedName name="wagregf" localSheetId="28">#REF!</definedName>
    <definedName name="wagregf">#REF!</definedName>
  </definedNames>
  <calcPr calcId="145621" iterate="1"/>
</workbook>
</file>

<file path=xl/calcChain.xml><?xml version="1.0" encoding="utf-8"?>
<calcChain xmlns="http://schemas.openxmlformats.org/spreadsheetml/2006/main">
  <c r="L1" i="58" l="1"/>
  <c r="B135" i="11" l="1"/>
  <c r="B131" i="11"/>
  <c r="B127" i="11"/>
  <c r="B123" i="11"/>
  <c r="B119" i="11"/>
  <c r="B115" i="11"/>
  <c r="B111" i="11"/>
  <c r="B107" i="11"/>
  <c r="B103" i="11"/>
  <c r="B99" i="11"/>
  <c r="B95" i="11"/>
  <c r="B91" i="11"/>
  <c r="B87" i="11"/>
  <c r="B83" i="11"/>
  <c r="B79" i="11"/>
  <c r="B75" i="11"/>
  <c r="B71" i="11"/>
  <c r="B67" i="11"/>
  <c r="B63" i="11"/>
  <c r="B59" i="11"/>
  <c r="B55" i="11"/>
  <c r="B51" i="11"/>
  <c r="B47" i="11"/>
  <c r="B43" i="11"/>
  <c r="B39" i="11"/>
  <c r="B35" i="11"/>
  <c r="B31" i="11"/>
  <c r="B27" i="11"/>
  <c r="B23" i="11"/>
  <c r="B19" i="11"/>
  <c r="B169" i="11" l="1"/>
  <c r="B171" i="11" s="1"/>
  <c r="I17" i="136"/>
  <c r="I16" i="136"/>
  <c r="J17" i="136"/>
  <c r="J16" i="136"/>
  <c r="F18" i="136" l="1"/>
  <c r="E15" i="15"/>
  <c r="D15" i="15"/>
  <c r="E23" i="15" l="1"/>
  <c r="K238" i="87" l="1"/>
  <c r="K331" i="100"/>
  <c r="K329" i="100"/>
  <c r="K396" i="100"/>
  <c r="K330" i="100"/>
  <c r="K264" i="100"/>
  <c r="K198" i="100"/>
  <c r="K132" i="100"/>
  <c r="K133" i="100" s="1"/>
  <c r="K67" i="100"/>
  <c r="K66" i="100"/>
  <c r="H167" i="11" l="1"/>
  <c r="G167" i="11"/>
  <c r="F167" i="11"/>
  <c r="E167" i="11"/>
  <c r="D167" i="11"/>
  <c r="C167" i="11"/>
  <c r="H163" i="11"/>
  <c r="G163" i="11"/>
  <c r="F163" i="11"/>
  <c r="E163" i="11"/>
  <c r="D163" i="11"/>
  <c r="C163" i="11"/>
  <c r="H159" i="11"/>
  <c r="G159" i="11"/>
  <c r="F159" i="11"/>
  <c r="E159" i="11"/>
  <c r="D159" i="11"/>
  <c r="C159" i="11"/>
  <c r="H155" i="11"/>
  <c r="G155" i="11"/>
  <c r="F155" i="11"/>
  <c r="E155" i="11"/>
  <c r="D155" i="11"/>
  <c r="C155" i="11"/>
  <c r="H151" i="11"/>
  <c r="G151" i="11"/>
  <c r="F151" i="11"/>
  <c r="E151" i="11"/>
  <c r="D151" i="11"/>
  <c r="C151" i="11"/>
  <c r="H147" i="11"/>
  <c r="G147" i="11"/>
  <c r="F147" i="11"/>
  <c r="E147" i="11"/>
  <c r="D147" i="11"/>
  <c r="C147" i="11"/>
  <c r="H143" i="11"/>
  <c r="G143" i="11"/>
  <c r="F143" i="11"/>
  <c r="E143" i="11"/>
  <c r="D143" i="11"/>
  <c r="C143" i="11"/>
  <c r="H139" i="11"/>
  <c r="G139" i="11"/>
  <c r="F139" i="11"/>
  <c r="E139" i="11"/>
  <c r="D139" i="11"/>
  <c r="C139" i="11"/>
  <c r="H135" i="11"/>
  <c r="G135" i="11"/>
  <c r="F135" i="11"/>
  <c r="E135" i="11"/>
  <c r="D135" i="11"/>
  <c r="C135" i="11"/>
  <c r="H131" i="11"/>
  <c r="G131" i="11"/>
  <c r="F131" i="11"/>
  <c r="E131" i="11"/>
  <c r="D131" i="11"/>
  <c r="C131" i="11"/>
  <c r="H127" i="11"/>
  <c r="G127" i="11"/>
  <c r="F127" i="11"/>
  <c r="E127" i="11"/>
  <c r="D127" i="11"/>
  <c r="C127" i="11"/>
  <c r="H123" i="11"/>
  <c r="G123" i="11"/>
  <c r="F123" i="11"/>
  <c r="E123" i="11"/>
  <c r="D123" i="11"/>
  <c r="C123" i="11"/>
  <c r="H119" i="11"/>
  <c r="G119" i="11"/>
  <c r="F119" i="11"/>
  <c r="E119" i="11"/>
  <c r="D119" i="11"/>
  <c r="C119" i="11"/>
  <c r="H115" i="11"/>
  <c r="G115" i="11"/>
  <c r="F115" i="11"/>
  <c r="E115" i="11"/>
  <c r="D115" i="11"/>
  <c r="C115" i="11"/>
  <c r="H111" i="11"/>
  <c r="G111" i="11"/>
  <c r="F111" i="11"/>
  <c r="E111" i="11"/>
  <c r="D111" i="11"/>
  <c r="C111" i="11"/>
  <c r="H107" i="11"/>
  <c r="G107" i="11"/>
  <c r="F107" i="11"/>
  <c r="E107" i="11"/>
  <c r="D107" i="11"/>
  <c r="C107" i="11"/>
  <c r="H103" i="11"/>
  <c r="G103" i="11"/>
  <c r="F103" i="11"/>
  <c r="E103" i="11"/>
  <c r="D103" i="11"/>
  <c r="C103" i="11"/>
  <c r="H99" i="11"/>
  <c r="G99" i="11"/>
  <c r="F99" i="11"/>
  <c r="E99" i="11"/>
  <c r="D99" i="11"/>
  <c r="C99" i="11"/>
  <c r="H95" i="11"/>
  <c r="G95" i="11"/>
  <c r="F95" i="11"/>
  <c r="E95" i="11"/>
  <c r="D95" i="11"/>
  <c r="C95" i="11"/>
  <c r="H91" i="11"/>
  <c r="G91" i="11"/>
  <c r="F91" i="11"/>
  <c r="E91" i="11"/>
  <c r="D91" i="11"/>
  <c r="C91" i="11"/>
  <c r="H87" i="11"/>
  <c r="G87" i="11"/>
  <c r="F87" i="11"/>
  <c r="E87" i="11"/>
  <c r="D87" i="11"/>
  <c r="C87" i="11"/>
  <c r="H83" i="11"/>
  <c r="G83" i="11"/>
  <c r="F83" i="11"/>
  <c r="E83" i="11"/>
  <c r="D83" i="11"/>
  <c r="C83" i="11"/>
  <c r="H79" i="11"/>
  <c r="G79" i="11"/>
  <c r="F79" i="11"/>
  <c r="E79" i="11"/>
  <c r="D79" i="11"/>
  <c r="C79" i="11"/>
  <c r="H75" i="11"/>
  <c r="G75" i="11"/>
  <c r="F75" i="11"/>
  <c r="E75" i="11"/>
  <c r="D75" i="11"/>
  <c r="C75" i="11"/>
  <c r="H71" i="11"/>
  <c r="G71" i="11"/>
  <c r="F71" i="11"/>
  <c r="E71" i="11"/>
  <c r="D71" i="11"/>
  <c r="C71" i="11"/>
  <c r="H67" i="11"/>
  <c r="G67" i="11"/>
  <c r="F67" i="11"/>
  <c r="E67" i="11"/>
  <c r="D67" i="11"/>
  <c r="C67" i="11"/>
  <c r="H63" i="11"/>
  <c r="G63" i="11"/>
  <c r="F63" i="11"/>
  <c r="E63" i="11"/>
  <c r="D63" i="11"/>
  <c r="C63" i="11"/>
  <c r="H59" i="11"/>
  <c r="G59" i="11"/>
  <c r="F59" i="11"/>
  <c r="E59" i="11"/>
  <c r="D59" i="11"/>
  <c r="C59" i="11"/>
  <c r="H55" i="11"/>
  <c r="G55" i="11"/>
  <c r="F55" i="11"/>
  <c r="E55" i="11"/>
  <c r="D55" i="11"/>
  <c r="C55" i="11"/>
  <c r="H51" i="11"/>
  <c r="G51" i="11"/>
  <c r="F51" i="11"/>
  <c r="E51" i="11"/>
  <c r="D51" i="11"/>
  <c r="C51" i="11"/>
  <c r="H47" i="11"/>
  <c r="G47" i="11"/>
  <c r="F47" i="11"/>
  <c r="E47" i="11"/>
  <c r="D47" i="11"/>
  <c r="C47" i="11"/>
  <c r="H43" i="11"/>
  <c r="G43" i="11"/>
  <c r="F43" i="11"/>
  <c r="E43" i="11"/>
  <c r="D43" i="11"/>
  <c r="C43" i="11"/>
  <c r="H39" i="11"/>
  <c r="G39" i="11"/>
  <c r="F39" i="11"/>
  <c r="E39" i="11"/>
  <c r="D39" i="11"/>
  <c r="C39" i="11"/>
  <c r="H35" i="11"/>
  <c r="G35" i="11"/>
  <c r="F35" i="11"/>
  <c r="E35" i="11"/>
  <c r="D35" i="11"/>
  <c r="C35" i="11"/>
  <c r="H31" i="11"/>
  <c r="G31" i="11"/>
  <c r="F31" i="11"/>
  <c r="E31" i="11"/>
  <c r="D31" i="11"/>
  <c r="C31" i="11"/>
  <c r="H27" i="11"/>
  <c r="G27" i="11"/>
  <c r="F27" i="11"/>
  <c r="E27" i="11"/>
  <c r="D27" i="11"/>
  <c r="C27" i="11"/>
  <c r="H23" i="11"/>
  <c r="G23" i="11"/>
  <c r="F23" i="11"/>
  <c r="E23" i="11"/>
  <c r="D23" i="11"/>
  <c r="C23" i="11"/>
  <c r="H19" i="11"/>
  <c r="H169" i="11" s="1"/>
  <c r="H171" i="11" s="1"/>
  <c r="G19" i="11"/>
  <c r="G169" i="11" s="1"/>
  <c r="G171" i="11" s="1"/>
  <c r="F19" i="11"/>
  <c r="E19" i="11"/>
  <c r="D19" i="11"/>
  <c r="C19" i="11"/>
  <c r="H13" i="11"/>
  <c r="G13" i="11"/>
  <c r="F13" i="11"/>
  <c r="E13" i="11" s="1"/>
  <c r="D13" i="11" s="1"/>
  <c r="C13" i="11" s="1"/>
  <c r="C169" i="11" l="1"/>
  <c r="C171" i="11" s="1"/>
  <c r="D169" i="11"/>
  <c r="D171" i="11" s="1"/>
  <c r="E169" i="11"/>
  <c r="E171" i="11" s="1"/>
  <c r="F169" i="11"/>
  <c r="F171" i="11" s="1"/>
  <c r="T348" i="133"/>
  <c r="U348" i="133" s="1"/>
  <c r="S348" i="133"/>
  <c r="R348" i="133"/>
  <c r="Q348" i="133"/>
  <c r="U347" i="133"/>
  <c r="T347" i="133"/>
  <c r="S347" i="133"/>
  <c r="R347" i="133"/>
  <c r="Q347" i="133"/>
  <c r="T346" i="133"/>
  <c r="U346" i="133" s="1"/>
  <c r="S346" i="133"/>
  <c r="R346" i="133"/>
  <c r="Q346" i="133"/>
  <c r="U345" i="133"/>
  <c r="T345" i="133"/>
  <c r="S345" i="133"/>
  <c r="R345" i="133"/>
  <c r="Q345" i="133"/>
  <c r="T344" i="133"/>
  <c r="U344" i="133" s="1"/>
  <c r="S344" i="133"/>
  <c r="R344" i="133"/>
  <c r="Q344" i="133"/>
  <c r="U343" i="133"/>
  <c r="T343" i="133"/>
  <c r="S343" i="133"/>
  <c r="R343" i="133"/>
  <c r="Q343" i="133"/>
  <c r="T342" i="133"/>
  <c r="U342" i="133" s="1"/>
  <c r="S342" i="133"/>
  <c r="R342" i="133"/>
  <c r="Q342" i="133"/>
  <c r="U341" i="133"/>
  <c r="S341" i="133"/>
  <c r="R341" i="133"/>
  <c r="Q340" i="133"/>
  <c r="T305" i="133"/>
  <c r="U305" i="133" s="1"/>
  <c r="S305" i="133"/>
  <c r="R305" i="133"/>
  <c r="Q305" i="133"/>
  <c r="U304" i="133"/>
  <c r="T304" i="133"/>
  <c r="S304" i="133"/>
  <c r="R304" i="133"/>
  <c r="Q304" i="133"/>
  <c r="T303" i="133"/>
  <c r="U303" i="133" s="1"/>
  <c r="S303" i="133"/>
  <c r="R303" i="133"/>
  <c r="Q303" i="133"/>
  <c r="U302" i="133"/>
  <c r="T302" i="133"/>
  <c r="S302" i="133"/>
  <c r="R302" i="133"/>
  <c r="Q302" i="133"/>
  <c r="T301" i="133"/>
  <c r="U301" i="133" s="1"/>
  <c r="S301" i="133"/>
  <c r="R301" i="133"/>
  <c r="Q301" i="133"/>
  <c r="U300" i="133"/>
  <c r="T300" i="133"/>
  <c r="S300" i="133"/>
  <c r="R300" i="133"/>
  <c r="Q300" i="133"/>
  <c r="T299" i="133"/>
  <c r="U299" i="133" s="1"/>
  <c r="S299" i="133"/>
  <c r="R299" i="133"/>
  <c r="Q299" i="133"/>
  <c r="U298" i="133"/>
  <c r="S298" i="133"/>
  <c r="R298" i="133"/>
  <c r="Q297" i="133"/>
  <c r="R213" i="133"/>
  <c r="U219" i="133"/>
  <c r="T219" i="133"/>
  <c r="S219" i="133"/>
  <c r="R219" i="133"/>
  <c r="Q219" i="133"/>
  <c r="T218" i="133"/>
  <c r="U218" i="133" s="1"/>
  <c r="S218" i="133"/>
  <c r="R218" i="133"/>
  <c r="Q218" i="133"/>
  <c r="T217" i="133"/>
  <c r="U217" i="133" s="1"/>
  <c r="S217" i="133"/>
  <c r="R217" i="133"/>
  <c r="Q217" i="133"/>
  <c r="U216" i="133"/>
  <c r="T216" i="133"/>
  <c r="S216" i="133"/>
  <c r="R216" i="133"/>
  <c r="Q216" i="133"/>
  <c r="U215" i="133"/>
  <c r="T215" i="133"/>
  <c r="S215" i="133"/>
  <c r="R215" i="133"/>
  <c r="Q215" i="133"/>
  <c r="U214" i="133"/>
  <c r="T214" i="133"/>
  <c r="S214" i="133"/>
  <c r="R214" i="133"/>
  <c r="Q214" i="133"/>
  <c r="T213" i="133"/>
  <c r="U213" i="133" s="1"/>
  <c r="S213" i="133"/>
  <c r="Q213" i="133"/>
  <c r="U212" i="133"/>
  <c r="S212" i="133"/>
  <c r="R212" i="133"/>
  <c r="Q211" i="133"/>
  <c r="U171" i="133"/>
  <c r="S171" i="133"/>
  <c r="S172" i="133"/>
  <c r="S173" i="133"/>
  <c r="S174" i="133"/>
  <c r="S175" i="133"/>
  <c r="S176" i="133"/>
  <c r="S170" i="133"/>
  <c r="R171" i="133"/>
  <c r="R172" i="133"/>
  <c r="R173" i="133"/>
  <c r="R174" i="133"/>
  <c r="R175" i="133"/>
  <c r="R176" i="133"/>
  <c r="R170" i="133"/>
  <c r="H348" i="133"/>
  <c r="H347" i="133"/>
  <c r="H346" i="133"/>
  <c r="H345" i="133"/>
  <c r="H344" i="133"/>
  <c r="H343" i="133"/>
  <c r="H342" i="133"/>
  <c r="H305" i="133"/>
  <c r="H304" i="133"/>
  <c r="H303" i="133"/>
  <c r="H302" i="133"/>
  <c r="H301" i="133"/>
  <c r="H300" i="133"/>
  <c r="H299" i="133"/>
  <c r="H262" i="133"/>
  <c r="H261" i="133"/>
  <c r="H260" i="133"/>
  <c r="H259" i="133"/>
  <c r="H258" i="133"/>
  <c r="H257" i="133"/>
  <c r="H256" i="133"/>
  <c r="H219" i="133"/>
  <c r="H218" i="133"/>
  <c r="H217" i="133"/>
  <c r="H216" i="133"/>
  <c r="H215" i="133"/>
  <c r="H214" i="133"/>
  <c r="H213" i="133"/>
  <c r="H176" i="133"/>
  <c r="H175" i="133"/>
  <c r="H174" i="133"/>
  <c r="H173" i="133"/>
  <c r="H172" i="133"/>
  <c r="H171" i="133"/>
  <c r="H170" i="133"/>
  <c r="H133" i="133"/>
  <c r="H132" i="133"/>
  <c r="H131" i="133"/>
  <c r="H130" i="133"/>
  <c r="H129" i="133"/>
  <c r="H128" i="133"/>
  <c r="H127" i="133"/>
  <c r="N327" i="133" l="1"/>
  <c r="N326" i="133"/>
  <c r="N325" i="133"/>
  <c r="N324" i="133"/>
  <c r="N323" i="133"/>
  <c r="N322" i="133"/>
  <c r="N321" i="133"/>
  <c r="N284" i="133"/>
  <c r="N283" i="133"/>
  <c r="N282" i="133"/>
  <c r="N281" i="133"/>
  <c r="N280" i="133"/>
  <c r="N279" i="133"/>
  <c r="N278" i="133"/>
  <c r="N241" i="133"/>
  <c r="N240" i="133"/>
  <c r="N239" i="133"/>
  <c r="N238" i="133"/>
  <c r="N237" i="133"/>
  <c r="N236" i="133"/>
  <c r="N235" i="133"/>
  <c r="N198" i="133"/>
  <c r="N197" i="133"/>
  <c r="N196" i="133"/>
  <c r="N195" i="133"/>
  <c r="N194" i="133"/>
  <c r="N193" i="133"/>
  <c r="N192" i="133"/>
  <c r="N155" i="133"/>
  <c r="N154" i="133"/>
  <c r="N153" i="133"/>
  <c r="N152" i="133"/>
  <c r="N151" i="133"/>
  <c r="N150" i="133"/>
  <c r="N149" i="133"/>
  <c r="N112" i="133"/>
  <c r="N111" i="133"/>
  <c r="N110" i="133"/>
  <c r="N109" i="133"/>
  <c r="N108" i="133"/>
  <c r="N107" i="133"/>
  <c r="N106" i="133"/>
  <c r="H327" i="133"/>
  <c r="H326" i="133"/>
  <c r="H325" i="133"/>
  <c r="H324" i="133"/>
  <c r="H323" i="133"/>
  <c r="H322" i="133"/>
  <c r="H321" i="133"/>
  <c r="H284" i="133"/>
  <c r="H283" i="133"/>
  <c r="H282" i="133"/>
  <c r="H281" i="133"/>
  <c r="H280" i="133"/>
  <c r="H279" i="133"/>
  <c r="H278" i="133"/>
  <c r="H241" i="133"/>
  <c r="H240" i="133"/>
  <c r="H239" i="133"/>
  <c r="H238" i="133"/>
  <c r="H237" i="133"/>
  <c r="H236" i="133"/>
  <c r="H235" i="133"/>
  <c r="H198" i="133"/>
  <c r="H197" i="133"/>
  <c r="H196" i="133"/>
  <c r="H195" i="133"/>
  <c r="H194" i="133"/>
  <c r="H193" i="133"/>
  <c r="H192" i="133"/>
  <c r="H155" i="133"/>
  <c r="H154" i="133"/>
  <c r="H153" i="133"/>
  <c r="H152" i="133"/>
  <c r="H151" i="133"/>
  <c r="H150" i="133"/>
  <c r="H149" i="133"/>
  <c r="H112" i="133"/>
  <c r="H111" i="133"/>
  <c r="H110" i="133"/>
  <c r="H109" i="133"/>
  <c r="H108" i="133"/>
  <c r="H107" i="133"/>
  <c r="H106" i="133"/>
  <c r="H23" i="21" l="1"/>
  <c r="B91" i="122" l="1"/>
  <c r="F35" i="122"/>
  <c r="G35" i="122" s="1"/>
  <c r="E35" i="122"/>
  <c r="F36" i="122"/>
  <c r="G36" i="122"/>
  <c r="E36" i="122"/>
  <c r="D35" i="122"/>
  <c r="D34" i="122"/>
  <c r="E34" i="122"/>
  <c r="F34" i="122"/>
  <c r="G34" i="122" s="1"/>
  <c r="C34" i="122"/>
  <c r="B34" i="122"/>
  <c r="E35" i="12" l="1"/>
  <c r="Q22" i="102" l="1"/>
  <c r="O22" i="102"/>
  <c r="L22" i="102"/>
  <c r="I22" i="102"/>
  <c r="F22" i="102"/>
  <c r="C22" i="102"/>
  <c r="C21" i="102"/>
  <c r="D17" i="136" l="1"/>
  <c r="E17" i="136"/>
  <c r="D17" i="49"/>
  <c r="F17" i="136"/>
  <c r="G17" i="136"/>
  <c r="H17" i="136"/>
  <c r="O22" i="50" l="1"/>
  <c r="I22" i="50"/>
  <c r="U487" i="133" l="1"/>
  <c r="S487" i="133"/>
  <c r="R487" i="133"/>
  <c r="O487" i="133"/>
  <c r="M487" i="133"/>
  <c r="L487" i="133"/>
  <c r="K487" i="133"/>
  <c r="Q487" i="133" s="1"/>
  <c r="I487" i="133"/>
  <c r="G487" i="133"/>
  <c r="U466" i="133"/>
  <c r="S466" i="133"/>
  <c r="R466" i="133"/>
  <c r="Q466" i="133"/>
  <c r="O466" i="133"/>
  <c r="M466" i="133"/>
  <c r="L466" i="133"/>
  <c r="K466" i="133"/>
  <c r="I466" i="133"/>
  <c r="G466" i="133"/>
  <c r="U444" i="133"/>
  <c r="S444" i="133"/>
  <c r="R444" i="133"/>
  <c r="Q444" i="133"/>
  <c r="O444" i="133"/>
  <c r="M444" i="133"/>
  <c r="L444" i="133"/>
  <c r="K444" i="133"/>
  <c r="I444" i="133"/>
  <c r="G444" i="133"/>
  <c r="U423" i="133"/>
  <c r="S423" i="133"/>
  <c r="R423" i="133"/>
  <c r="O423" i="133"/>
  <c r="M423" i="133"/>
  <c r="L423" i="133"/>
  <c r="K423" i="133"/>
  <c r="Q423" i="133" s="1"/>
  <c r="I423" i="133"/>
  <c r="G423" i="133"/>
  <c r="U401" i="133"/>
  <c r="S401" i="133"/>
  <c r="R401" i="133"/>
  <c r="Q401" i="133"/>
  <c r="O401" i="133"/>
  <c r="M401" i="133"/>
  <c r="L401" i="133"/>
  <c r="K401" i="133"/>
  <c r="I401" i="133"/>
  <c r="G401" i="133"/>
  <c r="U380" i="133"/>
  <c r="S380" i="133"/>
  <c r="R380" i="133"/>
  <c r="Q380" i="133"/>
  <c r="O380" i="133"/>
  <c r="M380" i="133"/>
  <c r="L380" i="133"/>
  <c r="K380" i="133"/>
  <c r="I380" i="133"/>
  <c r="G380" i="133"/>
  <c r="Q358" i="133"/>
  <c r="M358" i="133"/>
  <c r="L358" i="133"/>
  <c r="K358" i="133"/>
  <c r="G358" i="133"/>
  <c r="Q337" i="133"/>
  <c r="M337" i="133"/>
  <c r="L337" i="133"/>
  <c r="K337" i="133"/>
  <c r="G337" i="133"/>
  <c r="Q315" i="133"/>
  <c r="M315" i="133"/>
  <c r="L315" i="133"/>
  <c r="K315" i="133"/>
  <c r="G315" i="133"/>
  <c r="M294" i="133"/>
  <c r="L294" i="133"/>
  <c r="K294" i="133"/>
  <c r="Q294" i="133" s="1"/>
  <c r="G294" i="133"/>
  <c r="O272" i="133"/>
  <c r="M272" i="133"/>
  <c r="L272" i="133"/>
  <c r="K272" i="133"/>
  <c r="Q272" i="133" s="1"/>
  <c r="G272" i="133"/>
  <c r="Q251" i="133"/>
  <c r="M251" i="133"/>
  <c r="L251" i="133"/>
  <c r="K251" i="133"/>
  <c r="G251" i="133"/>
  <c r="Q229" i="133"/>
  <c r="M229" i="133"/>
  <c r="L229" i="133"/>
  <c r="K229" i="133"/>
  <c r="G229" i="133"/>
  <c r="M208" i="133"/>
  <c r="L208" i="133"/>
  <c r="K208" i="133"/>
  <c r="Q208" i="133" s="1"/>
  <c r="G208" i="133"/>
  <c r="Q186" i="133"/>
  <c r="M186" i="133"/>
  <c r="L186" i="133"/>
  <c r="K186" i="133"/>
  <c r="G186" i="133"/>
  <c r="Q165" i="133"/>
  <c r="M165" i="133"/>
  <c r="L165" i="133"/>
  <c r="K165" i="133"/>
  <c r="G165" i="133"/>
  <c r="O143" i="133"/>
  <c r="M143" i="133"/>
  <c r="L143" i="133"/>
  <c r="K143" i="133"/>
  <c r="Q143" i="133" s="1"/>
  <c r="G143" i="133"/>
  <c r="Q122" i="133"/>
  <c r="M122" i="133"/>
  <c r="L122" i="133"/>
  <c r="K122" i="133"/>
  <c r="G122" i="133"/>
  <c r="Q100" i="133"/>
  <c r="O100" i="133"/>
  <c r="M100" i="133"/>
  <c r="L100" i="133"/>
  <c r="K100" i="133"/>
  <c r="G100" i="133"/>
  <c r="Q79" i="133"/>
  <c r="M79" i="133"/>
  <c r="L79" i="133"/>
  <c r="K79" i="133"/>
  <c r="G79" i="133"/>
  <c r="M55" i="133"/>
  <c r="L55" i="133"/>
  <c r="D35" i="12" l="1"/>
  <c r="J17" i="105" l="1"/>
  <c r="I18" i="105"/>
  <c r="H23" i="5" l="1"/>
  <c r="H18" i="5"/>
  <c r="H19" i="5"/>
  <c r="G19" i="5"/>
  <c r="L28" i="87" l="1"/>
  <c r="F28" i="136" l="1"/>
  <c r="F27" i="136"/>
  <c r="F25" i="136"/>
  <c r="F24" i="136"/>
  <c r="F23" i="136"/>
  <c r="F21" i="136"/>
  <c r="H16" i="136"/>
  <c r="G16" i="136"/>
  <c r="F29" i="136"/>
  <c r="F16" i="136"/>
  <c r="E16" i="136"/>
  <c r="D16" i="136"/>
  <c r="F295" i="87" l="1"/>
  <c r="D295" i="87"/>
  <c r="C295" i="87"/>
  <c r="I294" i="87"/>
  <c r="E294" i="87"/>
  <c r="G294" i="87" s="1"/>
  <c r="J294" i="87" s="1"/>
  <c r="L294" i="87" s="1"/>
  <c r="J293" i="87"/>
  <c r="L293" i="87" s="1"/>
  <c r="I293" i="87"/>
  <c r="E293" i="87"/>
  <c r="G293" i="87" s="1"/>
  <c r="I292" i="87"/>
  <c r="E292" i="87"/>
  <c r="G292" i="87" s="1"/>
  <c r="J292" i="87" s="1"/>
  <c r="L292" i="87" s="1"/>
  <c r="J291" i="87"/>
  <c r="L291" i="87" s="1"/>
  <c r="I291" i="87"/>
  <c r="E291" i="87"/>
  <c r="G291" i="87" s="1"/>
  <c r="J290" i="87"/>
  <c r="L290" i="87" s="1"/>
  <c r="I290" i="87"/>
  <c r="G290" i="87"/>
  <c r="E290" i="87"/>
  <c r="J289" i="87"/>
  <c r="L289" i="87" s="1"/>
  <c r="I289" i="87"/>
  <c r="E289" i="87"/>
  <c r="G289" i="87" s="1"/>
  <c r="J288" i="87"/>
  <c r="L288" i="87" s="1"/>
  <c r="I288" i="87"/>
  <c r="E288" i="87"/>
  <c r="G288" i="87" s="1"/>
  <c r="J287" i="87"/>
  <c r="L287" i="87" s="1"/>
  <c r="I287" i="87"/>
  <c r="E287" i="87"/>
  <c r="G287" i="87" s="1"/>
  <c r="I286" i="87"/>
  <c r="E286" i="87"/>
  <c r="G286" i="87" s="1"/>
  <c r="J286" i="87" s="1"/>
  <c r="L286" i="87" s="1"/>
  <c r="J285" i="87"/>
  <c r="L285" i="87" s="1"/>
  <c r="I285" i="87"/>
  <c r="E285" i="87"/>
  <c r="G285" i="87" s="1"/>
  <c r="J284" i="87"/>
  <c r="L284" i="87" s="1"/>
  <c r="I284" i="87"/>
  <c r="E284" i="87"/>
  <c r="G284" i="87" s="1"/>
  <c r="I283" i="87"/>
  <c r="E283" i="87"/>
  <c r="G283" i="87" s="1"/>
  <c r="J283" i="87" s="1"/>
  <c r="L283" i="87" s="1"/>
  <c r="J282" i="87"/>
  <c r="L282" i="87" s="1"/>
  <c r="I282" i="87"/>
  <c r="E282" i="87"/>
  <c r="G282" i="87" s="1"/>
  <c r="I281" i="87"/>
  <c r="E281" i="87"/>
  <c r="G281" i="87" s="1"/>
  <c r="J281" i="87" s="1"/>
  <c r="L281" i="87" s="1"/>
  <c r="I280" i="87"/>
  <c r="E280" i="87"/>
  <c r="G280" i="87" s="1"/>
  <c r="J280" i="87" s="1"/>
  <c r="L280" i="87" s="1"/>
  <c r="I279" i="87"/>
  <c r="E279" i="87"/>
  <c r="G279" i="87" s="1"/>
  <c r="J279" i="87" s="1"/>
  <c r="L279" i="87" s="1"/>
  <c r="I278" i="87"/>
  <c r="E278" i="87"/>
  <c r="G278" i="87" s="1"/>
  <c r="J278" i="87" s="1"/>
  <c r="L278" i="87" s="1"/>
  <c r="J277" i="87"/>
  <c r="L277" i="87" s="1"/>
  <c r="I277" i="87"/>
  <c r="E277" i="87"/>
  <c r="G277" i="87" s="1"/>
  <c r="J276" i="87"/>
  <c r="L276" i="87" s="1"/>
  <c r="I276" i="87"/>
  <c r="E276" i="87"/>
  <c r="G276" i="87" s="1"/>
  <c r="I275" i="87"/>
  <c r="E275" i="87"/>
  <c r="G275" i="87" s="1"/>
  <c r="J275" i="87" s="1"/>
  <c r="L275" i="87" s="1"/>
  <c r="L274" i="87"/>
  <c r="J274" i="87"/>
  <c r="I274" i="87"/>
  <c r="E274" i="87"/>
  <c r="G274" i="87" s="1"/>
  <c r="I273" i="87"/>
  <c r="E273" i="87"/>
  <c r="G273" i="87" s="1"/>
  <c r="J273" i="87" s="1"/>
  <c r="L273" i="87" s="1"/>
  <c r="J272" i="87"/>
  <c r="L272" i="87" s="1"/>
  <c r="I272" i="87"/>
  <c r="E272" i="87"/>
  <c r="G272" i="87" s="1"/>
  <c r="K295" i="87"/>
  <c r="I271" i="87"/>
  <c r="E271" i="87"/>
  <c r="G271" i="87" s="1"/>
  <c r="J271" i="87" s="1"/>
  <c r="L271" i="87" s="1"/>
  <c r="J270" i="87"/>
  <c r="L270" i="87" s="1"/>
  <c r="I270" i="87"/>
  <c r="E270" i="87"/>
  <c r="G270" i="87" s="1"/>
  <c r="L269" i="87"/>
  <c r="J269" i="87"/>
  <c r="I269" i="87"/>
  <c r="E269" i="87"/>
  <c r="G269" i="87" s="1"/>
  <c r="I268" i="87"/>
  <c r="E268" i="87"/>
  <c r="G268" i="87" s="1"/>
  <c r="J268" i="87" s="1"/>
  <c r="L268" i="87" s="1"/>
  <c r="I267" i="87"/>
  <c r="E267" i="87"/>
  <c r="G267" i="87" s="1"/>
  <c r="J267" i="87" s="1"/>
  <c r="L267" i="87" s="1"/>
  <c r="I266" i="87"/>
  <c r="E266" i="87"/>
  <c r="G266" i="87" s="1"/>
  <c r="J266" i="87" s="1"/>
  <c r="L266" i="87" s="1"/>
  <c r="I265" i="87"/>
  <c r="E265" i="87"/>
  <c r="G265" i="87" s="1"/>
  <c r="J265" i="87" s="1"/>
  <c r="L265" i="87" s="1"/>
  <c r="J264" i="87"/>
  <c r="L264" i="87" s="1"/>
  <c r="I264" i="87"/>
  <c r="E264" i="87"/>
  <c r="G264" i="87" s="1"/>
  <c r="I263" i="87"/>
  <c r="E263" i="87"/>
  <c r="G263" i="87" s="1"/>
  <c r="J263" i="87" s="1"/>
  <c r="L263" i="87" s="1"/>
  <c r="I262" i="87"/>
  <c r="E262" i="87"/>
  <c r="G262" i="87" s="1"/>
  <c r="J262" i="87" s="1"/>
  <c r="L262" i="87" s="1"/>
  <c r="I261" i="87"/>
  <c r="E261" i="87"/>
  <c r="G261" i="87" s="1"/>
  <c r="J261" i="87" s="1"/>
  <c r="L261" i="87" s="1"/>
  <c r="I260" i="87"/>
  <c r="E260" i="87"/>
  <c r="G260" i="87" s="1"/>
  <c r="J260" i="87" s="1"/>
  <c r="L260" i="87" s="1"/>
  <c r="I259" i="87"/>
  <c r="E259" i="87"/>
  <c r="G259" i="87" s="1"/>
  <c r="J259" i="87" s="1"/>
  <c r="L259" i="87" s="1"/>
  <c r="I258" i="87"/>
  <c r="E258" i="87"/>
  <c r="G258" i="87" s="1"/>
  <c r="J258" i="87" s="1"/>
  <c r="L258" i="87" s="1"/>
  <c r="I257" i="87"/>
  <c r="E257" i="87"/>
  <c r="G257" i="87" s="1"/>
  <c r="J257" i="87" s="1"/>
  <c r="L257" i="87" s="1"/>
  <c r="I256" i="87"/>
  <c r="E256" i="87"/>
  <c r="G256" i="87" s="1"/>
  <c r="J256" i="87" s="1"/>
  <c r="L256" i="87" s="1"/>
  <c r="J255" i="87"/>
  <c r="L255" i="87" s="1"/>
  <c r="I255" i="87"/>
  <c r="E255" i="87"/>
  <c r="G255" i="87" s="1"/>
  <c r="I254" i="87"/>
  <c r="E254" i="87"/>
  <c r="G254" i="87" s="1"/>
  <c r="J254" i="87" s="1"/>
  <c r="L254" i="87" s="1"/>
  <c r="J253" i="87"/>
  <c r="L253" i="87" s="1"/>
  <c r="I253" i="87"/>
  <c r="E253" i="87"/>
  <c r="G253" i="87" s="1"/>
  <c r="J252" i="87"/>
  <c r="L252" i="87" s="1"/>
  <c r="I252" i="87"/>
  <c r="E252" i="87"/>
  <c r="G252" i="87" s="1"/>
  <c r="J251" i="87"/>
  <c r="L251" i="87" s="1"/>
  <c r="I251" i="87"/>
  <c r="E251" i="87"/>
  <c r="G251" i="87" s="1"/>
  <c r="J250" i="87"/>
  <c r="L250" i="87" s="1"/>
  <c r="I250" i="87"/>
  <c r="E250" i="87"/>
  <c r="G250" i="87" s="1"/>
  <c r="I249" i="87"/>
  <c r="E249" i="87"/>
  <c r="G249" i="87" s="1"/>
  <c r="J249" i="87" s="1"/>
  <c r="L249" i="87" s="1"/>
  <c r="I248" i="87"/>
  <c r="E248" i="87"/>
  <c r="G248" i="87" s="1"/>
  <c r="K214" i="87"/>
  <c r="F214" i="87"/>
  <c r="F238" i="87" s="1"/>
  <c r="D238" i="87"/>
  <c r="C238" i="87"/>
  <c r="I237" i="87"/>
  <c r="E237" i="87"/>
  <c r="G237" i="87" s="1"/>
  <c r="J237" i="87" s="1"/>
  <c r="L237" i="87" s="1"/>
  <c r="J236" i="87"/>
  <c r="L236" i="87" s="1"/>
  <c r="I236" i="87"/>
  <c r="E236" i="87"/>
  <c r="G236" i="87" s="1"/>
  <c r="I235" i="87"/>
  <c r="E235" i="87"/>
  <c r="G235" i="87" s="1"/>
  <c r="J235" i="87" s="1"/>
  <c r="L235" i="87" s="1"/>
  <c r="J234" i="87"/>
  <c r="L234" i="87" s="1"/>
  <c r="I234" i="87"/>
  <c r="E234" i="87"/>
  <c r="G234" i="87" s="1"/>
  <c r="J233" i="87"/>
  <c r="L233" i="87" s="1"/>
  <c r="I233" i="87"/>
  <c r="G233" i="87"/>
  <c r="E233" i="87"/>
  <c r="J232" i="87"/>
  <c r="L232" i="87" s="1"/>
  <c r="I232" i="87"/>
  <c r="E232" i="87"/>
  <c r="G232" i="87" s="1"/>
  <c r="J231" i="87"/>
  <c r="L231" i="87" s="1"/>
  <c r="I231" i="87"/>
  <c r="E231" i="87"/>
  <c r="G231" i="87" s="1"/>
  <c r="J230" i="87"/>
  <c r="L230" i="87" s="1"/>
  <c r="I230" i="87"/>
  <c r="E230" i="87"/>
  <c r="G230" i="87" s="1"/>
  <c r="I229" i="87"/>
  <c r="E229" i="87"/>
  <c r="G229" i="87" s="1"/>
  <c r="J229" i="87" s="1"/>
  <c r="L229" i="87" s="1"/>
  <c r="J228" i="87"/>
  <c r="L228" i="87" s="1"/>
  <c r="I228" i="87"/>
  <c r="E228" i="87"/>
  <c r="G228" i="87" s="1"/>
  <c r="J227" i="87"/>
  <c r="L227" i="87" s="1"/>
  <c r="I227" i="87"/>
  <c r="E227" i="87"/>
  <c r="G227" i="87" s="1"/>
  <c r="I226" i="87"/>
  <c r="E226" i="87"/>
  <c r="G226" i="87" s="1"/>
  <c r="J226" i="87" s="1"/>
  <c r="L226" i="87" s="1"/>
  <c r="J225" i="87"/>
  <c r="L225" i="87" s="1"/>
  <c r="I225" i="87"/>
  <c r="E225" i="87"/>
  <c r="G225" i="87" s="1"/>
  <c r="I224" i="87"/>
  <c r="E224" i="87"/>
  <c r="G224" i="87" s="1"/>
  <c r="J224" i="87" s="1"/>
  <c r="L224" i="87" s="1"/>
  <c r="I223" i="87"/>
  <c r="E223" i="87"/>
  <c r="G223" i="87" s="1"/>
  <c r="J223" i="87" s="1"/>
  <c r="L223" i="87" s="1"/>
  <c r="I222" i="87"/>
  <c r="E222" i="87"/>
  <c r="G222" i="87" s="1"/>
  <c r="J222" i="87" s="1"/>
  <c r="L222" i="87" s="1"/>
  <c r="I221" i="87"/>
  <c r="G221" i="87"/>
  <c r="J221" i="87" s="1"/>
  <c r="L221" i="87" s="1"/>
  <c r="E221" i="87"/>
  <c r="J220" i="87"/>
  <c r="L220" i="87" s="1"/>
  <c r="I220" i="87"/>
  <c r="E220" i="87"/>
  <c r="G220" i="87" s="1"/>
  <c r="J219" i="87"/>
  <c r="L219" i="87" s="1"/>
  <c r="I219" i="87"/>
  <c r="E219" i="87"/>
  <c r="G219" i="87" s="1"/>
  <c r="I218" i="87"/>
  <c r="E218" i="87"/>
  <c r="G218" i="87" s="1"/>
  <c r="J218" i="87" s="1"/>
  <c r="L218" i="87" s="1"/>
  <c r="J217" i="87"/>
  <c r="L217" i="87" s="1"/>
  <c r="I217" i="87"/>
  <c r="G217" i="87"/>
  <c r="E217" i="87"/>
  <c r="I216" i="87"/>
  <c r="E216" i="87"/>
  <c r="G216" i="87" s="1"/>
  <c r="J216" i="87" s="1"/>
  <c r="L216" i="87" s="1"/>
  <c r="J215" i="87"/>
  <c r="L215" i="87" s="1"/>
  <c r="I215" i="87"/>
  <c r="E215" i="87"/>
  <c r="G215" i="87" s="1"/>
  <c r="I214" i="87"/>
  <c r="E214" i="87"/>
  <c r="J213" i="87"/>
  <c r="L213" i="87" s="1"/>
  <c r="I213" i="87"/>
  <c r="G213" i="87"/>
  <c r="E213" i="87"/>
  <c r="J212" i="87"/>
  <c r="L212" i="87" s="1"/>
  <c r="I212" i="87"/>
  <c r="E212" i="87"/>
  <c r="G212" i="87" s="1"/>
  <c r="I211" i="87"/>
  <c r="E211" i="87"/>
  <c r="G211" i="87" s="1"/>
  <c r="J211" i="87" s="1"/>
  <c r="L211" i="87" s="1"/>
  <c r="I210" i="87"/>
  <c r="E210" i="87"/>
  <c r="G210" i="87" s="1"/>
  <c r="J210" i="87" s="1"/>
  <c r="L210" i="87" s="1"/>
  <c r="I209" i="87"/>
  <c r="E209" i="87"/>
  <c r="G209" i="87" s="1"/>
  <c r="J209" i="87" s="1"/>
  <c r="L209" i="87" s="1"/>
  <c r="I208" i="87"/>
  <c r="E208" i="87"/>
  <c r="G208" i="87" s="1"/>
  <c r="J208" i="87" s="1"/>
  <c r="L208" i="87" s="1"/>
  <c r="J207" i="87"/>
  <c r="L207" i="87" s="1"/>
  <c r="I207" i="87"/>
  <c r="G207" i="87"/>
  <c r="E207" i="87"/>
  <c r="I206" i="87"/>
  <c r="E206" i="87"/>
  <c r="G206" i="87" s="1"/>
  <c r="J206" i="87" s="1"/>
  <c r="L206" i="87" s="1"/>
  <c r="I205" i="87"/>
  <c r="E205" i="87"/>
  <c r="G205" i="87" s="1"/>
  <c r="J205" i="87" s="1"/>
  <c r="L205" i="87" s="1"/>
  <c r="I204" i="87"/>
  <c r="E204" i="87"/>
  <c r="G204" i="87" s="1"/>
  <c r="J204" i="87" s="1"/>
  <c r="L204" i="87" s="1"/>
  <c r="I203" i="87"/>
  <c r="E203" i="87"/>
  <c r="G203" i="87" s="1"/>
  <c r="J203" i="87" s="1"/>
  <c r="L203" i="87" s="1"/>
  <c r="I202" i="87"/>
  <c r="E202" i="87"/>
  <c r="G202" i="87" s="1"/>
  <c r="J202" i="87" s="1"/>
  <c r="L202" i="87" s="1"/>
  <c r="I201" i="87"/>
  <c r="E201" i="87"/>
  <c r="G201" i="87" s="1"/>
  <c r="J201" i="87" s="1"/>
  <c r="L201" i="87" s="1"/>
  <c r="I200" i="87"/>
  <c r="E200" i="87"/>
  <c r="G200" i="87" s="1"/>
  <c r="J200" i="87" s="1"/>
  <c r="L200" i="87" s="1"/>
  <c r="I199" i="87"/>
  <c r="E199" i="87"/>
  <c r="G199" i="87" s="1"/>
  <c r="J199" i="87" s="1"/>
  <c r="L199" i="87" s="1"/>
  <c r="J198" i="87"/>
  <c r="L198" i="87" s="1"/>
  <c r="I198" i="87"/>
  <c r="E198" i="87"/>
  <c r="G198" i="87" s="1"/>
  <c r="I197" i="87"/>
  <c r="E197" i="87"/>
  <c r="G197" i="87" s="1"/>
  <c r="J197" i="87" s="1"/>
  <c r="L197" i="87" s="1"/>
  <c r="J196" i="87"/>
  <c r="L196" i="87" s="1"/>
  <c r="I196" i="87"/>
  <c r="E196" i="87"/>
  <c r="G196" i="87" s="1"/>
  <c r="J195" i="87"/>
  <c r="L195" i="87" s="1"/>
  <c r="I195" i="87"/>
  <c r="E195" i="87"/>
  <c r="G195" i="87" s="1"/>
  <c r="J194" i="87"/>
  <c r="L194" i="87" s="1"/>
  <c r="I194" i="87"/>
  <c r="E194" i="87"/>
  <c r="G194" i="87" s="1"/>
  <c r="J193" i="87"/>
  <c r="L193" i="87" s="1"/>
  <c r="I193" i="87"/>
  <c r="E193" i="87"/>
  <c r="G193" i="87" s="1"/>
  <c r="I192" i="87"/>
  <c r="E192" i="87"/>
  <c r="G192" i="87" s="1"/>
  <c r="I191" i="87"/>
  <c r="E191" i="87"/>
  <c r="G191" i="87" s="1"/>
  <c r="J191" i="87" s="1"/>
  <c r="K181" i="87"/>
  <c r="F181" i="87"/>
  <c r="D181" i="87"/>
  <c r="C181" i="87"/>
  <c r="I180" i="87"/>
  <c r="E180" i="87"/>
  <c r="G180" i="87" s="1"/>
  <c r="J180" i="87" s="1"/>
  <c r="L180" i="87" s="1"/>
  <c r="J179" i="87"/>
  <c r="L179" i="87" s="1"/>
  <c r="I179" i="87"/>
  <c r="E179" i="87"/>
  <c r="G179" i="87" s="1"/>
  <c r="I178" i="87"/>
  <c r="E178" i="87"/>
  <c r="G178" i="87" s="1"/>
  <c r="J178" i="87" s="1"/>
  <c r="L178" i="87" s="1"/>
  <c r="J177" i="87"/>
  <c r="L177" i="87" s="1"/>
  <c r="I177" i="87"/>
  <c r="E177" i="87"/>
  <c r="G177" i="87" s="1"/>
  <c r="J176" i="87"/>
  <c r="L176" i="87" s="1"/>
  <c r="I176" i="87"/>
  <c r="E176" i="87"/>
  <c r="G176" i="87" s="1"/>
  <c r="J175" i="87"/>
  <c r="L175" i="87" s="1"/>
  <c r="I175" i="87"/>
  <c r="E175" i="87"/>
  <c r="G175" i="87" s="1"/>
  <c r="J174" i="87"/>
  <c r="L174" i="87" s="1"/>
  <c r="I174" i="87"/>
  <c r="E174" i="87"/>
  <c r="G174" i="87" s="1"/>
  <c r="J173" i="87"/>
  <c r="L173" i="87" s="1"/>
  <c r="I173" i="87"/>
  <c r="E173" i="87"/>
  <c r="G173" i="87" s="1"/>
  <c r="I172" i="87"/>
  <c r="E172" i="87"/>
  <c r="G172" i="87" s="1"/>
  <c r="J172" i="87" s="1"/>
  <c r="L172" i="87" s="1"/>
  <c r="J171" i="87"/>
  <c r="L171" i="87" s="1"/>
  <c r="I171" i="87"/>
  <c r="E171" i="87"/>
  <c r="G171" i="87" s="1"/>
  <c r="J170" i="87"/>
  <c r="L170" i="87" s="1"/>
  <c r="I170" i="87"/>
  <c r="E170" i="87"/>
  <c r="G170" i="87" s="1"/>
  <c r="I169" i="87"/>
  <c r="E169" i="87"/>
  <c r="G169" i="87" s="1"/>
  <c r="J169" i="87" s="1"/>
  <c r="L169" i="87" s="1"/>
  <c r="J168" i="87"/>
  <c r="L168" i="87" s="1"/>
  <c r="I168" i="87"/>
  <c r="E168" i="87"/>
  <c r="G168" i="87" s="1"/>
  <c r="I167" i="87"/>
  <c r="E167" i="87"/>
  <c r="G167" i="87" s="1"/>
  <c r="J167" i="87" s="1"/>
  <c r="L167" i="87" s="1"/>
  <c r="I166" i="87"/>
  <c r="E166" i="87"/>
  <c r="G166" i="87" s="1"/>
  <c r="J166" i="87" s="1"/>
  <c r="L166" i="87" s="1"/>
  <c r="I165" i="87"/>
  <c r="E165" i="87"/>
  <c r="G165" i="87" s="1"/>
  <c r="J165" i="87" s="1"/>
  <c r="L165" i="87" s="1"/>
  <c r="I164" i="87"/>
  <c r="E164" i="87"/>
  <c r="G164" i="87" s="1"/>
  <c r="J164" i="87" s="1"/>
  <c r="L164" i="87" s="1"/>
  <c r="J163" i="87"/>
  <c r="L163" i="87" s="1"/>
  <c r="I163" i="87"/>
  <c r="E163" i="87"/>
  <c r="G163" i="87" s="1"/>
  <c r="J162" i="87"/>
  <c r="L162" i="87" s="1"/>
  <c r="I162" i="87"/>
  <c r="E162" i="87"/>
  <c r="G162" i="87" s="1"/>
  <c r="I161" i="87"/>
  <c r="E161" i="87"/>
  <c r="G161" i="87" s="1"/>
  <c r="J161" i="87" s="1"/>
  <c r="L161" i="87" s="1"/>
  <c r="J160" i="87"/>
  <c r="L160" i="87" s="1"/>
  <c r="I160" i="87"/>
  <c r="E160" i="87"/>
  <c r="G160" i="87" s="1"/>
  <c r="I159" i="87"/>
  <c r="E159" i="87"/>
  <c r="G159" i="87" s="1"/>
  <c r="J159" i="87" s="1"/>
  <c r="L159" i="87" s="1"/>
  <c r="J158" i="87"/>
  <c r="L158" i="87" s="1"/>
  <c r="I158" i="87"/>
  <c r="E158" i="87"/>
  <c r="G158" i="87" s="1"/>
  <c r="I157" i="87"/>
  <c r="E157" i="87"/>
  <c r="G157" i="87" s="1"/>
  <c r="J157" i="87" s="1"/>
  <c r="L157" i="87" s="1"/>
  <c r="J156" i="87"/>
  <c r="L156" i="87" s="1"/>
  <c r="I156" i="87"/>
  <c r="E156" i="87"/>
  <c r="G156" i="87" s="1"/>
  <c r="J155" i="87"/>
  <c r="L155" i="87" s="1"/>
  <c r="I155" i="87"/>
  <c r="E155" i="87"/>
  <c r="G155" i="87" s="1"/>
  <c r="I154" i="87"/>
  <c r="E154" i="87"/>
  <c r="G154" i="87" s="1"/>
  <c r="J154" i="87" s="1"/>
  <c r="L154" i="87" s="1"/>
  <c r="I153" i="87"/>
  <c r="E153" i="87"/>
  <c r="G153" i="87" s="1"/>
  <c r="J153" i="87" s="1"/>
  <c r="L153" i="87" s="1"/>
  <c r="I152" i="87"/>
  <c r="E152" i="87"/>
  <c r="G152" i="87" s="1"/>
  <c r="J152" i="87" s="1"/>
  <c r="L152" i="87" s="1"/>
  <c r="I151" i="87"/>
  <c r="E151" i="87"/>
  <c r="G151" i="87" s="1"/>
  <c r="J151" i="87" s="1"/>
  <c r="L151" i="87" s="1"/>
  <c r="J150" i="87"/>
  <c r="L150" i="87" s="1"/>
  <c r="I150" i="87"/>
  <c r="E150" i="87"/>
  <c r="G150" i="87" s="1"/>
  <c r="I149" i="87"/>
  <c r="E149" i="87"/>
  <c r="G149" i="87" s="1"/>
  <c r="J149" i="87" s="1"/>
  <c r="L149" i="87" s="1"/>
  <c r="I148" i="87"/>
  <c r="E148" i="87"/>
  <c r="G148" i="87" s="1"/>
  <c r="J148" i="87" s="1"/>
  <c r="L148" i="87" s="1"/>
  <c r="I147" i="87"/>
  <c r="E147" i="87"/>
  <c r="G147" i="87" s="1"/>
  <c r="J147" i="87" s="1"/>
  <c r="L147" i="87" s="1"/>
  <c r="I146" i="87"/>
  <c r="E146" i="87"/>
  <c r="G146" i="87" s="1"/>
  <c r="J146" i="87" s="1"/>
  <c r="L146" i="87" s="1"/>
  <c r="I145" i="87"/>
  <c r="E145" i="87"/>
  <c r="G145" i="87" s="1"/>
  <c r="J145" i="87" s="1"/>
  <c r="L145" i="87" s="1"/>
  <c r="I144" i="87"/>
  <c r="E144" i="87"/>
  <c r="G144" i="87" s="1"/>
  <c r="J144" i="87" s="1"/>
  <c r="L144" i="87" s="1"/>
  <c r="I143" i="87"/>
  <c r="E143" i="87"/>
  <c r="G143" i="87" s="1"/>
  <c r="J143" i="87" s="1"/>
  <c r="L143" i="87" s="1"/>
  <c r="I142" i="87"/>
  <c r="E142" i="87"/>
  <c r="G142" i="87" s="1"/>
  <c r="J142" i="87" s="1"/>
  <c r="L142" i="87" s="1"/>
  <c r="J141" i="87"/>
  <c r="L141" i="87" s="1"/>
  <c r="I141" i="87"/>
  <c r="E141" i="87"/>
  <c r="G141" i="87" s="1"/>
  <c r="I140" i="87"/>
  <c r="E140" i="87"/>
  <c r="G140" i="87" s="1"/>
  <c r="J140" i="87" s="1"/>
  <c r="L140" i="87" s="1"/>
  <c r="J139" i="87"/>
  <c r="L139" i="87" s="1"/>
  <c r="I139" i="87"/>
  <c r="E139" i="87"/>
  <c r="G139" i="87" s="1"/>
  <c r="J138" i="87"/>
  <c r="L138" i="87" s="1"/>
  <c r="I138" i="87"/>
  <c r="E138" i="87"/>
  <c r="G138" i="87" s="1"/>
  <c r="J137" i="87"/>
  <c r="L137" i="87" s="1"/>
  <c r="I137" i="87"/>
  <c r="E137" i="87"/>
  <c r="G137" i="87" s="1"/>
  <c r="J136" i="87"/>
  <c r="L136" i="87" s="1"/>
  <c r="I136" i="87"/>
  <c r="E136" i="87"/>
  <c r="G136" i="87" s="1"/>
  <c r="I135" i="87"/>
  <c r="E135" i="87"/>
  <c r="G135" i="87" s="1"/>
  <c r="J135" i="87" s="1"/>
  <c r="L135" i="87" s="1"/>
  <c r="I134" i="87"/>
  <c r="E134" i="87"/>
  <c r="G134" i="87" s="1"/>
  <c r="K124" i="87"/>
  <c r="D124" i="87"/>
  <c r="C124" i="87"/>
  <c r="I123" i="87"/>
  <c r="E123" i="87"/>
  <c r="G123" i="87" s="1"/>
  <c r="J123" i="87" s="1"/>
  <c r="L123" i="87" s="1"/>
  <c r="J122" i="87"/>
  <c r="L122" i="87" s="1"/>
  <c r="I122" i="87"/>
  <c r="E122" i="87"/>
  <c r="G122" i="87" s="1"/>
  <c r="I121" i="87"/>
  <c r="E121" i="87"/>
  <c r="G121" i="87" s="1"/>
  <c r="J121" i="87" s="1"/>
  <c r="L121" i="87" s="1"/>
  <c r="L120" i="87"/>
  <c r="J120" i="87"/>
  <c r="I120" i="87"/>
  <c r="E120" i="87"/>
  <c r="G120" i="87" s="1"/>
  <c r="J119" i="87"/>
  <c r="L119" i="87" s="1"/>
  <c r="I119" i="87"/>
  <c r="E119" i="87"/>
  <c r="G119" i="87" s="1"/>
  <c r="L118" i="87"/>
  <c r="J118" i="87"/>
  <c r="I118" i="87"/>
  <c r="E118" i="87"/>
  <c r="G118" i="87" s="1"/>
  <c r="J117" i="87"/>
  <c r="L117" i="87" s="1"/>
  <c r="I117" i="87"/>
  <c r="E117" i="87"/>
  <c r="G117" i="87" s="1"/>
  <c r="L116" i="87"/>
  <c r="J116" i="87"/>
  <c r="I116" i="87"/>
  <c r="E116" i="87"/>
  <c r="G116" i="87" s="1"/>
  <c r="I115" i="87"/>
  <c r="E115" i="87"/>
  <c r="G115" i="87" s="1"/>
  <c r="J115" i="87" s="1"/>
  <c r="L115" i="87" s="1"/>
  <c r="J114" i="87"/>
  <c r="L114" i="87" s="1"/>
  <c r="I114" i="87"/>
  <c r="E114" i="87"/>
  <c r="G114" i="87" s="1"/>
  <c r="J113" i="87"/>
  <c r="L113" i="87" s="1"/>
  <c r="I113" i="87"/>
  <c r="E113" i="87"/>
  <c r="G113" i="87" s="1"/>
  <c r="I112" i="87"/>
  <c r="E112" i="87"/>
  <c r="G112" i="87" s="1"/>
  <c r="J112" i="87" s="1"/>
  <c r="L112" i="87" s="1"/>
  <c r="J111" i="87"/>
  <c r="L111" i="87" s="1"/>
  <c r="I111" i="87"/>
  <c r="E111" i="87"/>
  <c r="G111" i="87" s="1"/>
  <c r="I110" i="87"/>
  <c r="E110" i="87"/>
  <c r="G110" i="87" s="1"/>
  <c r="J110" i="87" s="1"/>
  <c r="L110" i="87" s="1"/>
  <c r="I109" i="87"/>
  <c r="F124" i="87"/>
  <c r="E109" i="87"/>
  <c r="G109" i="87" s="1"/>
  <c r="J109" i="87" s="1"/>
  <c r="L109" i="87" s="1"/>
  <c r="I108" i="87"/>
  <c r="E108" i="87"/>
  <c r="G108" i="87" s="1"/>
  <c r="J108" i="87" s="1"/>
  <c r="L108" i="87" s="1"/>
  <c r="I107" i="87"/>
  <c r="E107" i="87"/>
  <c r="G107" i="87" s="1"/>
  <c r="J107" i="87" s="1"/>
  <c r="L107" i="87" s="1"/>
  <c r="J106" i="87"/>
  <c r="L106" i="87" s="1"/>
  <c r="I106" i="87"/>
  <c r="E106" i="87"/>
  <c r="G106" i="87" s="1"/>
  <c r="J105" i="87"/>
  <c r="L105" i="87" s="1"/>
  <c r="I105" i="87"/>
  <c r="E105" i="87"/>
  <c r="G105" i="87" s="1"/>
  <c r="I104" i="87"/>
  <c r="E104" i="87"/>
  <c r="G104" i="87" s="1"/>
  <c r="J104" i="87" s="1"/>
  <c r="L104" i="87" s="1"/>
  <c r="J103" i="87"/>
  <c r="L103" i="87" s="1"/>
  <c r="I103" i="87"/>
  <c r="E103" i="87"/>
  <c r="G103" i="87" s="1"/>
  <c r="I102" i="87"/>
  <c r="E102" i="87"/>
  <c r="G102" i="87" s="1"/>
  <c r="J102" i="87" s="1"/>
  <c r="L102" i="87" s="1"/>
  <c r="J101" i="87"/>
  <c r="L101" i="87" s="1"/>
  <c r="I101" i="87"/>
  <c r="E101" i="87"/>
  <c r="G101" i="87" s="1"/>
  <c r="I100" i="87"/>
  <c r="E100" i="87"/>
  <c r="G100" i="87" s="1"/>
  <c r="J100" i="87" s="1"/>
  <c r="L100" i="87" s="1"/>
  <c r="J99" i="87"/>
  <c r="L99" i="87" s="1"/>
  <c r="I99" i="87"/>
  <c r="E99" i="87"/>
  <c r="G99" i="87" s="1"/>
  <c r="J98" i="87"/>
  <c r="L98" i="87" s="1"/>
  <c r="I98" i="87"/>
  <c r="E98" i="87"/>
  <c r="G98" i="87" s="1"/>
  <c r="I97" i="87"/>
  <c r="E97" i="87"/>
  <c r="G97" i="87" s="1"/>
  <c r="J97" i="87" s="1"/>
  <c r="L97" i="87" s="1"/>
  <c r="I96" i="87"/>
  <c r="E96" i="87"/>
  <c r="G96" i="87" s="1"/>
  <c r="J96" i="87" s="1"/>
  <c r="L96" i="87" s="1"/>
  <c r="I95" i="87"/>
  <c r="E95" i="87"/>
  <c r="G95" i="87" s="1"/>
  <c r="J95" i="87" s="1"/>
  <c r="L95" i="87" s="1"/>
  <c r="I94" i="87"/>
  <c r="E94" i="87"/>
  <c r="G94" i="87" s="1"/>
  <c r="J94" i="87" s="1"/>
  <c r="L94" i="87" s="1"/>
  <c r="J93" i="87"/>
  <c r="L93" i="87" s="1"/>
  <c r="I93" i="87"/>
  <c r="E93" i="87"/>
  <c r="G93" i="87" s="1"/>
  <c r="I92" i="87"/>
  <c r="E92" i="87"/>
  <c r="G92" i="87" s="1"/>
  <c r="J92" i="87" s="1"/>
  <c r="L92" i="87" s="1"/>
  <c r="I91" i="87"/>
  <c r="E91" i="87"/>
  <c r="G91" i="87" s="1"/>
  <c r="J91" i="87" s="1"/>
  <c r="L91" i="87" s="1"/>
  <c r="I90" i="87"/>
  <c r="E90" i="87"/>
  <c r="G90" i="87" s="1"/>
  <c r="J90" i="87" s="1"/>
  <c r="L90" i="87" s="1"/>
  <c r="I89" i="87"/>
  <c r="E89" i="87"/>
  <c r="G89" i="87" s="1"/>
  <c r="J89" i="87" s="1"/>
  <c r="L89" i="87" s="1"/>
  <c r="I88" i="87"/>
  <c r="E88" i="87"/>
  <c r="G88" i="87" s="1"/>
  <c r="J88" i="87" s="1"/>
  <c r="L88" i="87" s="1"/>
  <c r="I87" i="87"/>
  <c r="E87" i="87"/>
  <c r="G87" i="87" s="1"/>
  <c r="J87" i="87" s="1"/>
  <c r="L87" i="87" s="1"/>
  <c r="I86" i="87"/>
  <c r="E86" i="87"/>
  <c r="G86" i="87" s="1"/>
  <c r="J86" i="87" s="1"/>
  <c r="L86" i="87" s="1"/>
  <c r="I85" i="87"/>
  <c r="E85" i="87"/>
  <c r="G85" i="87" s="1"/>
  <c r="J85" i="87" s="1"/>
  <c r="L85" i="87" s="1"/>
  <c r="J84" i="87"/>
  <c r="L84" i="87" s="1"/>
  <c r="I84" i="87"/>
  <c r="E84" i="87"/>
  <c r="G84" i="87" s="1"/>
  <c r="I83" i="87"/>
  <c r="E83" i="87"/>
  <c r="G83" i="87" s="1"/>
  <c r="J83" i="87" s="1"/>
  <c r="L83" i="87" s="1"/>
  <c r="J82" i="87"/>
  <c r="L82" i="87" s="1"/>
  <c r="I82" i="87"/>
  <c r="E82" i="87"/>
  <c r="G82" i="87" s="1"/>
  <c r="J81" i="87"/>
  <c r="L81" i="87" s="1"/>
  <c r="I81" i="87"/>
  <c r="E81" i="87"/>
  <c r="G81" i="87" s="1"/>
  <c r="J80" i="87"/>
  <c r="L80" i="87" s="1"/>
  <c r="I80" i="87"/>
  <c r="E80" i="87"/>
  <c r="G80" i="87" s="1"/>
  <c r="J79" i="87"/>
  <c r="L79" i="87" s="1"/>
  <c r="I79" i="87"/>
  <c r="E79" i="87"/>
  <c r="G79" i="87" s="1"/>
  <c r="I78" i="87"/>
  <c r="E78" i="87"/>
  <c r="G78" i="87" s="1"/>
  <c r="J78" i="87" s="1"/>
  <c r="L78" i="87" s="1"/>
  <c r="I77" i="87"/>
  <c r="E77" i="87"/>
  <c r="G77" i="87" s="1"/>
  <c r="F67" i="87"/>
  <c r="F52" i="87"/>
  <c r="J248" i="87" l="1"/>
  <c r="G295" i="87"/>
  <c r="E295" i="87"/>
  <c r="G214" i="87"/>
  <c r="J214" i="87" s="1"/>
  <c r="L214" i="87" s="1"/>
  <c r="J192" i="87"/>
  <c r="L192" i="87" s="1"/>
  <c r="L191" i="87"/>
  <c r="E238" i="87"/>
  <c r="G181" i="87"/>
  <c r="E181" i="87"/>
  <c r="J134" i="87"/>
  <c r="J77" i="87"/>
  <c r="G124" i="87"/>
  <c r="E124" i="87"/>
  <c r="I53" i="87"/>
  <c r="I52" i="87"/>
  <c r="I51" i="87"/>
  <c r="I50" i="87"/>
  <c r="I49" i="87"/>
  <c r="I48" i="87"/>
  <c r="I47" i="87"/>
  <c r="I46" i="87"/>
  <c r="I45" i="87"/>
  <c r="I44" i="87"/>
  <c r="I43" i="87"/>
  <c r="I42" i="87"/>
  <c r="I41" i="87"/>
  <c r="I40" i="87"/>
  <c r="I39" i="87"/>
  <c r="I38" i="87"/>
  <c r="I37" i="87"/>
  <c r="I36" i="87"/>
  <c r="I35" i="87"/>
  <c r="I34" i="87"/>
  <c r="I33" i="87"/>
  <c r="E53" i="87"/>
  <c r="G53" i="87" s="1"/>
  <c r="J53" i="87" s="1"/>
  <c r="L53" i="87" s="1"/>
  <c r="E52" i="87"/>
  <c r="G52" i="87" s="1"/>
  <c r="J52" i="87" s="1"/>
  <c r="L52" i="87" s="1"/>
  <c r="E51" i="87"/>
  <c r="G51" i="87" s="1"/>
  <c r="J51" i="87" s="1"/>
  <c r="L51" i="87" s="1"/>
  <c r="E40" i="87"/>
  <c r="G40" i="87" s="1"/>
  <c r="J40" i="87" s="1"/>
  <c r="L40" i="87" s="1"/>
  <c r="E39" i="87"/>
  <c r="G39" i="87" s="1"/>
  <c r="J39" i="87" s="1"/>
  <c r="L39" i="87" s="1"/>
  <c r="E38" i="87"/>
  <c r="G38" i="87" s="1"/>
  <c r="J38" i="87" s="1"/>
  <c r="L38" i="87" s="1"/>
  <c r="E37" i="87"/>
  <c r="G37" i="87" s="1"/>
  <c r="J37" i="87" s="1"/>
  <c r="L37" i="87" s="1"/>
  <c r="E34" i="87"/>
  <c r="G34" i="87" s="1"/>
  <c r="J34" i="87" s="1"/>
  <c r="L34" i="87" s="1"/>
  <c r="E33" i="87"/>
  <c r="G33" i="87" s="1"/>
  <c r="J33" i="87" s="1"/>
  <c r="L33" i="87" s="1"/>
  <c r="K395" i="100"/>
  <c r="L389" i="100"/>
  <c r="G389" i="100"/>
  <c r="M389" i="100" s="1"/>
  <c r="L388" i="100"/>
  <c r="G388" i="100"/>
  <c r="M388" i="100" s="1"/>
  <c r="K387" i="100"/>
  <c r="K390" i="100" s="1"/>
  <c r="J387" i="100"/>
  <c r="J390" i="100" s="1"/>
  <c r="J392" i="100" s="1"/>
  <c r="K397" i="100" s="1"/>
  <c r="I387" i="100"/>
  <c r="I390" i="100" s="1"/>
  <c r="F387" i="100"/>
  <c r="F390" i="100" s="1"/>
  <c r="E387" i="100"/>
  <c r="E390" i="100" s="1"/>
  <c r="D387" i="100"/>
  <c r="D390" i="100" s="1"/>
  <c r="L386" i="100"/>
  <c r="G386" i="100"/>
  <c r="L384" i="100"/>
  <c r="G384" i="100"/>
  <c r="M384" i="100" s="1"/>
  <c r="L383" i="100"/>
  <c r="G383" i="100"/>
  <c r="L382" i="100"/>
  <c r="G382" i="100"/>
  <c r="L381" i="100"/>
  <c r="G381" i="100"/>
  <c r="L380" i="100"/>
  <c r="G380" i="100"/>
  <c r="L379" i="100"/>
  <c r="G379" i="100"/>
  <c r="L378" i="100"/>
  <c r="G378" i="100"/>
  <c r="L377" i="100"/>
  <c r="G377" i="100"/>
  <c r="L376" i="100"/>
  <c r="G376" i="100"/>
  <c r="M376" i="100" s="1"/>
  <c r="L375" i="100"/>
  <c r="G375" i="100"/>
  <c r="L374" i="100"/>
  <c r="G374" i="100"/>
  <c r="L373" i="100"/>
  <c r="G373" i="100"/>
  <c r="L372" i="100"/>
  <c r="G372" i="100"/>
  <c r="L371" i="100"/>
  <c r="G371" i="100"/>
  <c r="L370" i="100"/>
  <c r="G370" i="100"/>
  <c r="L369" i="100"/>
  <c r="G369" i="100"/>
  <c r="L368" i="100"/>
  <c r="G368" i="100"/>
  <c r="M368" i="100" s="1"/>
  <c r="L367" i="100"/>
  <c r="G367" i="100"/>
  <c r="L366" i="100"/>
  <c r="G366" i="100"/>
  <c r="M366" i="100" s="1"/>
  <c r="L365" i="100"/>
  <c r="G365" i="100"/>
  <c r="L364" i="100"/>
  <c r="G364" i="100"/>
  <c r="L363" i="100"/>
  <c r="G363" i="100"/>
  <c r="L362" i="100"/>
  <c r="G362" i="100"/>
  <c r="L361" i="100"/>
  <c r="G361" i="100"/>
  <c r="L360" i="100"/>
  <c r="G360" i="100"/>
  <c r="L359" i="100"/>
  <c r="G359" i="100"/>
  <c r="L358" i="100"/>
  <c r="G358" i="100"/>
  <c r="M358" i="100" s="1"/>
  <c r="L357" i="100"/>
  <c r="G357" i="100"/>
  <c r="L356" i="100"/>
  <c r="G356" i="100"/>
  <c r="L355" i="100"/>
  <c r="G355" i="100"/>
  <c r="L354" i="100"/>
  <c r="G354" i="100"/>
  <c r="M354" i="100" s="1"/>
  <c r="L353" i="100"/>
  <c r="G353" i="100"/>
  <c r="L352" i="100"/>
  <c r="G352" i="100"/>
  <c r="M352" i="100" s="1"/>
  <c r="L351" i="100"/>
  <c r="G351" i="100"/>
  <c r="L350" i="100"/>
  <c r="G350" i="100"/>
  <c r="M350" i="100" s="1"/>
  <c r="L349" i="100"/>
  <c r="G349" i="100"/>
  <c r="L348" i="100"/>
  <c r="G348" i="100"/>
  <c r="L347" i="100"/>
  <c r="G347" i="100"/>
  <c r="L346" i="100"/>
  <c r="G346" i="100"/>
  <c r="L345" i="100"/>
  <c r="G345" i="100"/>
  <c r="L344" i="100"/>
  <c r="G344" i="100"/>
  <c r="L343" i="100"/>
  <c r="G343" i="100"/>
  <c r="L342" i="100"/>
  <c r="G342" i="100"/>
  <c r="M342" i="100" s="1"/>
  <c r="L341" i="100"/>
  <c r="G341" i="100"/>
  <c r="L340" i="100"/>
  <c r="G340" i="100"/>
  <c r="L339" i="100"/>
  <c r="G339" i="100"/>
  <c r="L338" i="100"/>
  <c r="G338" i="100"/>
  <c r="G238" i="87" l="1"/>
  <c r="L248" i="87"/>
  <c r="L295" i="87" s="1"/>
  <c r="J295" i="87"/>
  <c r="J297" i="87" s="1"/>
  <c r="J238" i="87"/>
  <c r="J240" i="87" s="1"/>
  <c r="L238" i="87"/>
  <c r="J181" i="87"/>
  <c r="J183" i="87" s="1"/>
  <c r="L134" i="87"/>
  <c r="L181" i="87" s="1"/>
  <c r="J124" i="87"/>
  <c r="J126" i="87" s="1"/>
  <c r="L77" i="87"/>
  <c r="L124" i="87" s="1"/>
  <c r="M349" i="100"/>
  <c r="M346" i="100"/>
  <c r="M386" i="100"/>
  <c r="M369" i="100"/>
  <c r="M343" i="100"/>
  <c r="M351" i="100"/>
  <c r="M367" i="100"/>
  <c r="M372" i="100"/>
  <c r="M338" i="100"/>
  <c r="M362" i="100"/>
  <c r="M345" i="100"/>
  <c r="M353" i="100"/>
  <c r="M357" i="100"/>
  <c r="M361" i="100"/>
  <c r="M365" i="100"/>
  <c r="M373" i="100"/>
  <c r="M377" i="100"/>
  <c r="M381" i="100"/>
  <c r="M341" i="100"/>
  <c r="M360" i="100"/>
  <c r="M375" i="100"/>
  <c r="M383" i="100"/>
  <c r="M344" i="100"/>
  <c r="M359" i="100"/>
  <c r="M370" i="100"/>
  <c r="M374" i="100"/>
  <c r="M378" i="100"/>
  <c r="M382" i="100"/>
  <c r="M356" i="100"/>
  <c r="M339" i="100"/>
  <c r="G387" i="100"/>
  <c r="G390" i="100" s="1"/>
  <c r="M348" i="100"/>
  <c r="M355" i="100"/>
  <c r="M379" i="100"/>
  <c r="M380" i="100"/>
  <c r="M363" i="100"/>
  <c r="M340" i="100"/>
  <c r="M364" i="100"/>
  <c r="M371" i="100"/>
  <c r="M347" i="100"/>
  <c r="L387" i="100"/>
  <c r="L390" i="100" s="1"/>
  <c r="K263" i="100"/>
  <c r="L323" i="100"/>
  <c r="G323" i="100"/>
  <c r="L322" i="100"/>
  <c r="G322" i="100"/>
  <c r="K321" i="100"/>
  <c r="K324" i="100" s="1"/>
  <c r="J321" i="100"/>
  <c r="J324" i="100" s="1"/>
  <c r="J326" i="100" s="1"/>
  <c r="I321" i="100"/>
  <c r="I324" i="100" s="1"/>
  <c r="F321" i="100"/>
  <c r="F324" i="100" s="1"/>
  <c r="E321" i="100"/>
  <c r="E324" i="100" s="1"/>
  <c r="D321" i="100"/>
  <c r="D324" i="100" s="1"/>
  <c r="L320" i="100"/>
  <c r="G320" i="100"/>
  <c r="L318" i="100"/>
  <c r="G318" i="100"/>
  <c r="L317" i="100"/>
  <c r="G317" i="100"/>
  <c r="L316" i="100"/>
  <c r="G316" i="100"/>
  <c r="L315" i="100"/>
  <c r="G315" i="100"/>
  <c r="L314" i="100"/>
  <c r="G314" i="100"/>
  <c r="L313" i="100"/>
  <c r="G313" i="100"/>
  <c r="L312" i="100"/>
  <c r="G312" i="100"/>
  <c r="L311" i="100"/>
  <c r="G311" i="100"/>
  <c r="L310" i="100"/>
  <c r="G310" i="100"/>
  <c r="L309" i="100"/>
  <c r="G309" i="100"/>
  <c r="L308" i="100"/>
  <c r="G308" i="100"/>
  <c r="L307" i="100"/>
  <c r="G307" i="100"/>
  <c r="L306" i="100"/>
  <c r="G306" i="100"/>
  <c r="L305" i="100"/>
  <c r="G305" i="100"/>
  <c r="L304" i="100"/>
  <c r="G304" i="100"/>
  <c r="M304" i="100" s="1"/>
  <c r="L303" i="100"/>
  <c r="G303" i="100"/>
  <c r="L302" i="100"/>
  <c r="G302" i="100"/>
  <c r="L301" i="100"/>
  <c r="G301" i="100"/>
  <c r="L300" i="100"/>
  <c r="G300" i="100"/>
  <c r="L299" i="100"/>
  <c r="G299" i="100"/>
  <c r="L298" i="100"/>
  <c r="G298" i="100"/>
  <c r="L297" i="100"/>
  <c r="G297" i="100"/>
  <c r="L296" i="100"/>
  <c r="G296" i="100"/>
  <c r="M296" i="100" s="1"/>
  <c r="L295" i="100"/>
  <c r="G295" i="100"/>
  <c r="L294" i="100"/>
  <c r="G294" i="100"/>
  <c r="M294" i="100" s="1"/>
  <c r="L293" i="100"/>
  <c r="G293" i="100"/>
  <c r="L292" i="100"/>
  <c r="G292" i="100"/>
  <c r="L291" i="100"/>
  <c r="G291" i="100"/>
  <c r="L290" i="100"/>
  <c r="G290" i="100"/>
  <c r="L289" i="100"/>
  <c r="G289" i="100"/>
  <c r="L288" i="100"/>
  <c r="G288" i="100"/>
  <c r="M288" i="100" s="1"/>
  <c r="L287" i="100"/>
  <c r="G287" i="100"/>
  <c r="L286" i="100"/>
  <c r="G286" i="100"/>
  <c r="L285" i="100"/>
  <c r="G285" i="100"/>
  <c r="L284" i="100"/>
  <c r="G284" i="100"/>
  <c r="L283" i="100"/>
  <c r="G283" i="100"/>
  <c r="L282" i="100"/>
  <c r="G282" i="100"/>
  <c r="L281" i="100"/>
  <c r="G281" i="100"/>
  <c r="L280" i="100"/>
  <c r="G280" i="100"/>
  <c r="L279" i="100"/>
  <c r="G279" i="100"/>
  <c r="L278" i="100"/>
  <c r="G278" i="100"/>
  <c r="L277" i="100"/>
  <c r="G277" i="100"/>
  <c r="L276" i="100"/>
  <c r="G276" i="100"/>
  <c r="L275" i="100"/>
  <c r="G275" i="100"/>
  <c r="L274" i="100"/>
  <c r="G274" i="100"/>
  <c r="M274" i="100" s="1"/>
  <c r="L273" i="100"/>
  <c r="G273" i="100"/>
  <c r="L272" i="100"/>
  <c r="G272" i="100"/>
  <c r="K197" i="100"/>
  <c r="L257" i="100"/>
  <c r="G257" i="100"/>
  <c r="M257" i="100" s="1"/>
  <c r="L256" i="100"/>
  <c r="G256" i="100"/>
  <c r="K255" i="100"/>
  <c r="K258" i="100" s="1"/>
  <c r="J255" i="100"/>
  <c r="J258" i="100" s="1"/>
  <c r="J260" i="100" s="1"/>
  <c r="I255" i="100"/>
  <c r="I258" i="100" s="1"/>
  <c r="F255" i="100"/>
  <c r="F258" i="100" s="1"/>
  <c r="E255" i="100"/>
  <c r="E258" i="100" s="1"/>
  <c r="D255" i="100"/>
  <c r="D258" i="100" s="1"/>
  <c r="L254" i="100"/>
  <c r="G254" i="100"/>
  <c r="L252" i="100"/>
  <c r="G252" i="100"/>
  <c r="L251" i="100"/>
  <c r="G251" i="100"/>
  <c r="L250" i="100"/>
  <c r="G250" i="100"/>
  <c r="L249" i="100"/>
  <c r="G249" i="100"/>
  <c r="L248" i="100"/>
  <c r="G248" i="100"/>
  <c r="L247" i="100"/>
  <c r="G247" i="100"/>
  <c r="L246" i="100"/>
  <c r="G246" i="100"/>
  <c r="L245" i="100"/>
  <c r="G245" i="100"/>
  <c r="L244" i="100"/>
  <c r="G244" i="100"/>
  <c r="L243" i="100"/>
  <c r="G243" i="100"/>
  <c r="M243" i="100" s="1"/>
  <c r="L242" i="100"/>
  <c r="G242" i="100"/>
  <c r="L241" i="100"/>
  <c r="G241" i="100"/>
  <c r="L240" i="100"/>
  <c r="G240" i="100"/>
  <c r="L239" i="100"/>
  <c r="G239" i="100"/>
  <c r="L238" i="100"/>
  <c r="G238" i="100"/>
  <c r="L237" i="100"/>
  <c r="G237" i="100"/>
  <c r="L236" i="100"/>
  <c r="G236" i="100"/>
  <c r="L235" i="100"/>
  <c r="G235" i="100"/>
  <c r="M235" i="100" s="1"/>
  <c r="L234" i="100"/>
  <c r="G234" i="100"/>
  <c r="M234" i="100" s="1"/>
  <c r="L233" i="100"/>
  <c r="G233" i="100"/>
  <c r="M233" i="100" s="1"/>
  <c r="L232" i="100"/>
  <c r="G232" i="100"/>
  <c r="L231" i="100"/>
  <c r="G231" i="100"/>
  <c r="L230" i="100"/>
  <c r="G230" i="100"/>
  <c r="M230" i="100" s="1"/>
  <c r="L229" i="100"/>
  <c r="G229" i="100"/>
  <c r="L228" i="100"/>
  <c r="G228" i="100"/>
  <c r="L227" i="100"/>
  <c r="G227" i="100"/>
  <c r="M227" i="100" s="1"/>
  <c r="L226" i="100"/>
  <c r="G226" i="100"/>
  <c r="M226" i="100" s="1"/>
  <c r="L225" i="100"/>
  <c r="G225" i="100"/>
  <c r="M225" i="100" s="1"/>
  <c r="L224" i="100"/>
  <c r="G224" i="100"/>
  <c r="L223" i="100"/>
  <c r="G223" i="100"/>
  <c r="L222" i="100"/>
  <c r="G222" i="100"/>
  <c r="M222" i="100" s="1"/>
  <c r="L221" i="100"/>
  <c r="G221" i="100"/>
  <c r="M221" i="100" s="1"/>
  <c r="L220" i="100"/>
  <c r="G220" i="100"/>
  <c r="L219" i="100"/>
  <c r="G219" i="100"/>
  <c r="L218" i="100"/>
  <c r="G218" i="100"/>
  <c r="L217" i="100"/>
  <c r="G217" i="100"/>
  <c r="L216" i="100"/>
  <c r="G216" i="100"/>
  <c r="L215" i="100"/>
  <c r="G215" i="100"/>
  <c r="L214" i="100"/>
  <c r="G214" i="100"/>
  <c r="M214" i="100" s="1"/>
  <c r="L213" i="100"/>
  <c r="G213" i="100"/>
  <c r="L212" i="100"/>
  <c r="G212" i="100"/>
  <c r="L211" i="100"/>
  <c r="G211" i="100"/>
  <c r="L210" i="100"/>
  <c r="G210" i="100"/>
  <c r="M210" i="100" s="1"/>
  <c r="L209" i="100"/>
  <c r="G209" i="100"/>
  <c r="L208" i="100"/>
  <c r="G208" i="100"/>
  <c r="L207" i="100"/>
  <c r="G207" i="100"/>
  <c r="L206" i="100"/>
  <c r="G206" i="100"/>
  <c r="K131" i="100"/>
  <c r="K65" i="100"/>
  <c r="L191" i="100"/>
  <c r="G191" i="100"/>
  <c r="M191" i="100" s="1"/>
  <c r="L190" i="100"/>
  <c r="G190" i="100"/>
  <c r="K189" i="100"/>
  <c r="K192" i="100" s="1"/>
  <c r="J189" i="100"/>
  <c r="J192" i="100" s="1"/>
  <c r="J194" i="100" s="1"/>
  <c r="I189" i="100"/>
  <c r="I192" i="100" s="1"/>
  <c r="F189" i="100"/>
  <c r="F192" i="100" s="1"/>
  <c r="E189" i="100"/>
  <c r="E192" i="100" s="1"/>
  <c r="D189" i="100"/>
  <c r="D192" i="100" s="1"/>
  <c r="L188" i="100"/>
  <c r="G188" i="100"/>
  <c r="L186" i="100"/>
  <c r="G186" i="100"/>
  <c r="M186" i="100" s="1"/>
  <c r="L185" i="100"/>
  <c r="G185" i="100"/>
  <c r="M185" i="100" s="1"/>
  <c r="L184" i="100"/>
  <c r="G184" i="100"/>
  <c r="M184" i="100" s="1"/>
  <c r="L183" i="100"/>
  <c r="G183" i="100"/>
  <c r="L182" i="100"/>
  <c r="G182" i="100"/>
  <c r="M182" i="100" s="1"/>
  <c r="L181" i="100"/>
  <c r="G181" i="100"/>
  <c r="M181" i="100" s="1"/>
  <c r="L180" i="100"/>
  <c r="G180" i="100"/>
  <c r="M180" i="100" s="1"/>
  <c r="L179" i="100"/>
  <c r="G179" i="100"/>
  <c r="L178" i="100"/>
  <c r="G178" i="100"/>
  <c r="M178" i="100" s="1"/>
  <c r="L177" i="100"/>
  <c r="G177" i="100"/>
  <c r="M177" i="100" s="1"/>
  <c r="L176" i="100"/>
  <c r="G176" i="100"/>
  <c r="M176" i="100" s="1"/>
  <c r="L175" i="100"/>
  <c r="G175" i="100"/>
  <c r="L174" i="100"/>
  <c r="G174" i="100"/>
  <c r="M174" i="100" s="1"/>
  <c r="L173" i="100"/>
  <c r="G173" i="100"/>
  <c r="M173" i="100" s="1"/>
  <c r="L172" i="100"/>
  <c r="G172" i="100"/>
  <c r="L171" i="100"/>
  <c r="G171" i="100"/>
  <c r="L170" i="100"/>
  <c r="G170" i="100"/>
  <c r="M170" i="100" s="1"/>
  <c r="L169" i="100"/>
  <c r="G169" i="100"/>
  <c r="M169" i="100" s="1"/>
  <c r="L168" i="100"/>
  <c r="G168" i="100"/>
  <c r="M168" i="100" s="1"/>
  <c r="L167" i="100"/>
  <c r="G167" i="100"/>
  <c r="L166" i="100"/>
  <c r="G166" i="100"/>
  <c r="L165" i="100"/>
  <c r="G165" i="100"/>
  <c r="M165" i="100" s="1"/>
  <c r="L164" i="100"/>
  <c r="G164" i="100"/>
  <c r="M164" i="100" s="1"/>
  <c r="L163" i="100"/>
  <c r="G163" i="100"/>
  <c r="L162" i="100"/>
  <c r="G162" i="100"/>
  <c r="M162" i="100" s="1"/>
  <c r="L161" i="100"/>
  <c r="G161" i="100"/>
  <c r="M161" i="100" s="1"/>
  <c r="L160" i="100"/>
  <c r="G160" i="100"/>
  <c r="M160" i="100" s="1"/>
  <c r="L159" i="100"/>
  <c r="G159" i="100"/>
  <c r="L158" i="100"/>
  <c r="G158" i="100"/>
  <c r="M158" i="100" s="1"/>
  <c r="L157" i="100"/>
  <c r="G157" i="100"/>
  <c r="M157" i="100" s="1"/>
  <c r="L156" i="100"/>
  <c r="G156" i="100"/>
  <c r="M156" i="100" s="1"/>
  <c r="L155" i="100"/>
  <c r="G155" i="100"/>
  <c r="L154" i="100"/>
  <c r="G154" i="100"/>
  <c r="M154" i="100" s="1"/>
  <c r="L153" i="100"/>
  <c r="G153" i="100"/>
  <c r="M153" i="100" s="1"/>
  <c r="L152" i="100"/>
  <c r="G152" i="100"/>
  <c r="L151" i="100"/>
  <c r="G151" i="100"/>
  <c r="L150" i="100"/>
  <c r="G150" i="100"/>
  <c r="L149" i="100"/>
  <c r="G149" i="100"/>
  <c r="M149" i="100" s="1"/>
  <c r="L148" i="100"/>
  <c r="G148" i="100"/>
  <c r="M148" i="100" s="1"/>
  <c r="L147" i="100"/>
  <c r="G147" i="100"/>
  <c r="L146" i="100"/>
  <c r="G146" i="100"/>
  <c r="M146" i="100" s="1"/>
  <c r="L145" i="100"/>
  <c r="G145" i="100"/>
  <c r="M145" i="100" s="1"/>
  <c r="L144" i="100"/>
  <c r="G144" i="100"/>
  <c r="M144" i="100" s="1"/>
  <c r="L143" i="100"/>
  <c r="G143" i="100"/>
  <c r="L142" i="100"/>
  <c r="G142" i="100"/>
  <c r="M142" i="100" s="1"/>
  <c r="L141" i="100"/>
  <c r="G141" i="100"/>
  <c r="M141" i="100" s="1"/>
  <c r="L140" i="100"/>
  <c r="G140" i="100"/>
  <c r="L104" i="100"/>
  <c r="L90" i="100"/>
  <c r="G106" i="100"/>
  <c r="G104" i="100"/>
  <c r="G90" i="100"/>
  <c r="L107" i="100"/>
  <c r="L106" i="100"/>
  <c r="L105" i="100"/>
  <c r="L94" i="100"/>
  <c r="L93" i="100"/>
  <c r="L92" i="100"/>
  <c r="L91" i="100"/>
  <c r="L88" i="100"/>
  <c r="L87" i="100"/>
  <c r="M190" i="100" l="1"/>
  <c r="M275" i="100"/>
  <c r="M315" i="100"/>
  <c r="M236" i="100"/>
  <c r="K199" i="100"/>
  <c r="M277" i="100"/>
  <c r="M281" i="100"/>
  <c r="M285" i="100"/>
  <c r="M293" i="100"/>
  <c r="M313" i="100"/>
  <c r="M317" i="100"/>
  <c r="M322" i="100"/>
  <c r="M147" i="100"/>
  <c r="M179" i="100"/>
  <c r="M188" i="100"/>
  <c r="M245" i="100"/>
  <c r="M249" i="100"/>
  <c r="M254" i="100"/>
  <c r="M256" i="100"/>
  <c r="M276" i="100"/>
  <c r="M300" i="100"/>
  <c r="M308" i="100"/>
  <c r="M312" i="100"/>
  <c r="M323" i="100"/>
  <c r="M211" i="100"/>
  <c r="M208" i="100"/>
  <c r="M212" i="100"/>
  <c r="M216" i="100"/>
  <c r="M220" i="100"/>
  <c r="M228" i="100"/>
  <c r="M232" i="100"/>
  <c r="M247" i="100"/>
  <c r="M251" i="100"/>
  <c r="M279" i="100"/>
  <c r="M311" i="100"/>
  <c r="M320" i="100"/>
  <c r="M387" i="100"/>
  <c r="M390" i="100" s="1"/>
  <c r="M303" i="100"/>
  <c r="M290" i="100"/>
  <c r="L321" i="100"/>
  <c r="L324" i="100" s="1"/>
  <c r="M278" i="100"/>
  <c r="M307" i="100"/>
  <c r="M297" i="100"/>
  <c r="M289" i="100"/>
  <c r="M283" i="100"/>
  <c r="M280" i="100"/>
  <c r="G321" i="100"/>
  <c r="G324" i="100" s="1"/>
  <c r="K265" i="100"/>
  <c r="M272" i="100"/>
  <c r="M295" i="100"/>
  <c r="M314" i="100"/>
  <c r="M318" i="100"/>
  <c r="M282" i="100"/>
  <c r="M286" i="100"/>
  <c r="M301" i="100"/>
  <c r="M305" i="100"/>
  <c r="M309" i="100"/>
  <c r="M287" i="100"/>
  <c r="M298" i="100"/>
  <c r="M302" i="100"/>
  <c r="M306" i="100"/>
  <c r="M310" i="100"/>
  <c r="M273" i="100"/>
  <c r="M284" i="100"/>
  <c r="M292" i="100"/>
  <c r="M299" i="100"/>
  <c r="M291" i="100"/>
  <c r="M316" i="100"/>
  <c r="M252" i="100"/>
  <c r="M241" i="100"/>
  <c r="M237" i="100"/>
  <c r="M229" i="100"/>
  <c r="M224" i="100"/>
  <c r="M218" i="100"/>
  <c r="M207" i="100"/>
  <c r="M219" i="100"/>
  <c r="M215" i="100"/>
  <c r="L255" i="100"/>
  <c r="L258" i="100" s="1"/>
  <c r="M238" i="100"/>
  <c r="M242" i="100"/>
  <c r="M246" i="100"/>
  <c r="M250" i="100"/>
  <c r="M209" i="100"/>
  <c r="M213" i="100"/>
  <c r="M217" i="100"/>
  <c r="M240" i="100"/>
  <c r="M244" i="100"/>
  <c r="M248" i="100"/>
  <c r="M223" i="100"/>
  <c r="M239" i="100"/>
  <c r="G255" i="100"/>
  <c r="G258" i="100" s="1"/>
  <c r="M231" i="100"/>
  <c r="M206" i="100"/>
  <c r="M140" i="100"/>
  <c r="M152" i="100"/>
  <c r="M172" i="100"/>
  <c r="M171" i="100"/>
  <c r="M163" i="100"/>
  <c r="M155" i="100"/>
  <c r="M150" i="100"/>
  <c r="L189" i="100"/>
  <c r="L192" i="100" s="1"/>
  <c r="M166" i="100"/>
  <c r="M175" i="100"/>
  <c r="M143" i="100"/>
  <c r="M151" i="100"/>
  <c r="M159" i="100"/>
  <c r="M167" i="100"/>
  <c r="M183" i="100"/>
  <c r="G189" i="100"/>
  <c r="G192" i="100" s="1"/>
  <c r="M106" i="100"/>
  <c r="I123" i="100"/>
  <c r="G107" i="100"/>
  <c r="M107" i="100" s="1"/>
  <c r="G105" i="100"/>
  <c r="M105" i="100" s="1"/>
  <c r="G88" i="100"/>
  <c r="M88" i="100" s="1"/>
  <c r="G87" i="100"/>
  <c r="M87" i="100" s="1"/>
  <c r="G94" i="100"/>
  <c r="M94" i="100" s="1"/>
  <c r="G93" i="100"/>
  <c r="M93" i="100" s="1"/>
  <c r="G92" i="100"/>
  <c r="M92" i="100" s="1"/>
  <c r="G91" i="100"/>
  <c r="M91" i="100" s="1"/>
  <c r="M321" i="100" l="1"/>
  <c r="M324" i="100" s="1"/>
  <c r="M255" i="100"/>
  <c r="M258" i="100" s="1"/>
  <c r="M189" i="100"/>
  <c r="M192" i="100" s="1"/>
  <c r="H30" i="14"/>
  <c r="G30" i="14"/>
  <c r="F30" i="14"/>
  <c r="E30" i="14"/>
  <c r="D30" i="14"/>
  <c r="C30" i="14"/>
  <c r="H35" i="14"/>
  <c r="G35" i="14"/>
  <c r="F35" i="14"/>
  <c r="E35" i="14"/>
  <c r="D35" i="14"/>
  <c r="C35" i="14"/>
  <c r="H34" i="14" l="1"/>
  <c r="G34" i="14"/>
  <c r="F34" i="14"/>
  <c r="E34" i="14"/>
  <c r="D34" i="14"/>
  <c r="C34" i="14"/>
  <c r="H33" i="14"/>
  <c r="G33" i="14"/>
  <c r="F33" i="14"/>
  <c r="E33" i="14"/>
  <c r="D33" i="14"/>
  <c r="C33" i="14"/>
  <c r="H32" i="14"/>
  <c r="G32" i="14"/>
  <c r="F32" i="14"/>
  <c r="E32" i="14"/>
  <c r="D32" i="14"/>
  <c r="C32" i="14"/>
  <c r="B13" i="15" l="1"/>
  <c r="C13" i="15"/>
  <c r="E13" i="15"/>
  <c r="F13" i="15"/>
  <c r="G13" i="15"/>
  <c r="B23" i="15"/>
  <c r="I50" i="50" l="1"/>
  <c r="I27" i="50"/>
  <c r="I46" i="50"/>
  <c r="I45" i="50"/>
  <c r="J58" i="6" l="1"/>
  <c r="H21" i="6"/>
  <c r="J19" i="6"/>
  <c r="J18" i="6"/>
  <c r="H29" i="6"/>
  <c r="J27" i="6"/>
  <c r="J26" i="6"/>
  <c r="H37" i="6"/>
  <c r="J35" i="6"/>
  <c r="J34" i="6"/>
  <c r="H45" i="6"/>
  <c r="J43" i="6"/>
  <c r="J42" i="6"/>
  <c r="H53" i="6"/>
  <c r="J51" i="6"/>
  <c r="J50" i="6"/>
  <c r="D16" i="5"/>
  <c r="J53" i="6" l="1"/>
  <c r="I53" i="6" s="1"/>
  <c r="J21" i="6"/>
  <c r="I21" i="6"/>
  <c r="J29" i="6"/>
  <c r="I29" i="6" s="1"/>
  <c r="J37" i="6"/>
  <c r="I37" i="6" s="1"/>
  <c r="J45" i="6"/>
  <c r="I45" i="6"/>
  <c r="H30" i="105"/>
  <c r="G30" i="105"/>
  <c r="F30" i="105"/>
  <c r="E30" i="105"/>
  <c r="D30" i="105"/>
  <c r="C30" i="105"/>
  <c r="B30" i="105"/>
  <c r="C23" i="15" l="1"/>
  <c r="D23" i="15" l="1"/>
  <c r="D26" i="49"/>
  <c r="F23" i="49"/>
  <c r="E23" i="49"/>
  <c r="E17" i="49"/>
  <c r="D23" i="49"/>
  <c r="F15" i="15" l="1"/>
  <c r="C12" i="14"/>
  <c r="C53" i="14" s="1"/>
  <c r="E52" i="50" l="1"/>
  <c r="K52" i="50" s="1"/>
  <c r="I51" i="50"/>
  <c r="O51" i="50" s="1"/>
  <c r="O50" i="50"/>
  <c r="O52" i="50" s="1"/>
  <c r="E47" i="50"/>
  <c r="K47" i="50" s="1"/>
  <c r="O46" i="50"/>
  <c r="O45" i="50"/>
  <c r="K54" i="50" l="1"/>
  <c r="O47" i="50"/>
  <c r="O54" i="50" s="1"/>
  <c r="I47" i="50"/>
  <c r="I52" i="50"/>
  <c r="L125" i="100"/>
  <c r="G125" i="100"/>
  <c r="M125" i="100" s="1"/>
  <c r="L124" i="100"/>
  <c r="G124" i="100"/>
  <c r="M124" i="100" s="1"/>
  <c r="K123" i="100"/>
  <c r="K126" i="100" s="1"/>
  <c r="J123" i="100"/>
  <c r="J126" i="100" s="1"/>
  <c r="J128" i="100" s="1"/>
  <c r="I126" i="100"/>
  <c r="F123" i="100"/>
  <c r="F126" i="100" s="1"/>
  <c r="E123" i="100"/>
  <c r="E126" i="100" s="1"/>
  <c r="D123" i="100"/>
  <c r="D126" i="100" s="1"/>
  <c r="L122" i="100"/>
  <c r="G122" i="100"/>
  <c r="M122" i="100" s="1"/>
  <c r="L120" i="100"/>
  <c r="G120" i="100"/>
  <c r="L119" i="100"/>
  <c r="G119" i="100"/>
  <c r="L118" i="100"/>
  <c r="G118" i="100"/>
  <c r="M118" i="100" s="1"/>
  <c r="L117" i="100"/>
  <c r="G117" i="100"/>
  <c r="L116" i="100"/>
  <c r="G116" i="100"/>
  <c r="L115" i="100"/>
  <c r="G115" i="100"/>
  <c r="L114" i="100"/>
  <c r="G114" i="100"/>
  <c r="M114" i="100" s="1"/>
  <c r="L113" i="100"/>
  <c r="G113" i="100"/>
  <c r="L112" i="100"/>
  <c r="G112" i="100"/>
  <c r="L111" i="100"/>
  <c r="G111" i="100"/>
  <c r="L110" i="100"/>
  <c r="G110" i="100"/>
  <c r="M110" i="100" s="1"/>
  <c r="L109" i="100"/>
  <c r="G109" i="100"/>
  <c r="L108" i="100"/>
  <c r="G108" i="100"/>
  <c r="M104" i="100"/>
  <c r="L103" i="100"/>
  <c r="G103" i="100"/>
  <c r="M103" i="100" s="1"/>
  <c r="L102" i="100"/>
  <c r="G102" i="100"/>
  <c r="L101" i="100"/>
  <c r="G101" i="100"/>
  <c r="L100" i="100"/>
  <c r="G100" i="100"/>
  <c r="L99" i="100"/>
  <c r="G99" i="100"/>
  <c r="L98" i="100"/>
  <c r="G98" i="100"/>
  <c r="L97" i="100"/>
  <c r="G97" i="100"/>
  <c r="L96" i="100"/>
  <c r="G96" i="100"/>
  <c r="L95" i="100"/>
  <c r="G95" i="100"/>
  <c r="M95" i="100" s="1"/>
  <c r="M90" i="100"/>
  <c r="L89" i="100"/>
  <c r="G89" i="100"/>
  <c r="L86" i="100"/>
  <c r="G86" i="100"/>
  <c r="L85" i="100"/>
  <c r="G85" i="100"/>
  <c r="L84" i="100"/>
  <c r="G84" i="100"/>
  <c r="M84" i="100" s="1"/>
  <c r="L83" i="100"/>
  <c r="G83" i="100"/>
  <c r="L82" i="100"/>
  <c r="G82" i="100"/>
  <c r="L81" i="100"/>
  <c r="G81" i="100"/>
  <c r="L80" i="100"/>
  <c r="G80" i="100"/>
  <c r="M80" i="100" s="1"/>
  <c r="L79" i="100"/>
  <c r="G79" i="100"/>
  <c r="L78" i="100"/>
  <c r="G78" i="100"/>
  <c r="L77" i="100"/>
  <c r="G77" i="100"/>
  <c r="L76" i="100"/>
  <c r="G76" i="100"/>
  <c r="M76" i="100" s="1"/>
  <c r="L75" i="100"/>
  <c r="G75" i="100"/>
  <c r="M75" i="100" s="1"/>
  <c r="L74" i="100"/>
  <c r="G74" i="100"/>
  <c r="M77" i="100" l="1"/>
  <c r="M81" i="100"/>
  <c r="M85" i="100"/>
  <c r="M111" i="100"/>
  <c r="M115" i="100"/>
  <c r="M119" i="100"/>
  <c r="M74" i="100"/>
  <c r="M120" i="100"/>
  <c r="M89" i="100"/>
  <c r="M109" i="100"/>
  <c r="M79" i="100"/>
  <c r="M83" i="100"/>
  <c r="M97" i="100"/>
  <c r="M101" i="100"/>
  <c r="M113" i="100"/>
  <c r="M117" i="100"/>
  <c r="M98" i="100"/>
  <c r="M102" i="100"/>
  <c r="M99" i="100"/>
  <c r="M96" i="100"/>
  <c r="M100" i="100"/>
  <c r="M78" i="100"/>
  <c r="M82" i="100"/>
  <c r="M86" i="100"/>
  <c r="M108" i="100"/>
  <c r="M116" i="100"/>
  <c r="M112" i="100"/>
  <c r="L123" i="100"/>
  <c r="L126" i="100" s="1"/>
  <c r="G123" i="100"/>
  <c r="G126" i="100" s="1"/>
  <c r="M123" i="100" l="1"/>
  <c r="M126" i="100" s="1"/>
  <c r="E23" i="98" l="1"/>
  <c r="D32" i="105" l="1"/>
  <c r="D28" i="5"/>
  <c r="D27" i="5"/>
  <c r="D26" i="5"/>
  <c r="D24" i="5"/>
  <c r="G23" i="5" l="1"/>
  <c r="H22" i="5"/>
  <c r="G22" i="5"/>
  <c r="G18" i="5"/>
  <c r="H14" i="5"/>
  <c r="B23" i="5" l="1"/>
  <c r="B19" i="5"/>
  <c r="B18" i="5"/>
  <c r="B15" i="5"/>
  <c r="F153" i="18" l="1"/>
  <c r="E153" i="18"/>
  <c r="F123" i="18"/>
  <c r="E123" i="18"/>
  <c r="F139" i="18"/>
  <c r="E139" i="18"/>
  <c r="F109" i="18"/>
  <c r="E109" i="18"/>
  <c r="F93" i="18"/>
  <c r="F79" i="18"/>
  <c r="E79" i="18"/>
  <c r="F63" i="18"/>
  <c r="F49" i="18"/>
  <c r="E49" i="18"/>
  <c r="F33" i="18"/>
  <c r="F19" i="18"/>
  <c r="E19" i="18"/>
  <c r="E39" i="12" l="1"/>
  <c r="D39" i="12"/>
  <c r="C39" i="12"/>
  <c r="E36" i="12"/>
  <c r="D36" i="12"/>
  <c r="C36" i="12"/>
  <c r="C35" i="12"/>
  <c r="M486" i="133" l="1"/>
  <c r="G486" i="133"/>
  <c r="D486" i="133"/>
  <c r="K486" i="133" s="1"/>
  <c r="Q486" i="133" s="1"/>
  <c r="S485" i="133"/>
  <c r="M485" i="133"/>
  <c r="G485" i="133"/>
  <c r="D485" i="133"/>
  <c r="K485" i="133" s="1"/>
  <c r="Q485" i="133" s="1"/>
  <c r="S484" i="133"/>
  <c r="M484" i="133"/>
  <c r="L484" i="133"/>
  <c r="G484" i="133"/>
  <c r="S483" i="133"/>
  <c r="M483" i="133"/>
  <c r="L483" i="133"/>
  <c r="G483" i="133"/>
  <c r="S482" i="133"/>
  <c r="M482" i="133"/>
  <c r="L482" i="133"/>
  <c r="G482" i="133"/>
  <c r="S481" i="133"/>
  <c r="M481" i="133"/>
  <c r="L481" i="133"/>
  <c r="G481" i="133"/>
  <c r="I479" i="133"/>
  <c r="O479" i="133" s="1"/>
  <c r="U479" i="133" s="1"/>
  <c r="O478" i="133"/>
  <c r="O486" i="133" s="1"/>
  <c r="I478" i="133"/>
  <c r="S477" i="133"/>
  <c r="R477" i="133"/>
  <c r="H477" i="133"/>
  <c r="D477" i="133"/>
  <c r="S476" i="133"/>
  <c r="S486" i="133" s="1"/>
  <c r="R476" i="133"/>
  <c r="D476" i="133"/>
  <c r="D475" i="133" s="1"/>
  <c r="S475" i="133"/>
  <c r="R475" i="133"/>
  <c r="S474" i="133"/>
  <c r="R474" i="133"/>
  <c r="R484" i="133" s="1"/>
  <c r="S473" i="133"/>
  <c r="R473" i="133"/>
  <c r="R483" i="133" s="1"/>
  <c r="S472" i="133"/>
  <c r="R472" i="133"/>
  <c r="R482" i="133" s="1"/>
  <c r="S471" i="133"/>
  <c r="R471" i="133"/>
  <c r="R481" i="133" s="1"/>
  <c r="U470" i="133"/>
  <c r="S470" i="133"/>
  <c r="R470" i="133"/>
  <c r="O470" i="133"/>
  <c r="D470" i="133"/>
  <c r="Q469" i="133"/>
  <c r="K469" i="133"/>
  <c r="M465" i="133"/>
  <c r="G465" i="133"/>
  <c r="D465" i="133"/>
  <c r="K465" i="133" s="1"/>
  <c r="Q465" i="133" s="1"/>
  <c r="M464" i="133"/>
  <c r="G464" i="133"/>
  <c r="D464" i="133"/>
  <c r="K464" i="133" s="1"/>
  <c r="Q464" i="133" s="1"/>
  <c r="M463" i="133"/>
  <c r="L463" i="133"/>
  <c r="G463" i="133"/>
  <c r="M462" i="133"/>
  <c r="L462" i="133"/>
  <c r="G462" i="133"/>
  <c r="M461" i="133"/>
  <c r="L461" i="133"/>
  <c r="G461" i="133"/>
  <c r="M460" i="133"/>
  <c r="L460" i="133"/>
  <c r="G460" i="133"/>
  <c r="O458" i="133"/>
  <c r="U458" i="133" s="1"/>
  <c r="O457" i="133"/>
  <c r="I457" i="133"/>
  <c r="I465" i="133" s="1"/>
  <c r="S456" i="133"/>
  <c r="R456" i="133"/>
  <c r="K456" i="133"/>
  <c r="K477" i="133" s="1"/>
  <c r="H456" i="133"/>
  <c r="N456" i="133" s="1"/>
  <c r="F456" i="133"/>
  <c r="F477" i="133" s="1"/>
  <c r="D456" i="133"/>
  <c r="S455" i="133"/>
  <c r="S465" i="133" s="1"/>
  <c r="R455" i="133"/>
  <c r="F455" i="133"/>
  <c r="K455" i="133" s="1"/>
  <c r="D455" i="133"/>
  <c r="D454" i="133" s="1"/>
  <c r="S454" i="133"/>
  <c r="S464" i="133" s="1"/>
  <c r="R454" i="133"/>
  <c r="F454" i="133"/>
  <c r="K454" i="133" s="1"/>
  <c r="S453" i="133"/>
  <c r="S463" i="133" s="1"/>
  <c r="R453" i="133"/>
  <c r="R463" i="133" s="1"/>
  <c r="F453" i="133"/>
  <c r="F474" i="133" s="1"/>
  <c r="S452" i="133"/>
  <c r="S462" i="133" s="1"/>
  <c r="R452" i="133"/>
  <c r="R462" i="133" s="1"/>
  <c r="K452" i="133"/>
  <c r="K473" i="133" s="1"/>
  <c r="Q473" i="133" s="1"/>
  <c r="F452" i="133"/>
  <c r="F473" i="133" s="1"/>
  <c r="S451" i="133"/>
  <c r="S461" i="133" s="1"/>
  <c r="R451" i="133"/>
  <c r="R461" i="133" s="1"/>
  <c r="F451" i="133"/>
  <c r="K451" i="133" s="1"/>
  <c r="S450" i="133"/>
  <c r="R450" i="133"/>
  <c r="R460" i="133" s="1"/>
  <c r="F450" i="133"/>
  <c r="K450" i="133" s="1"/>
  <c r="U449" i="133"/>
  <c r="S449" i="133"/>
  <c r="R449" i="133"/>
  <c r="D449" i="133"/>
  <c r="Q448" i="133"/>
  <c r="B446" i="133"/>
  <c r="S443" i="133"/>
  <c r="M443" i="133"/>
  <c r="K443" i="133"/>
  <c r="Q443" i="133" s="1"/>
  <c r="I443" i="133"/>
  <c r="G443" i="133"/>
  <c r="D443" i="133"/>
  <c r="M442" i="133"/>
  <c r="G442" i="133"/>
  <c r="S441" i="133"/>
  <c r="R441" i="133"/>
  <c r="M441" i="133"/>
  <c r="L441" i="133"/>
  <c r="G441" i="133"/>
  <c r="M440" i="133"/>
  <c r="L440" i="133"/>
  <c r="G440" i="133"/>
  <c r="M439" i="133"/>
  <c r="L439" i="133"/>
  <c r="G439" i="133"/>
  <c r="S438" i="133"/>
  <c r="M438" i="133"/>
  <c r="L438" i="133"/>
  <c r="G438" i="133"/>
  <c r="I436" i="133"/>
  <c r="O436" i="133" s="1"/>
  <c r="U436" i="133" s="1"/>
  <c r="O435" i="133"/>
  <c r="I435" i="133"/>
  <c r="S434" i="133"/>
  <c r="R434" i="133"/>
  <c r="H434" i="133"/>
  <c r="D434" i="133"/>
  <c r="S433" i="133"/>
  <c r="R433" i="133"/>
  <c r="D433" i="133"/>
  <c r="D442" i="133" s="1"/>
  <c r="K442" i="133" s="1"/>
  <c r="Q442" i="133" s="1"/>
  <c r="S432" i="133"/>
  <c r="S442" i="133" s="1"/>
  <c r="R432" i="133"/>
  <c r="D432" i="133"/>
  <c r="D441" i="133" s="1"/>
  <c r="K441" i="133" s="1"/>
  <c r="Q441" i="133" s="1"/>
  <c r="S431" i="133"/>
  <c r="R431" i="133"/>
  <c r="S430" i="133"/>
  <c r="S440" i="133" s="1"/>
  <c r="R430" i="133"/>
  <c r="R440" i="133" s="1"/>
  <c r="S429" i="133"/>
  <c r="S439" i="133" s="1"/>
  <c r="R429" i="133"/>
  <c r="R439" i="133" s="1"/>
  <c r="S428" i="133"/>
  <c r="R428" i="133"/>
  <c r="R438" i="133" s="1"/>
  <c r="U427" i="133"/>
  <c r="S427" i="133"/>
  <c r="R427" i="133"/>
  <c r="O427" i="133"/>
  <c r="D427" i="133"/>
  <c r="Q426" i="133"/>
  <c r="K426" i="133"/>
  <c r="M422" i="133"/>
  <c r="L422" i="133"/>
  <c r="K422" i="133"/>
  <c r="Q422" i="133" s="1"/>
  <c r="I422" i="133"/>
  <c r="G422" i="133"/>
  <c r="D422" i="133"/>
  <c r="M421" i="133"/>
  <c r="G421" i="133"/>
  <c r="M420" i="133"/>
  <c r="L420" i="133"/>
  <c r="G420" i="133"/>
  <c r="M419" i="133"/>
  <c r="L419" i="133"/>
  <c r="G419" i="133"/>
  <c r="M418" i="133"/>
  <c r="L418" i="133"/>
  <c r="G418" i="133"/>
  <c r="M417" i="133"/>
  <c r="L417" i="133"/>
  <c r="G417" i="133"/>
  <c r="O415" i="133"/>
  <c r="U415" i="133" s="1"/>
  <c r="O414" i="133"/>
  <c r="I414" i="133"/>
  <c r="S413" i="133"/>
  <c r="R413" i="133"/>
  <c r="Q413" i="133"/>
  <c r="R422" i="133" s="1"/>
  <c r="K413" i="133"/>
  <c r="K434" i="133" s="1"/>
  <c r="H413" i="133"/>
  <c r="N413" i="133" s="1"/>
  <c r="N434" i="133" s="1"/>
  <c r="T434" i="133" s="1"/>
  <c r="U434" i="133" s="1"/>
  <c r="F413" i="133"/>
  <c r="F434" i="133" s="1"/>
  <c r="D413" i="133"/>
  <c r="S412" i="133"/>
  <c r="S422" i="133" s="1"/>
  <c r="R412" i="133"/>
  <c r="F412" i="133"/>
  <c r="F433" i="133" s="1"/>
  <c r="D412" i="133"/>
  <c r="D421" i="133" s="1"/>
  <c r="K421" i="133" s="1"/>
  <c r="Q421" i="133" s="1"/>
  <c r="S411" i="133"/>
  <c r="S421" i="133" s="1"/>
  <c r="R411" i="133"/>
  <c r="F411" i="133"/>
  <c r="K411" i="133" s="1"/>
  <c r="D411" i="133"/>
  <c r="D420" i="133" s="1"/>
  <c r="K420" i="133" s="1"/>
  <c r="Q420" i="133" s="1"/>
  <c r="S410" i="133"/>
  <c r="S420" i="133" s="1"/>
  <c r="R410" i="133"/>
  <c r="R420" i="133" s="1"/>
  <c r="K410" i="133"/>
  <c r="Q410" i="133" s="1"/>
  <c r="F410" i="133"/>
  <c r="F431" i="133" s="1"/>
  <c r="S409" i="133"/>
  <c r="S419" i="133" s="1"/>
  <c r="R409" i="133"/>
  <c r="R419" i="133" s="1"/>
  <c r="Q409" i="133"/>
  <c r="K409" i="133"/>
  <c r="K430" i="133" s="1"/>
  <c r="Q430" i="133" s="1"/>
  <c r="F409" i="133"/>
  <c r="F430" i="133" s="1"/>
  <c r="S408" i="133"/>
  <c r="S418" i="133" s="1"/>
  <c r="R408" i="133"/>
  <c r="R418" i="133" s="1"/>
  <c r="F408" i="133"/>
  <c r="K408" i="133" s="1"/>
  <c r="S407" i="133"/>
  <c r="R407" i="133"/>
  <c r="R417" i="133" s="1"/>
  <c r="F407" i="133"/>
  <c r="K407" i="133" s="1"/>
  <c r="U406" i="133"/>
  <c r="S406" i="133"/>
  <c r="R406" i="133"/>
  <c r="D406" i="133"/>
  <c r="Q405" i="133"/>
  <c r="B403" i="133"/>
  <c r="M400" i="133"/>
  <c r="G400" i="133"/>
  <c r="S399" i="133"/>
  <c r="M399" i="133"/>
  <c r="G399" i="133"/>
  <c r="S398" i="133"/>
  <c r="M398" i="133"/>
  <c r="L398" i="133"/>
  <c r="G398" i="133"/>
  <c r="M397" i="133"/>
  <c r="L397" i="133"/>
  <c r="G397" i="133"/>
  <c r="S396" i="133"/>
  <c r="M396" i="133"/>
  <c r="L396" i="133"/>
  <c r="G396" i="133"/>
  <c r="S395" i="133"/>
  <c r="M395" i="133"/>
  <c r="L395" i="133"/>
  <c r="G395" i="133"/>
  <c r="O393" i="133"/>
  <c r="U393" i="133" s="1"/>
  <c r="I393" i="133"/>
  <c r="O392" i="133"/>
  <c r="O400" i="133" s="1"/>
  <c r="I392" i="133"/>
  <c r="I400" i="133" s="1"/>
  <c r="S391" i="133"/>
  <c r="R391" i="133"/>
  <c r="H391" i="133"/>
  <c r="D391" i="133"/>
  <c r="D400" i="133" s="1"/>
  <c r="K400" i="133" s="1"/>
  <c r="Q400" i="133" s="1"/>
  <c r="S390" i="133"/>
  <c r="S400" i="133" s="1"/>
  <c r="R390" i="133"/>
  <c r="D390" i="133"/>
  <c r="D389" i="133" s="1"/>
  <c r="S389" i="133"/>
  <c r="R389" i="133"/>
  <c r="S388" i="133"/>
  <c r="R388" i="133"/>
  <c r="R398" i="133" s="1"/>
  <c r="S387" i="133"/>
  <c r="S397" i="133" s="1"/>
  <c r="R387" i="133"/>
  <c r="R397" i="133" s="1"/>
  <c r="S386" i="133"/>
  <c r="R386" i="133"/>
  <c r="R396" i="133" s="1"/>
  <c r="S385" i="133"/>
  <c r="R385" i="133"/>
  <c r="R395" i="133" s="1"/>
  <c r="S384" i="133"/>
  <c r="R384" i="133"/>
  <c r="O384" i="133"/>
  <c r="U384" i="133" s="1"/>
  <c r="D384" i="133"/>
  <c r="Q383" i="133"/>
  <c r="K383" i="133"/>
  <c r="R379" i="133"/>
  <c r="O379" i="133"/>
  <c r="M379" i="133"/>
  <c r="L379" i="133"/>
  <c r="G379" i="133"/>
  <c r="D379" i="133"/>
  <c r="K379" i="133" s="1"/>
  <c r="Q379" i="133" s="1"/>
  <c r="M378" i="133"/>
  <c r="G378" i="133"/>
  <c r="M377" i="133"/>
  <c r="L377" i="133"/>
  <c r="G377" i="133"/>
  <c r="M376" i="133"/>
  <c r="L376" i="133"/>
  <c r="G376" i="133"/>
  <c r="R375" i="133"/>
  <c r="M375" i="133"/>
  <c r="L375" i="133"/>
  <c r="G375" i="133"/>
  <c r="M374" i="133"/>
  <c r="L374" i="133"/>
  <c r="G374" i="133"/>
  <c r="U372" i="133"/>
  <c r="O372" i="133"/>
  <c r="O371" i="133"/>
  <c r="I371" i="133"/>
  <c r="I379" i="133" s="1"/>
  <c r="S370" i="133"/>
  <c r="R370" i="133"/>
  <c r="Q370" i="133"/>
  <c r="K370" i="133"/>
  <c r="K391" i="133" s="1"/>
  <c r="H370" i="133"/>
  <c r="N370" i="133" s="1"/>
  <c r="F370" i="133"/>
  <c r="F391" i="133" s="1"/>
  <c r="D370" i="133"/>
  <c r="S369" i="133"/>
  <c r="S379" i="133" s="1"/>
  <c r="R369" i="133"/>
  <c r="F369" i="133"/>
  <c r="K369" i="133" s="1"/>
  <c r="D369" i="133"/>
  <c r="D368" i="133" s="1"/>
  <c r="S368" i="133"/>
  <c r="S378" i="133" s="1"/>
  <c r="R368" i="133"/>
  <c r="K368" i="133"/>
  <c r="Q368" i="133" s="1"/>
  <c r="F368" i="133"/>
  <c r="F389" i="133" s="1"/>
  <c r="S367" i="133"/>
  <c r="S377" i="133" s="1"/>
  <c r="R367" i="133"/>
  <c r="R377" i="133" s="1"/>
  <c r="Q367" i="133"/>
  <c r="K367" i="133"/>
  <c r="K388" i="133" s="1"/>
  <c r="Q388" i="133" s="1"/>
  <c r="F367" i="133"/>
  <c r="F388" i="133" s="1"/>
  <c r="S366" i="133"/>
  <c r="S376" i="133" s="1"/>
  <c r="R366" i="133"/>
  <c r="R376" i="133" s="1"/>
  <c r="Q366" i="133"/>
  <c r="K366" i="133"/>
  <c r="K387" i="133" s="1"/>
  <c r="Q387" i="133" s="1"/>
  <c r="F366" i="133"/>
  <c r="F387" i="133" s="1"/>
  <c r="S365" i="133"/>
  <c r="S375" i="133" s="1"/>
  <c r="R365" i="133"/>
  <c r="F365" i="133"/>
  <c r="F386" i="133" s="1"/>
  <c r="S364" i="133"/>
  <c r="R364" i="133"/>
  <c r="R374" i="133" s="1"/>
  <c r="K364" i="133"/>
  <c r="K385" i="133" s="1"/>
  <c r="Q385" i="133" s="1"/>
  <c r="F364" i="133"/>
  <c r="F385" i="133" s="1"/>
  <c r="U363" i="133"/>
  <c r="S363" i="133"/>
  <c r="R363" i="133"/>
  <c r="D363" i="133"/>
  <c r="Q362" i="133"/>
  <c r="B360" i="133"/>
  <c r="M357" i="133"/>
  <c r="G357" i="133"/>
  <c r="M356" i="133"/>
  <c r="G356" i="133"/>
  <c r="M355" i="133"/>
  <c r="L355" i="133"/>
  <c r="G355" i="133"/>
  <c r="M354" i="133"/>
  <c r="L354" i="133"/>
  <c r="G354" i="133"/>
  <c r="M353" i="133"/>
  <c r="L353" i="133"/>
  <c r="G353" i="133"/>
  <c r="M352" i="133"/>
  <c r="L352" i="133"/>
  <c r="G352" i="133"/>
  <c r="I350" i="133"/>
  <c r="O350" i="133" s="1"/>
  <c r="U350" i="133" s="1"/>
  <c r="O349" i="133"/>
  <c r="O358" i="133" s="1"/>
  <c r="I349" i="133"/>
  <c r="I358" i="133" s="1"/>
  <c r="D348" i="133"/>
  <c r="D357" i="133" s="1"/>
  <c r="K357" i="133" s="1"/>
  <c r="Q357" i="133" s="1"/>
  <c r="D347" i="133"/>
  <c r="D346" i="133" s="1"/>
  <c r="S355" i="133"/>
  <c r="R354" i="133"/>
  <c r="S353" i="133"/>
  <c r="S358" i="133"/>
  <c r="R358" i="133"/>
  <c r="O341" i="133"/>
  <c r="D341" i="133"/>
  <c r="K340" i="133"/>
  <c r="M336" i="133"/>
  <c r="G336" i="133"/>
  <c r="M335" i="133"/>
  <c r="G335" i="133"/>
  <c r="M334" i="133"/>
  <c r="L334" i="133"/>
  <c r="G334" i="133"/>
  <c r="M333" i="133"/>
  <c r="L333" i="133"/>
  <c r="G333" i="133"/>
  <c r="M332" i="133"/>
  <c r="L332" i="133"/>
  <c r="G332" i="133"/>
  <c r="M331" i="133"/>
  <c r="L331" i="133"/>
  <c r="G331" i="133"/>
  <c r="O329" i="133"/>
  <c r="U329" i="133" s="1"/>
  <c r="O328" i="133"/>
  <c r="O337" i="133" s="1"/>
  <c r="I328" i="133"/>
  <c r="I337" i="133" s="1"/>
  <c r="S327" i="133"/>
  <c r="R327" i="133"/>
  <c r="F327" i="133"/>
  <c r="K327" i="133" s="1"/>
  <c r="D327" i="133"/>
  <c r="D336" i="133" s="1"/>
  <c r="K336" i="133" s="1"/>
  <c r="Q336" i="133" s="1"/>
  <c r="S326" i="133"/>
  <c r="S336" i="133" s="1"/>
  <c r="R326" i="133"/>
  <c r="F326" i="133"/>
  <c r="F347" i="133" s="1"/>
  <c r="D326" i="133"/>
  <c r="D325" i="133" s="1"/>
  <c r="S325" i="133"/>
  <c r="S335" i="133" s="1"/>
  <c r="R325" i="133"/>
  <c r="F325" i="133"/>
  <c r="F346" i="133" s="1"/>
  <c r="S324" i="133"/>
  <c r="R324" i="133"/>
  <c r="R334" i="133" s="1"/>
  <c r="K324" i="133"/>
  <c r="Q324" i="133" s="1"/>
  <c r="F324" i="133"/>
  <c r="F345" i="133" s="1"/>
  <c r="S323" i="133"/>
  <c r="S333" i="133" s="1"/>
  <c r="R323" i="133"/>
  <c r="R333" i="133" s="1"/>
  <c r="F323" i="133"/>
  <c r="K323" i="133" s="1"/>
  <c r="S322" i="133"/>
  <c r="R322" i="133"/>
  <c r="F322" i="133"/>
  <c r="F343" i="133" s="1"/>
  <c r="S321" i="133"/>
  <c r="R321" i="133"/>
  <c r="F321" i="133"/>
  <c r="K321" i="133" s="1"/>
  <c r="U320" i="133"/>
  <c r="S320" i="133"/>
  <c r="R320" i="133"/>
  <c r="D320" i="133"/>
  <c r="Q319" i="133"/>
  <c r="B317" i="133"/>
  <c r="B274" i="133"/>
  <c r="M314" i="133"/>
  <c r="I314" i="133"/>
  <c r="G314" i="133"/>
  <c r="M313" i="133"/>
  <c r="G313" i="133"/>
  <c r="M312" i="133"/>
  <c r="L312" i="133"/>
  <c r="G312" i="133"/>
  <c r="M311" i="133"/>
  <c r="L311" i="133"/>
  <c r="G311" i="133"/>
  <c r="M310" i="133"/>
  <c r="L310" i="133"/>
  <c r="G310" i="133"/>
  <c r="M309" i="133"/>
  <c r="L309" i="133"/>
  <c r="G309" i="133"/>
  <c r="I307" i="133"/>
  <c r="O307" i="133" s="1"/>
  <c r="U307" i="133" s="1"/>
  <c r="O306" i="133"/>
  <c r="O315" i="133" s="1"/>
  <c r="I306" i="133"/>
  <c r="I315" i="133" s="1"/>
  <c r="D305" i="133"/>
  <c r="D314" i="133" s="1"/>
  <c r="K314" i="133" s="1"/>
  <c r="Q314" i="133" s="1"/>
  <c r="D304" i="133"/>
  <c r="D303" i="133" s="1"/>
  <c r="S312" i="133"/>
  <c r="R312" i="133"/>
  <c r="S310" i="133"/>
  <c r="R310" i="133"/>
  <c r="R315" i="133"/>
  <c r="O298" i="133"/>
  <c r="D298" i="133"/>
  <c r="K297" i="133"/>
  <c r="M293" i="133"/>
  <c r="L293" i="133"/>
  <c r="G293" i="133"/>
  <c r="M292" i="133"/>
  <c r="G292" i="133"/>
  <c r="M291" i="133"/>
  <c r="L291" i="133"/>
  <c r="G291" i="133"/>
  <c r="M290" i="133"/>
  <c r="L290" i="133"/>
  <c r="G290" i="133"/>
  <c r="M289" i="133"/>
  <c r="L289" i="133"/>
  <c r="G289" i="133"/>
  <c r="M288" i="133"/>
  <c r="L288" i="133"/>
  <c r="G288" i="133"/>
  <c r="O286" i="133"/>
  <c r="U286" i="133" s="1"/>
  <c r="O285" i="133"/>
  <c r="O294" i="133" s="1"/>
  <c r="I285" i="133"/>
  <c r="I294" i="133" s="1"/>
  <c r="S284" i="133"/>
  <c r="R284" i="133"/>
  <c r="Q284" i="133"/>
  <c r="R293" i="133" s="1"/>
  <c r="K284" i="133"/>
  <c r="K305" i="133" s="1"/>
  <c r="F284" i="133"/>
  <c r="F305" i="133" s="1"/>
  <c r="D284" i="133"/>
  <c r="D293" i="133" s="1"/>
  <c r="K293" i="133" s="1"/>
  <c r="Q293" i="133" s="1"/>
  <c r="S283" i="133"/>
  <c r="R283" i="133"/>
  <c r="F283" i="133"/>
  <c r="F304" i="133" s="1"/>
  <c r="D283" i="133"/>
  <c r="D282" i="133" s="1"/>
  <c r="S282" i="133"/>
  <c r="S292" i="133" s="1"/>
  <c r="R282" i="133"/>
  <c r="F282" i="133"/>
  <c r="F303" i="133" s="1"/>
  <c r="S281" i="133"/>
  <c r="R281" i="133"/>
  <c r="R291" i="133" s="1"/>
  <c r="K281" i="133"/>
  <c r="K302" i="133" s="1"/>
  <c r="F281" i="133"/>
  <c r="F302" i="133" s="1"/>
  <c r="S280" i="133"/>
  <c r="S290" i="133" s="1"/>
  <c r="R280" i="133"/>
  <c r="R290" i="133" s="1"/>
  <c r="Q280" i="133"/>
  <c r="K280" i="133"/>
  <c r="K301" i="133" s="1"/>
  <c r="F280" i="133"/>
  <c r="F301" i="133" s="1"/>
  <c r="S279" i="133"/>
  <c r="R279" i="133"/>
  <c r="F279" i="133"/>
  <c r="F300" i="133" s="1"/>
  <c r="S278" i="133"/>
  <c r="R278" i="133"/>
  <c r="F278" i="133"/>
  <c r="F299" i="133" s="1"/>
  <c r="U277" i="133"/>
  <c r="S277" i="133"/>
  <c r="R277" i="133"/>
  <c r="D277" i="133"/>
  <c r="Q276" i="133"/>
  <c r="O271" i="133"/>
  <c r="M271" i="133"/>
  <c r="G271" i="133"/>
  <c r="D271" i="133"/>
  <c r="K271" i="133" s="1"/>
  <c r="Q271" i="133" s="1"/>
  <c r="M270" i="133"/>
  <c r="G270" i="133"/>
  <c r="R269" i="133"/>
  <c r="M269" i="133"/>
  <c r="L269" i="133"/>
  <c r="G269" i="133"/>
  <c r="M268" i="133"/>
  <c r="L268" i="133"/>
  <c r="G268" i="133"/>
  <c r="M267" i="133"/>
  <c r="L267" i="133"/>
  <c r="G267" i="133"/>
  <c r="M266" i="133"/>
  <c r="L266" i="133"/>
  <c r="G266" i="133"/>
  <c r="I264" i="133"/>
  <c r="O264" i="133" s="1"/>
  <c r="U264" i="133" s="1"/>
  <c r="O263" i="133"/>
  <c r="I263" i="133"/>
  <c r="S262" i="133"/>
  <c r="R262" i="133"/>
  <c r="D262" i="133"/>
  <c r="D261" i="133" s="1"/>
  <c r="S261" i="133"/>
  <c r="S271" i="133" s="1"/>
  <c r="R261" i="133"/>
  <c r="S260" i="133"/>
  <c r="S270" i="133" s="1"/>
  <c r="R260" i="133"/>
  <c r="S259" i="133"/>
  <c r="S269" i="133" s="1"/>
  <c r="R259" i="133"/>
  <c r="S258" i="133"/>
  <c r="S268" i="133" s="1"/>
  <c r="R258" i="133"/>
  <c r="R268" i="133" s="1"/>
  <c r="S257" i="133"/>
  <c r="S267" i="133" s="1"/>
  <c r="R257" i="133"/>
  <c r="R267" i="133" s="1"/>
  <c r="S256" i="133"/>
  <c r="S272" i="133" s="1"/>
  <c r="R256" i="133"/>
  <c r="R272" i="133" s="1"/>
  <c r="U255" i="133"/>
  <c r="S255" i="133"/>
  <c r="R255" i="133"/>
  <c r="O255" i="133"/>
  <c r="D255" i="133"/>
  <c r="Q254" i="133"/>
  <c r="K254" i="133"/>
  <c r="M250" i="133"/>
  <c r="G250" i="133"/>
  <c r="D250" i="133"/>
  <c r="K250" i="133" s="1"/>
  <c r="Q250" i="133" s="1"/>
  <c r="M249" i="133"/>
  <c r="G249" i="133"/>
  <c r="D249" i="133"/>
  <c r="K249" i="133" s="1"/>
  <c r="Q249" i="133" s="1"/>
  <c r="M248" i="133"/>
  <c r="L248" i="133"/>
  <c r="G248" i="133"/>
  <c r="M247" i="133"/>
  <c r="L247" i="133"/>
  <c r="G247" i="133"/>
  <c r="M246" i="133"/>
  <c r="L246" i="133"/>
  <c r="G246" i="133"/>
  <c r="M245" i="133"/>
  <c r="L245" i="133"/>
  <c r="G245" i="133"/>
  <c r="O243" i="133"/>
  <c r="U243" i="133" s="1"/>
  <c r="O242" i="133"/>
  <c r="I242" i="133"/>
  <c r="S241" i="133"/>
  <c r="R241" i="133"/>
  <c r="F241" i="133"/>
  <c r="K241" i="133" s="1"/>
  <c r="D241" i="133"/>
  <c r="S240" i="133"/>
  <c r="S250" i="133" s="1"/>
  <c r="R240" i="133"/>
  <c r="K240" i="133"/>
  <c r="K261" i="133" s="1"/>
  <c r="F240" i="133"/>
  <c r="F261" i="133" s="1"/>
  <c r="D240" i="133"/>
  <c r="D239" i="133" s="1"/>
  <c r="S239" i="133"/>
  <c r="R239" i="133"/>
  <c r="F239" i="133"/>
  <c r="F260" i="133" s="1"/>
  <c r="S238" i="133"/>
  <c r="R238" i="133"/>
  <c r="R248" i="133" s="1"/>
  <c r="F238" i="133"/>
  <c r="F259" i="133" s="1"/>
  <c r="S237" i="133"/>
  <c r="R237" i="133"/>
  <c r="F237" i="133"/>
  <c r="F258" i="133" s="1"/>
  <c r="S236" i="133"/>
  <c r="R236" i="133"/>
  <c r="K236" i="133"/>
  <c r="Q236" i="133" s="1"/>
  <c r="F236" i="133"/>
  <c r="F257" i="133" s="1"/>
  <c r="S235" i="133"/>
  <c r="R235" i="133"/>
  <c r="F235" i="133"/>
  <c r="K235" i="133" s="1"/>
  <c r="U234" i="133"/>
  <c r="S234" i="133"/>
  <c r="R234" i="133"/>
  <c r="D234" i="133"/>
  <c r="Q233" i="133"/>
  <c r="M228" i="133"/>
  <c r="G228" i="133"/>
  <c r="M227" i="133"/>
  <c r="G227" i="133"/>
  <c r="M226" i="133"/>
  <c r="L226" i="133"/>
  <c r="G226" i="133"/>
  <c r="M225" i="133"/>
  <c r="L225" i="133"/>
  <c r="G225" i="133"/>
  <c r="M224" i="133"/>
  <c r="L224" i="133"/>
  <c r="G224" i="133"/>
  <c r="M223" i="133"/>
  <c r="L223" i="133"/>
  <c r="G223" i="133"/>
  <c r="O221" i="133"/>
  <c r="U221" i="133" s="1"/>
  <c r="I221" i="133"/>
  <c r="O220" i="133"/>
  <c r="I220" i="133"/>
  <c r="D219" i="133"/>
  <c r="D228" i="133" s="1"/>
  <c r="K228" i="133" s="1"/>
  <c r="Q228" i="133" s="1"/>
  <c r="D218" i="133"/>
  <c r="D217" i="133" s="1"/>
  <c r="S227" i="133"/>
  <c r="R226" i="133"/>
  <c r="S225" i="133"/>
  <c r="R224" i="133"/>
  <c r="O212" i="133"/>
  <c r="D212" i="133"/>
  <c r="K211" i="133"/>
  <c r="R207" i="133"/>
  <c r="M207" i="133"/>
  <c r="L207" i="133"/>
  <c r="G207" i="133"/>
  <c r="D207" i="133"/>
  <c r="K207" i="133" s="1"/>
  <c r="Q207" i="133" s="1"/>
  <c r="M206" i="133"/>
  <c r="G206" i="133"/>
  <c r="M205" i="133"/>
  <c r="L205" i="133"/>
  <c r="G205" i="133"/>
  <c r="M204" i="133"/>
  <c r="L204" i="133"/>
  <c r="G204" i="133"/>
  <c r="M203" i="133"/>
  <c r="L203" i="133"/>
  <c r="G203" i="133"/>
  <c r="M202" i="133"/>
  <c r="L202" i="133"/>
  <c r="G202" i="133"/>
  <c r="U200" i="133"/>
  <c r="O200" i="133"/>
  <c r="O199" i="133"/>
  <c r="O208" i="133" s="1"/>
  <c r="I199" i="133"/>
  <c r="S198" i="133"/>
  <c r="R198" i="133"/>
  <c r="Q198" i="133"/>
  <c r="K198" i="133"/>
  <c r="K219" i="133" s="1"/>
  <c r="F198" i="133"/>
  <c r="F219" i="133" s="1"/>
  <c r="D198" i="133"/>
  <c r="S197" i="133"/>
  <c r="S207" i="133" s="1"/>
  <c r="R197" i="133"/>
  <c r="F197" i="133"/>
  <c r="K197" i="133" s="1"/>
  <c r="D197" i="133"/>
  <c r="D196" i="133" s="1"/>
  <c r="S196" i="133"/>
  <c r="S206" i="133" s="1"/>
  <c r="R196" i="133"/>
  <c r="K196" i="133"/>
  <c r="Q196" i="133" s="1"/>
  <c r="F196" i="133"/>
  <c r="F217" i="133" s="1"/>
  <c r="S195" i="133"/>
  <c r="S205" i="133" s="1"/>
  <c r="R195" i="133"/>
  <c r="R205" i="133" s="1"/>
  <c r="Q195" i="133"/>
  <c r="K195" i="133"/>
  <c r="K216" i="133" s="1"/>
  <c r="F195" i="133"/>
  <c r="F216" i="133" s="1"/>
  <c r="S194" i="133"/>
  <c r="R194" i="133"/>
  <c r="R204" i="133" s="1"/>
  <c r="Q194" i="133"/>
  <c r="K194" i="133"/>
  <c r="K215" i="133" s="1"/>
  <c r="F194" i="133"/>
  <c r="F215" i="133" s="1"/>
  <c r="S193" i="133"/>
  <c r="R193" i="133"/>
  <c r="F193" i="133"/>
  <c r="K193" i="133" s="1"/>
  <c r="S192" i="133"/>
  <c r="R192" i="133"/>
  <c r="K192" i="133"/>
  <c r="Q192" i="133" s="1"/>
  <c r="F192" i="133"/>
  <c r="F213" i="133" s="1"/>
  <c r="U191" i="133"/>
  <c r="S191" i="133"/>
  <c r="R191" i="133"/>
  <c r="D191" i="133"/>
  <c r="Q190" i="133"/>
  <c r="M185" i="133"/>
  <c r="G185" i="133"/>
  <c r="M184" i="133"/>
  <c r="G184" i="133"/>
  <c r="M183" i="133"/>
  <c r="L183" i="133"/>
  <c r="G183" i="133"/>
  <c r="M182" i="133"/>
  <c r="L182" i="133"/>
  <c r="G182" i="133"/>
  <c r="M181" i="133"/>
  <c r="L181" i="133"/>
  <c r="G181" i="133"/>
  <c r="M180" i="133"/>
  <c r="L180" i="133"/>
  <c r="G180" i="133"/>
  <c r="I178" i="133"/>
  <c r="O178" i="133" s="1"/>
  <c r="U178" i="133" s="1"/>
  <c r="O177" i="133"/>
  <c r="O186" i="133" s="1"/>
  <c r="I177" i="133"/>
  <c r="I186" i="133" s="1"/>
  <c r="Q176" i="133"/>
  <c r="R185" i="133" s="1"/>
  <c r="D176" i="133"/>
  <c r="D185" i="133" s="1"/>
  <c r="K185" i="133" s="1"/>
  <c r="Q185" i="133" s="1"/>
  <c r="S185" i="133"/>
  <c r="D175" i="133"/>
  <c r="D174" i="133" s="1"/>
  <c r="S184" i="133"/>
  <c r="F174" i="133"/>
  <c r="S183" i="133"/>
  <c r="K173" i="133"/>
  <c r="Q173" i="133" s="1"/>
  <c r="R182" i="133"/>
  <c r="S181" i="133"/>
  <c r="R181" i="133"/>
  <c r="F170" i="133"/>
  <c r="S169" i="133"/>
  <c r="R169" i="133"/>
  <c r="O169" i="133"/>
  <c r="U169" i="133" s="1"/>
  <c r="D169" i="133"/>
  <c r="Q168" i="133"/>
  <c r="K168" i="133"/>
  <c r="M164" i="133"/>
  <c r="L164" i="133"/>
  <c r="G164" i="133"/>
  <c r="M163" i="133"/>
  <c r="G163" i="133"/>
  <c r="M162" i="133"/>
  <c r="L162" i="133"/>
  <c r="G162" i="133"/>
  <c r="M161" i="133"/>
  <c r="L161" i="133"/>
  <c r="G161" i="133"/>
  <c r="M160" i="133"/>
  <c r="L160" i="133"/>
  <c r="G160" i="133"/>
  <c r="M159" i="133"/>
  <c r="L159" i="133"/>
  <c r="G159" i="133"/>
  <c r="O157" i="133"/>
  <c r="U157" i="133" s="1"/>
  <c r="O156" i="133"/>
  <c r="O165" i="133" s="1"/>
  <c r="I156" i="133"/>
  <c r="I165" i="133" s="1"/>
  <c r="S155" i="133"/>
  <c r="R155" i="133"/>
  <c r="Q155" i="133"/>
  <c r="R164" i="133" s="1"/>
  <c r="K155" i="133"/>
  <c r="K176" i="133" s="1"/>
  <c r="L185" i="133" s="1"/>
  <c r="F155" i="133"/>
  <c r="F176" i="133" s="1"/>
  <c r="D155" i="133"/>
  <c r="D164" i="133" s="1"/>
  <c r="K164" i="133" s="1"/>
  <c r="Q164" i="133" s="1"/>
  <c r="S154" i="133"/>
  <c r="R154" i="133"/>
  <c r="F154" i="133"/>
  <c r="K154" i="133" s="1"/>
  <c r="L163" i="133" s="1"/>
  <c r="D154" i="133"/>
  <c r="S153" i="133"/>
  <c r="S163" i="133" s="1"/>
  <c r="R153" i="133"/>
  <c r="F153" i="133"/>
  <c r="K153" i="133" s="1"/>
  <c r="S152" i="133"/>
  <c r="R152" i="133"/>
  <c r="K152" i="133"/>
  <c r="Q152" i="133" s="1"/>
  <c r="F152" i="133"/>
  <c r="F173" i="133" s="1"/>
  <c r="S151" i="133"/>
  <c r="S161" i="133" s="1"/>
  <c r="R151" i="133"/>
  <c r="R161" i="133" s="1"/>
  <c r="Q151" i="133"/>
  <c r="K151" i="133"/>
  <c r="K172" i="133" s="1"/>
  <c r="Q172" i="133" s="1"/>
  <c r="F151" i="133"/>
  <c r="F172" i="133" s="1"/>
  <c r="S150" i="133"/>
  <c r="R150" i="133"/>
  <c r="F150" i="133"/>
  <c r="F171" i="133" s="1"/>
  <c r="S149" i="133"/>
  <c r="R149" i="133"/>
  <c r="F149" i="133"/>
  <c r="K149" i="133" s="1"/>
  <c r="U148" i="133"/>
  <c r="S148" i="133"/>
  <c r="R148" i="133"/>
  <c r="D148" i="133"/>
  <c r="Q147" i="133"/>
  <c r="F112" i="133"/>
  <c r="K112" i="133" s="1"/>
  <c r="F111" i="133"/>
  <c r="F110" i="133"/>
  <c r="F109" i="133"/>
  <c r="F108" i="133"/>
  <c r="F107" i="133"/>
  <c r="F106" i="133"/>
  <c r="K106" i="133" s="1"/>
  <c r="M142" i="133"/>
  <c r="I142" i="133"/>
  <c r="G142" i="133"/>
  <c r="M141" i="133"/>
  <c r="G141" i="133"/>
  <c r="M140" i="133"/>
  <c r="L140" i="133"/>
  <c r="G140" i="133"/>
  <c r="M139" i="133"/>
  <c r="L139" i="133"/>
  <c r="G139" i="133"/>
  <c r="M138" i="133"/>
  <c r="L138" i="133"/>
  <c r="G138" i="133"/>
  <c r="M137" i="133"/>
  <c r="L137" i="133"/>
  <c r="G137" i="133"/>
  <c r="I135" i="133"/>
  <c r="O135" i="133" s="1"/>
  <c r="U135" i="133" s="1"/>
  <c r="O134" i="133"/>
  <c r="I134" i="133"/>
  <c r="I143" i="133" s="1"/>
  <c r="S133" i="133"/>
  <c r="R133" i="133"/>
  <c r="D133" i="133"/>
  <c r="D142" i="133" s="1"/>
  <c r="K142" i="133" s="1"/>
  <c r="Q142" i="133" s="1"/>
  <c r="S132" i="133"/>
  <c r="S142" i="133" s="1"/>
  <c r="R132" i="133"/>
  <c r="D132" i="133"/>
  <c r="D131" i="133" s="1"/>
  <c r="S131" i="133"/>
  <c r="S141" i="133" s="1"/>
  <c r="R131" i="133"/>
  <c r="S130" i="133"/>
  <c r="S140" i="133" s="1"/>
  <c r="R130" i="133"/>
  <c r="R140" i="133" s="1"/>
  <c r="S129" i="133"/>
  <c r="S139" i="133" s="1"/>
  <c r="R129" i="133"/>
  <c r="R139" i="133" s="1"/>
  <c r="S128" i="133"/>
  <c r="S138" i="133" s="1"/>
  <c r="R128" i="133"/>
  <c r="R138" i="133" s="1"/>
  <c r="S127" i="133"/>
  <c r="S143" i="133" s="1"/>
  <c r="R127" i="133"/>
  <c r="R143" i="133" s="1"/>
  <c r="U126" i="133"/>
  <c r="S126" i="133"/>
  <c r="R126" i="133"/>
  <c r="O126" i="133"/>
  <c r="D126" i="133"/>
  <c r="Q125" i="133"/>
  <c r="K125" i="133"/>
  <c r="M121" i="133"/>
  <c r="G121" i="133"/>
  <c r="M120" i="133"/>
  <c r="G120" i="133"/>
  <c r="M119" i="133"/>
  <c r="L119" i="133"/>
  <c r="G119" i="133"/>
  <c r="M118" i="133"/>
  <c r="L118" i="133"/>
  <c r="G118" i="133"/>
  <c r="M117" i="133"/>
  <c r="L117" i="133"/>
  <c r="G117" i="133"/>
  <c r="M116" i="133"/>
  <c r="L116" i="133"/>
  <c r="G116" i="133"/>
  <c r="O114" i="133"/>
  <c r="U114" i="133" s="1"/>
  <c r="O113" i="133"/>
  <c r="O122" i="133" s="1"/>
  <c r="I113" i="133"/>
  <c r="I122" i="133" s="1"/>
  <c r="S112" i="133"/>
  <c r="R112" i="133"/>
  <c r="D112" i="133"/>
  <c r="D121" i="133" s="1"/>
  <c r="K121" i="133" s="1"/>
  <c r="Q121" i="133" s="1"/>
  <c r="S111" i="133"/>
  <c r="R111" i="133"/>
  <c r="K111" i="133"/>
  <c r="D111" i="133"/>
  <c r="D110" i="133" s="1"/>
  <c r="S110" i="133"/>
  <c r="S120" i="133" s="1"/>
  <c r="R110" i="133"/>
  <c r="F131" i="133"/>
  <c r="S109" i="133"/>
  <c r="R109" i="133"/>
  <c r="K109" i="133"/>
  <c r="K130" i="133" s="1"/>
  <c r="Q130" i="133" s="1"/>
  <c r="F130" i="133"/>
  <c r="S108" i="133"/>
  <c r="S118" i="133" s="1"/>
  <c r="R108" i="133"/>
  <c r="R118" i="133" s="1"/>
  <c r="Q108" i="133"/>
  <c r="K108" i="133"/>
  <c r="K129" i="133" s="1"/>
  <c r="Q129" i="133" s="1"/>
  <c r="F129" i="133"/>
  <c r="S107" i="133"/>
  <c r="R107" i="133"/>
  <c r="K107" i="133"/>
  <c r="S106" i="133"/>
  <c r="R106" i="133"/>
  <c r="U105" i="133"/>
  <c r="S105" i="133"/>
  <c r="R105" i="133"/>
  <c r="D105" i="133"/>
  <c r="Q104" i="133"/>
  <c r="O357" i="133" l="1"/>
  <c r="S357" i="133"/>
  <c r="S356" i="133"/>
  <c r="S354" i="133"/>
  <c r="R353" i="133"/>
  <c r="R355" i="133"/>
  <c r="S314" i="133"/>
  <c r="S313" i="133"/>
  <c r="S315" i="133"/>
  <c r="S311" i="133"/>
  <c r="R311" i="133"/>
  <c r="O228" i="133"/>
  <c r="O229" i="133"/>
  <c r="S229" i="133"/>
  <c r="S228" i="133"/>
  <c r="S224" i="133"/>
  <c r="S226" i="133"/>
  <c r="S223" i="133"/>
  <c r="R225" i="133"/>
  <c r="S186" i="133"/>
  <c r="S182" i="133"/>
  <c r="R186" i="133"/>
  <c r="R183" i="133"/>
  <c r="R352" i="133"/>
  <c r="I357" i="133"/>
  <c r="R309" i="133"/>
  <c r="S266" i="133"/>
  <c r="I271" i="133"/>
  <c r="I272" i="133"/>
  <c r="R266" i="133"/>
  <c r="R223" i="133"/>
  <c r="R229" i="133"/>
  <c r="I228" i="133"/>
  <c r="I229" i="133"/>
  <c r="R180" i="133"/>
  <c r="I185" i="133"/>
  <c r="R137" i="133"/>
  <c r="R294" i="133"/>
  <c r="S245" i="133"/>
  <c r="S203" i="133"/>
  <c r="R332" i="133"/>
  <c r="R337" i="133"/>
  <c r="S334" i="133"/>
  <c r="S337" i="133"/>
  <c r="S332" i="133"/>
  <c r="O336" i="133"/>
  <c r="S289" i="133"/>
  <c r="S293" i="133"/>
  <c r="R289" i="133"/>
  <c r="O293" i="133"/>
  <c r="S294" i="133"/>
  <c r="S291" i="133"/>
  <c r="S247" i="133"/>
  <c r="S251" i="133"/>
  <c r="R246" i="133"/>
  <c r="S249" i="133"/>
  <c r="O250" i="133"/>
  <c r="O251" i="133"/>
  <c r="S246" i="133"/>
  <c r="R247" i="133"/>
  <c r="S248" i="133"/>
  <c r="S208" i="133"/>
  <c r="S204" i="133"/>
  <c r="R203" i="133"/>
  <c r="R165" i="133"/>
  <c r="R162" i="133"/>
  <c r="S164" i="133"/>
  <c r="S165" i="133"/>
  <c r="S162" i="133"/>
  <c r="R160" i="133"/>
  <c r="S160" i="133"/>
  <c r="R117" i="133"/>
  <c r="S119" i="133"/>
  <c r="R122" i="133"/>
  <c r="S117" i="133"/>
  <c r="R119" i="133"/>
  <c r="S121" i="133"/>
  <c r="S122" i="133"/>
  <c r="S331" i="133"/>
  <c r="R331" i="133"/>
  <c r="I336" i="133"/>
  <c r="I293" i="133"/>
  <c r="R288" i="133"/>
  <c r="R245" i="133"/>
  <c r="R251" i="133"/>
  <c r="I250" i="133"/>
  <c r="I251" i="133"/>
  <c r="R202" i="133"/>
  <c r="R208" i="133"/>
  <c r="I207" i="133"/>
  <c r="I208" i="133"/>
  <c r="R159" i="133"/>
  <c r="I164" i="133"/>
  <c r="R116" i="133"/>
  <c r="I121" i="133"/>
  <c r="Q454" i="133"/>
  <c r="K475" i="133"/>
  <c r="Q475" i="133" s="1"/>
  <c r="Q455" i="133"/>
  <c r="R464" i="133" s="1"/>
  <c r="K476" i="133"/>
  <c r="L464" i="133"/>
  <c r="Q451" i="133"/>
  <c r="K472" i="133"/>
  <c r="Q472" i="133" s="1"/>
  <c r="D484" i="133"/>
  <c r="K484" i="133" s="1"/>
  <c r="Q484" i="133" s="1"/>
  <c r="D474" i="133"/>
  <c r="H475" i="133"/>
  <c r="N477" i="133"/>
  <c r="T477" i="133" s="1"/>
  <c r="U477" i="133" s="1"/>
  <c r="T456" i="133"/>
  <c r="U456" i="133" s="1"/>
  <c r="L486" i="133"/>
  <c r="Q477" i="133"/>
  <c r="R486" i="133" s="1"/>
  <c r="Q450" i="133"/>
  <c r="K471" i="133"/>
  <c r="Q471" i="133" s="1"/>
  <c r="D463" i="133"/>
  <c r="K463" i="133" s="1"/>
  <c r="Q463" i="133" s="1"/>
  <c r="D453" i="133"/>
  <c r="H454" i="133"/>
  <c r="N454" i="133" s="1"/>
  <c r="Q452" i="133"/>
  <c r="K453" i="133"/>
  <c r="Q456" i="133"/>
  <c r="R465" i="133" s="1"/>
  <c r="F471" i="133"/>
  <c r="F475" i="133"/>
  <c r="I486" i="133"/>
  <c r="L465" i="133"/>
  <c r="F472" i="133"/>
  <c r="F476" i="133"/>
  <c r="H455" i="133"/>
  <c r="N455" i="133" s="1"/>
  <c r="O465" i="133"/>
  <c r="H476" i="133"/>
  <c r="S460" i="133"/>
  <c r="L443" i="133"/>
  <c r="Q434" i="133"/>
  <c r="R443" i="133" s="1"/>
  <c r="Q408" i="133"/>
  <c r="K429" i="133"/>
  <c r="Q429" i="133" s="1"/>
  <c r="K428" i="133"/>
  <c r="Q428" i="133" s="1"/>
  <c r="Q407" i="133"/>
  <c r="Q411" i="133"/>
  <c r="K432" i="133"/>
  <c r="Q432" i="133" s="1"/>
  <c r="F428" i="133"/>
  <c r="K431" i="133"/>
  <c r="Q431" i="133" s="1"/>
  <c r="F432" i="133"/>
  <c r="H411" i="133"/>
  <c r="N411" i="133" s="1"/>
  <c r="H432" i="133"/>
  <c r="F429" i="133"/>
  <c r="H412" i="133"/>
  <c r="N412" i="133" s="1"/>
  <c r="T413" i="133"/>
  <c r="U413" i="133" s="1"/>
  <c r="O422" i="133"/>
  <c r="H433" i="133"/>
  <c r="K412" i="133"/>
  <c r="S417" i="133"/>
  <c r="O443" i="133"/>
  <c r="D410" i="133"/>
  <c r="D431" i="133"/>
  <c r="D367" i="133"/>
  <c r="D377" i="133"/>
  <c r="K377" i="133" s="1"/>
  <c r="Q377" i="133" s="1"/>
  <c r="H368" i="133"/>
  <c r="N368" i="133" s="1"/>
  <c r="D398" i="133"/>
  <c r="K398" i="133" s="1"/>
  <c r="Q398" i="133" s="1"/>
  <c r="D388" i="133"/>
  <c r="H389" i="133"/>
  <c r="N391" i="133"/>
  <c r="T391" i="133" s="1"/>
  <c r="U391" i="133" s="1"/>
  <c r="T370" i="133"/>
  <c r="U370" i="133" s="1"/>
  <c r="Q391" i="133"/>
  <c r="R400" i="133" s="1"/>
  <c r="L400" i="133"/>
  <c r="L378" i="133"/>
  <c r="Q369" i="133"/>
  <c r="R378" i="133" s="1"/>
  <c r="K390" i="133"/>
  <c r="K389" i="133"/>
  <c r="Q389" i="133" s="1"/>
  <c r="F390" i="133"/>
  <c r="H369" i="133"/>
  <c r="N369" i="133" s="1"/>
  <c r="H390" i="133"/>
  <c r="Q364" i="133"/>
  <c r="K365" i="133"/>
  <c r="S374" i="133"/>
  <c r="D399" i="133"/>
  <c r="K399" i="133" s="1"/>
  <c r="Q399" i="133" s="1"/>
  <c r="D378" i="133"/>
  <c r="K378" i="133" s="1"/>
  <c r="Q378" i="133" s="1"/>
  <c r="K344" i="133"/>
  <c r="Q323" i="133"/>
  <c r="D355" i="133"/>
  <c r="K355" i="133" s="1"/>
  <c r="Q355" i="133" s="1"/>
  <c r="D345" i="133"/>
  <c r="K342" i="133"/>
  <c r="Q321" i="133"/>
  <c r="D334" i="133"/>
  <c r="K334" i="133" s="1"/>
  <c r="Q334" i="133" s="1"/>
  <c r="D324" i="133"/>
  <c r="L336" i="133"/>
  <c r="K348" i="133"/>
  <c r="Q327" i="133"/>
  <c r="R336" i="133" s="1"/>
  <c r="K325" i="133"/>
  <c r="K322" i="133"/>
  <c r="K326" i="133"/>
  <c r="F344" i="133"/>
  <c r="F348" i="133"/>
  <c r="F342" i="133"/>
  <c r="K345" i="133"/>
  <c r="D335" i="133"/>
  <c r="K335" i="133" s="1"/>
  <c r="Q335" i="133" s="1"/>
  <c r="S352" i="133"/>
  <c r="D356" i="133"/>
  <c r="K356" i="133" s="1"/>
  <c r="Q356" i="133" s="1"/>
  <c r="L314" i="133"/>
  <c r="R314" i="133"/>
  <c r="D312" i="133"/>
  <c r="K312" i="133" s="1"/>
  <c r="Q312" i="133" s="1"/>
  <c r="D302" i="133"/>
  <c r="D291" i="133"/>
  <c r="K291" i="133" s="1"/>
  <c r="Q291" i="133" s="1"/>
  <c r="D281" i="133"/>
  <c r="K278" i="133"/>
  <c r="Q281" i="133"/>
  <c r="K282" i="133"/>
  <c r="K279" i="133"/>
  <c r="K283" i="133"/>
  <c r="S288" i="133"/>
  <c r="O314" i="133"/>
  <c r="D292" i="133"/>
  <c r="K292" i="133" s="1"/>
  <c r="Q292" i="133" s="1"/>
  <c r="S309" i="133"/>
  <c r="D313" i="133"/>
  <c r="K313" i="133" s="1"/>
  <c r="Q313" i="133" s="1"/>
  <c r="Q261" i="133"/>
  <c r="R270" i="133" s="1"/>
  <c r="L270" i="133"/>
  <c r="D260" i="133"/>
  <c r="D270" i="133"/>
  <c r="K270" i="133" s="1"/>
  <c r="Q270" i="133" s="1"/>
  <c r="K262" i="133"/>
  <c r="Q241" i="133"/>
  <c r="R250" i="133" s="1"/>
  <c r="L250" i="133"/>
  <c r="N262" i="133"/>
  <c r="T262" i="133" s="1"/>
  <c r="U262" i="133" s="1"/>
  <c r="T241" i="133"/>
  <c r="U241" i="133" s="1"/>
  <c r="K256" i="133"/>
  <c r="Q256" i="133" s="1"/>
  <c r="Q235" i="133"/>
  <c r="D238" i="133"/>
  <c r="D248" i="133"/>
  <c r="K248" i="133" s="1"/>
  <c r="Q248" i="133" s="1"/>
  <c r="F262" i="133"/>
  <c r="F256" i="133"/>
  <c r="K257" i="133"/>
  <c r="Q257" i="133" s="1"/>
  <c r="K237" i="133"/>
  <c r="Q240" i="133"/>
  <c r="R249" i="133" s="1"/>
  <c r="K238" i="133"/>
  <c r="L249" i="133"/>
  <c r="K239" i="133"/>
  <c r="L206" i="133"/>
  <c r="Q197" i="133"/>
  <c r="R206" i="133" s="1"/>
  <c r="K218" i="133"/>
  <c r="N219" i="133"/>
  <c r="T198" i="133"/>
  <c r="U198" i="133" s="1"/>
  <c r="Q193" i="133"/>
  <c r="K214" i="133"/>
  <c r="R228" i="133"/>
  <c r="L228" i="133"/>
  <c r="D205" i="133"/>
  <c r="K205" i="133" s="1"/>
  <c r="Q205" i="133" s="1"/>
  <c r="D195" i="133"/>
  <c r="D216" i="133"/>
  <c r="D226" i="133"/>
  <c r="K226" i="133" s="1"/>
  <c r="Q226" i="133" s="1"/>
  <c r="K213" i="133"/>
  <c r="F214" i="133"/>
  <c r="K217" i="133"/>
  <c r="F218" i="133"/>
  <c r="O207" i="133"/>
  <c r="S202" i="133"/>
  <c r="D206" i="133"/>
  <c r="K206" i="133" s="1"/>
  <c r="Q206" i="133" s="1"/>
  <c r="D227" i="133"/>
  <c r="K227" i="133" s="1"/>
  <c r="Q227" i="133" s="1"/>
  <c r="K174" i="133"/>
  <c r="Q174" i="133" s="1"/>
  <c r="Q153" i="133"/>
  <c r="D183" i="133"/>
  <c r="K183" i="133" s="1"/>
  <c r="Q183" i="133" s="1"/>
  <c r="D173" i="133"/>
  <c r="K170" i="133"/>
  <c r="Q149" i="133"/>
  <c r="D153" i="133"/>
  <c r="D163" i="133"/>
  <c r="K163" i="133" s="1"/>
  <c r="Q163" i="133" s="1"/>
  <c r="Q154" i="133"/>
  <c r="R163" i="133" s="1"/>
  <c r="K175" i="133"/>
  <c r="F175" i="133"/>
  <c r="O164" i="133"/>
  <c r="K150" i="133"/>
  <c r="S159" i="133"/>
  <c r="O185" i="133"/>
  <c r="S180" i="133"/>
  <c r="D184" i="133"/>
  <c r="K184" i="133" s="1"/>
  <c r="Q184" i="133" s="1"/>
  <c r="K133" i="133"/>
  <c r="Q133" i="133" s="1"/>
  <c r="R142" i="133" s="1"/>
  <c r="L121" i="133"/>
  <c r="Q112" i="133"/>
  <c r="R121" i="133" s="1"/>
  <c r="F133" i="133"/>
  <c r="Q107" i="133"/>
  <c r="K128" i="133"/>
  <c r="L120" i="133"/>
  <c r="Q111" i="133"/>
  <c r="R120" i="133" s="1"/>
  <c r="K132" i="133"/>
  <c r="D140" i="133"/>
  <c r="K140" i="133" s="1"/>
  <c r="Q140" i="133" s="1"/>
  <c r="D130" i="133"/>
  <c r="K127" i="133"/>
  <c r="Q106" i="133"/>
  <c r="L142" i="133"/>
  <c r="D119" i="133"/>
  <c r="K119" i="133" s="1"/>
  <c r="Q119" i="133" s="1"/>
  <c r="D109" i="133"/>
  <c r="Q109" i="133"/>
  <c r="K110" i="133"/>
  <c r="F128" i="133"/>
  <c r="F132" i="133"/>
  <c r="O121" i="133"/>
  <c r="F127" i="133"/>
  <c r="S116" i="133"/>
  <c r="O142" i="133"/>
  <c r="D120" i="133"/>
  <c r="K120" i="133" s="1"/>
  <c r="Q120" i="133" s="1"/>
  <c r="S137" i="133"/>
  <c r="D141" i="133"/>
  <c r="K141" i="133" s="1"/>
  <c r="Q141" i="133" s="1"/>
  <c r="P22" i="53"/>
  <c r="P21" i="53"/>
  <c r="H1" i="122"/>
  <c r="N476" i="133" l="1"/>
  <c r="T476" i="133" s="1"/>
  <c r="U476" i="133" s="1"/>
  <c r="T455" i="133"/>
  <c r="U455" i="133" s="1"/>
  <c r="Q453" i="133"/>
  <c r="K474" i="133"/>
  <c r="Q474" i="133" s="1"/>
  <c r="Q476" i="133"/>
  <c r="R485" i="133" s="1"/>
  <c r="L485" i="133"/>
  <c r="T454" i="133"/>
  <c r="U454" i="133" s="1"/>
  <c r="N475" i="133"/>
  <c r="T475" i="133" s="1"/>
  <c r="U475" i="133" s="1"/>
  <c r="H474" i="133"/>
  <c r="D483" i="133"/>
  <c r="K483" i="133" s="1"/>
  <c r="Q483" i="133" s="1"/>
  <c r="D473" i="133"/>
  <c r="H453" i="133"/>
  <c r="N453" i="133" s="1"/>
  <c r="D452" i="133"/>
  <c r="D462" i="133"/>
  <c r="K462" i="133" s="1"/>
  <c r="Q462" i="133" s="1"/>
  <c r="T411" i="133"/>
  <c r="U411" i="133" s="1"/>
  <c r="N432" i="133"/>
  <c r="T432" i="133" s="1"/>
  <c r="U432" i="133" s="1"/>
  <c r="Q412" i="133"/>
  <c r="R421" i="133" s="1"/>
  <c r="K433" i="133"/>
  <c r="L421" i="133"/>
  <c r="D440" i="133"/>
  <c r="K440" i="133" s="1"/>
  <c r="Q440" i="133" s="1"/>
  <c r="H431" i="133"/>
  <c r="D430" i="133"/>
  <c r="N433" i="133"/>
  <c r="T433" i="133" s="1"/>
  <c r="U433" i="133" s="1"/>
  <c r="T412" i="133"/>
  <c r="U412" i="133" s="1"/>
  <c r="D419" i="133"/>
  <c r="K419" i="133" s="1"/>
  <c r="Q419" i="133" s="1"/>
  <c r="H410" i="133"/>
  <c r="N410" i="133" s="1"/>
  <c r="D409" i="133"/>
  <c r="Q365" i="133"/>
  <c r="K386" i="133"/>
  <c r="Q386" i="133" s="1"/>
  <c r="T368" i="133"/>
  <c r="U368" i="133" s="1"/>
  <c r="N389" i="133"/>
  <c r="T389" i="133" s="1"/>
  <c r="U389" i="133" s="1"/>
  <c r="H367" i="133"/>
  <c r="N367" i="133" s="1"/>
  <c r="D376" i="133"/>
  <c r="K376" i="133" s="1"/>
  <c r="Q376" i="133" s="1"/>
  <c r="D366" i="133"/>
  <c r="N390" i="133"/>
  <c r="T390" i="133" s="1"/>
  <c r="U390" i="133" s="1"/>
  <c r="T369" i="133"/>
  <c r="U369" i="133" s="1"/>
  <c r="L399" i="133"/>
  <c r="Q390" i="133"/>
  <c r="R399" i="133" s="1"/>
  <c r="H388" i="133"/>
  <c r="D397" i="133"/>
  <c r="K397" i="133" s="1"/>
  <c r="Q397" i="133" s="1"/>
  <c r="D387" i="133"/>
  <c r="R357" i="133"/>
  <c r="L357" i="133"/>
  <c r="D354" i="133"/>
  <c r="K354" i="133" s="1"/>
  <c r="Q354" i="133" s="1"/>
  <c r="D344" i="133"/>
  <c r="D323" i="133"/>
  <c r="D333" i="133"/>
  <c r="K333" i="133" s="1"/>
  <c r="Q333" i="133" s="1"/>
  <c r="L335" i="133"/>
  <c r="Q326" i="133"/>
  <c r="R335" i="133" s="1"/>
  <c r="K347" i="133"/>
  <c r="Q322" i="133"/>
  <c r="K343" i="133"/>
  <c r="T325" i="133"/>
  <c r="U325" i="133" s="1"/>
  <c r="N346" i="133"/>
  <c r="N347" i="133"/>
  <c r="T326" i="133"/>
  <c r="U326" i="133" s="1"/>
  <c r="N348" i="133"/>
  <c r="T327" i="133"/>
  <c r="U327" i="133" s="1"/>
  <c r="K346" i="133"/>
  <c r="Q325" i="133"/>
  <c r="Q279" i="133"/>
  <c r="K300" i="133"/>
  <c r="D301" i="133"/>
  <c r="D311" i="133"/>
  <c r="K311" i="133" s="1"/>
  <c r="Q311" i="133" s="1"/>
  <c r="K303" i="133"/>
  <c r="Q282" i="133"/>
  <c r="Q278" i="133"/>
  <c r="K299" i="133"/>
  <c r="N305" i="133"/>
  <c r="T284" i="133"/>
  <c r="U284" i="133" s="1"/>
  <c r="T282" i="133"/>
  <c r="U282" i="133" s="1"/>
  <c r="N303" i="133"/>
  <c r="D290" i="133"/>
  <c r="K290" i="133" s="1"/>
  <c r="Q290" i="133" s="1"/>
  <c r="D280" i="133"/>
  <c r="N304" i="133"/>
  <c r="T283" i="133"/>
  <c r="U283" i="133" s="1"/>
  <c r="Q283" i="133"/>
  <c r="R292" i="133" s="1"/>
  <c r="K304" i="133"/>
  <c r="L292" i="133"/>
  <c r="D269" i="133"/>
  <c r="K269" i="133" s="1"/>
  <c r="Q269" i="133" s="1"/>
  <c r="D259" i="133"/>
  <c r="N261" i="133"/>
  <c r="T261" i="133" s="1"/>
  <c r="U261" i="133" s="1"/>
  <c r="T240" i="133"/>
  <c r="U240" i="133" s="1"/>
  <c r="K260" i="133"/>
  <c r="Q260" i="133" s="1"/>
  <c r="Q239" i="133"/>
  <c r="T239" i="133"/>
  <c r="U239" i="133" s="1"/>
  <c r="N260" i="133"/>
  <c r="T260" i="133" s="1"/>
  <c r="U260" i="133" s="1"/>
  <c r="Q238" i="133"/>
  <c r="K259" i="133"/>
  <c r="Q259" i="133" s="1"/>
  <c r="Q262" i="133"/>
  <c r="R271" i="133" s="1"/>
  <c r="L271" i="133"/>
  <c r="D247" i="133"/>
  <c r="K247" i="133" s="1"/>
  <c r="Q247" i="133" s="1"/>
  <c r="D237" i="133"/>
  <c r="K258" i="133"/>
  <c r="Q258" i="133" s="1"/>
  <c r="Q237" i="133"/>
  <c r="T196" i="133"/>
  <c r="U196" i="133" s="1"/>
  <c r="N217" i="133"/>
  <c r="D204" i="133"/>
  <c r="K204" i="133" s="1"/>
  <c r="Q204" i="133" s="1"/>
  <c r="D194" i="133"/>
  <c r="R227" i="133"/>
  <c r="L227" i="133"/>
  <c r="N218" i="133"/>
  <c r="T197" i="133"/>
  <c r="U197" i="133" s="1"/>
  <c r="D225" i="133"/>
  <c r="K225" i="133" s="1"/>
  <c r="Q225" i="133" s="1"/>
  <c r="D215" i="133"/>
  <c r="N176" i="133"/>
  <c r="T176" i="133" s="1"/>
  <c r="U176" i="133" s="1"/>
  <c r="T155" i="133"/>
  <c r="U155" i="133" s="1"/>
  <c r="N175" i="133"/>
  <c r="T175" i="133" s="1"/>
  <c r="U175" i="133" s="1"/>
  <c r="T154" i="133"/>
  <c r="U154" i="133" s="1"/>
  <c r="Q150" i="133"/>
  <c r="K171" i="133"/>
  <c r="D162" i="133"/>
  <c r="K162" i="133" s="1"/>
  <c r="Q162" i="133" s="1"/>
  <c r="D152" i="133"/>
  <c r="Q170" i="133"/>
  <c r="Q175" i="133"/>
  <c r="R184" i="133" s="1"/>
  <c r="L184" i="133"/>
  <c r="D182" i="133"/>
  <c r="K182" i="133" s="1"/>
  <c r="Q182" i="133" s="1"/>
  <c r="D172" i="133"/>
  <c r="Q128" i="133"/>
  <c r="Q127" i="133"/>
  <c r="N133" i="133"/>
  <c r="T133" i="133" s="1"/>
  <c r="U133" i="133" s="1"/>
  <c r="T112" i="133"/>
  <c r="U112" i="133" s="1"/>
  <c r="K131" i="133"/>
  <c r="Q110" i="133"/>
  <c r="T111" i="133"/>
  <c r="U111" i="133" s="1"/>
  <c r="N132" i="133"/>
  <c r="T132" i="133" s="1"/>
  <c r="U132" i="133" s="1"/>
  <c r="D118" i="133"/>
  <c r="K118" i="133" s="1"/>
  <c r="Q118" i="133" s="1"/>
  <c r="D108" i="133"/>
  <c r="D139" i="133"/>
  <c r="K139" i="133" s="1"/>
  <c r="Q139" i="133" s="1"/>
  <c r="D129" i="133"/>
  <c r="T110" i="133"/>
  <c r="U110" i="133" s="1"/>
  <c r="N131" i="133"/>
  <c r="T131" i="133" s="1"/>
  <c r="U131" i="133" s="1"/>
  <c r="Q132" i="133"/>
  <c r="R141" i="133" s="1"/>
  <c r="L141" i="133"/>
  <c r="J28" i="136"/>
  <c r="I28" i="136"/>
  <c r="H28" i="136"/>
  <c r="G28" i="136"/>
  <c r="E28" i="136"/>
  <c r="D28" i="136"/>
  <c r="J27" i="136"/>
  <c r="I27" i="136"/>
  <c r="H27" i="136"/>
  <c r="G27" i="136"/>
  <c r="E27" i="136"/>
  <c r="D27" i="136"/>
  <c r="H25" i="136"/>
  <c r="G25" i="136"/>
  <c r="J24" i="136"/>
  <c r="I24" i="136"/>
  <c r="H24" i="136"/>
  <c r="G24" i="136"/>
  <c r="E24" i="136"/>
  <c r="D24" i="136"/>
  <c r="J23" i="136"/>
  <c r="I23" i="136"/>
  <c r="H23" i="136"/>
  <c r="G23" i="136"/>
  <c r="E23" i="136"/>
  <c r="D23" i="136"/>
  <c r="J21" i="136"/>
  <c r="I21" i="136"/>
  <c r="H21" i="136"/>
  <c r="G21" i="136"/>
  <c r="E21" i="136"/>
  <c r="D21" i="136"/>
  <c r="J18" i="136"/>
  <c r="J25" i="136" s="1"/>
  <c r="I18" i="136"/>
  <c r="I25" i="136" s="1"/>
  <c r="H18" i="136"/>
  <c r="H29" i="136" s="1"/>
  <c r="G18" i="136"/>
  <c r="G29" i="136" s="1"/>
  <c r="E18" i="136"/>
  <c r="E25" i="136" s="1"/>
  <c r="D18" i="136"/>
  <c r="D25" i="136" s="1"/>
  <c r="J13" i="136"/>
  <c r="E13" i="136"/>
  <c r="D13" i="136"/>
  <c r="J1" i="136"/>
  <c r="J29" i="136" l="1"/>
  <c r="I29" i="136"/>
  <c r="E29" i="136"/>
  <c r="D29" i="136"/>
  <c r="D461" i="133"/>
  <c r="K461" i="133" s="1"/>
  <c r="Q461" i="133" s="1"/>
  <c r="D451" i="133"/>
  <c r="H452" i="133"/>
  <c r="N452" i="133" s="1"/>
  <c r="T453" i="133"/>
  <c r="U453" i="133" s="1"/>
  <c r="N474" i="133"/>
  <c r="T474" i="133" s="1"/>
  <c r="U474" i="133" s="1"/>
  <c r="D482" i="133"/>
  <c r="K482" i="133" s="1"/>
  <c r="Q482" i="133" s="1"/>
  <c r="H473" i="133"/>
  <c r="D472" i="133"/>
  <c r="T410" i="133"/>
  <c r="U410" i="133" s="1"/>
  <c r="N431" i="133"/>
  <c r="T431" i="133" s="1"/>
  <c r="U431" i="133" s="1"/>
  <c r="Q433" i="133"/>
  <c r="R442" i="133" s="1"/>
  <c r="L442" i="133"/>
  <c r="D439" i="133"/>
  <c r="K439" i="133" s="1"/>
  <c r="Q439" i="133" s="1"/>
  <c r="D429" i="133"/>
  <c r="H430" i="133"/>
  <c r="D408" i="133"/>
  <c r="D418" i="133"/>
  <c r="K418" i="133" s="1"/>
  <c r="Q418" i="133" s="1"/>
  <c r="H409" i="133"/>
  <c r="N409" i="133" s="1"/>
  <c r="D375" i="133"/>
  <c r="K375" i="133" s="1"/>
  <c r="Q375" i="133" s="1"/>
  <c r="H366" i="133"/>
  <c r="N366" i="133" s="1"/>
  <c r="D365" i="133"/>
  <c r="D396" i="133"/>
  <c r="K396" i="133" s="1"/>
  <c r="Q396" i="133" s="1"/>
  <c r="H387" i="133"/>
  <c r="D386" i="133"/>
  <c r="T367" i="133"/>
  <c r="U367" i="133" s="1"/>
  <c r="N388" i="133"/>
  <c r="T388" i="133" s="1"/>
  <c r="U388" i="133" s="1"/>
  <c r="R356" i="133"/>
  <c r="L356" i="133"/>
  <c r="D332" i="133"/>
  <c r="K332" i="133" s="1"/>
  <c r="Q332" i="133" s="1"/>
  <c r="D322" i="133"/>
  <c r="N345" i="133"/>
  <c r="T324" i="133"/>
  <c r="U324" i="133" s="1"/>
  <c r="D353" i="133"/>
  <c r="K353" i="133" s="1"/>
  <c r="Q353" i="133" s="1"/>
  <c r="D343" i="133"/>
  <c r="D310" i="133"/>
  <c r="K310" i="133" s="1"/>
  <c r="Q310" i="133" s="1"/>
  <c r="D300" i="133"/>
  <c r="D279" i="133"/>
  <c r="D289" i="133"/>
  <c r="K289" i="133" s="1"/>
  <c r="Q289" i="133" s="1"/>
  <c r="T281" i="133"/>
  <c r="U281" i="133" s="1"/>
  <c r="N302" i="133"/>
  <c r="R313" i="133"/>
  <c r="L313" i="133"/>
  <c r="D268" i="133"/>
  <c r="K268" i="133" s="1"/>
  <c r="Q268" i="133" s="1"/>
  <c r="D258" i="133"/>
  <c r="D246" i="133"/>
  <c r="K246" i="133" s="1"/>
  <c r="Q246" i="133" s="1"/>
  <c r="D236" i="133"/>
  <c r="T238" i="133"/>
  <c r="U238" i="133" s="1"/>
  <c r="N259" i="133"/>
  <c r="T259" i="133" s="1"/>
  <c r="U259" i="133" s="1"/>
  <c r="D224" i="133"/>
  <c r="K224" i="133" s="1"/>
  <c r="Q224" i="133" s="1"/>
  <c r="D214" i="133"/>
  <c r="T195" i="133"/>
  <c r="U195" i="133" s="1"/>
  <c r="N216" i="133"/>
  <c r="D203" i="133"/>
  <c r="K203" i="133" s="1"/>
  <c r="Q203" i="133" s="1"/>
  <c r="D193" i="133"/>
  <c r="T153" i="133"/>
  <c r="U153" i="133" s="1"/>
  <c r="N174" i="133"/>
  <c r="T174" i="133" s="1"/>
  <c r="U174" i="133" s="1"/>
  <c r="D181" i="133"/>
  <c r="K181" i="133" s="1"/>
  <c r="Q181" i="133" s="1"/>
  <c r="D171" i="133"/>
  <c r="D161" i="133"/>
  <c r="K161" i="133" s="1"/>
  <c r="Q161" i="133" s="1"/>
  <c r="D151" i="133"/>
  <c r="Q171" i="133"/>
  <c r="Q131" i="133"/>
  <c r="D117" i="133"/>
  <c r="K117" i="133" s="1"/>
  <c r="Q117" i="133" s="1"/>
  <c r="D107" i="133"/>
  <c r="T109" i="133"/>
  <c r="U109" i="133" s="1"/>
  <c r="N130" i="133"/>
  <c r="T130" i="133" s="1"/>
  <c r="U130" i="133" s="1"/>
  <c r="D138" i="133"/>
  <c r="K138" i="133" s="1"/>
  <c r="Q138" i="133" s="1"/>
  <c r="D128" i="133"/>
  <c r="B18" i="135"/>
  <c r="H1" i="135"/>
  <c r="N473" i="133" l="1"/>
  <c r="T473" i="133" s="1"/>
  <c r="U473" i="133" s="1"/>
  <c r="T452" i="133"/>
  <c r="U452" i="133" s="1"/>
  <c r="D450" i="133"/>
  <c r="H451" i="133"/>
  <c r="N451" i="133" s="1"/>
  <c r="D460" i="133"/>
  <c r="K460" i="133" s="1"/>
  <c r="Q460" i="133" s="1"/>
  <c r="D471" i="133"/>
  <c r="D481" i="133"/>
  <c r="K481" i="133" s="1"/>
  <c r="Q481" i="133" s="1"/>
  <c r="H472" i="133"/>
  <c r="N430" i="133"/>
  <c r="T430" i="133" s="1"/>
  <c r="U430" i="133" s="1"/>
  <c r="T409" i="133"/>
  <c r="U409" i="133" s="1"/>
  <c r="D417" i="133"/>
  <c r="K417" i="133" s="1"/>
  <c r="Q417" i="133" s="1"/>
  <c r="D407" i="133"/>
  <c r="H408" i="133"/>
  <c r="N408" i="133" s="1"/>
  <c r="D438" i="133"/>
  <c r="K438" i="133" s="1"/>
  <c r="Q438" i="133" s="1"/>
  <c r="H429" i="133"/>
  <c r="D428" i="133"/>
  <c r="D364" i="133"/>
  <c r="D374" i="133"/>
  <c r="K374" i="133" s="1"/>
  <c r="Q374" i="133" s="1"/>
  <c r="H365" i="133"/>
  <c r="N365" i="133" s="1"/>
  <c r="N387" i="133"/>
  <c r="T387" i="133" s="1"/>
  <c r="U387" i="133" s="1"/>
  <c r="T366" i="133"/>
  <c r="U366" i="133" s="1"/>
  <c r="D385" i="133"/>
  <c r="D395" i="133"/>
  <c r="K395" i="133" s="1"/>
  <c r="Q395" i="133" s="1"/>
  <c r="H386" i="133"/>
  <c r="D342" i="133"/>
  <c r="D352" i="133"/>
  <c r="K352" i="133" s="1"/>
  <c r="Q352" i="133" s="1"/>
  <c r="D321" i="133"/>
  <c r="D331" i="133"/>
  <c r="K331" i="133" s="1"/>
  <c r="Q331" i="133" s="1"/>
  <c r="N344" i="133"/>
  <c r="T323" i="133"/>
  <c r="U323" i="133" s="1"/>
  <c r="D278" i="133"/>
  <c r="D288" i="133"/>
  <c r="K288" i="133" s="1"/>
  <c r="Q288" i="133" s="1"/>
  <c r="D299" i="133"/>
  <c r="D309" i="133"/>
  <c r="K309" i="133" s="1"/>
  <c r="Q309" i="133" s="1"/>
  <c r="N301" i="133"/>
  <c r="T280" i="133"/>
  <c r="U280" i="133" s="1"/>
  <c r="D267" i="133"/>
  <c r="K267" i="133" s="1"/>
  <c r="Q267" i="133" s="1"/>
  <c r="D257" i="133"/>
  <c r="D235" i="133"/>
  <c r="D245" i="133"/>
  <c r="K245" i="133" s="1"/>
  <c r="Q245" i="133" s="1"/>
  <c r="N258" i="133"/>
  <c r="T258" i="133" s="1"/>
  <c r="U258" i="133" s="1"/>
  <c r="T237" i="133"/>
  <c r="U237" i="133" s="1"/>
  <c r="D213" i="133"/>
  <c r="D223" i="133"/>
  <c r="K223" i="133" s="1"/>
  <c r="Q223" i="133" s="1"/>
  <c r="N215" i="133"/>
  <c r="T194" i="133"/>
  <c r="U194" i="133" s="1"/>
  <c r="D192" i="133"/>
  <c r="D202" i="133"/>
  <c r="K202" i="133" s="1"/>
  <c r="Q202" i="133" s="1"/>
  <c r="D160" i="133"/>
  <c r="K160" i="133" s="1"/>
  <c r="Q160" i="133" s="1"/>
  <c r="D150" i="133"/>
  <c r="T152" i="133"/>
  <c r="U152" i="133" s="1"/>
  <c r="N173" i="133"/>
  <c r="T173" i="133" s="1"/>
  <c r="U173" i="133" s="1"/>
  <c r="D170" i="133"/>
  <c r="D180" i="133"/>
  <c r="K180" i="133" s="1"/>
  <c r="Q180" i="133" s="1"/>
  <c r="D106" i="133"/>
  <c r="D116" i="133"/>
  <c r="K116" i="133" s="1"/>
  <c r="Q116" i="133" s="1"/>
  <c r="N129" i="133"/>
  <c r="T129" i="133" s="1"/>
  <c r="U129" i="133" s="1"/>
  <c r="T108" i="133"/>
  <c r="U108" i="133" s="1"/>
  <c r="D127" i="133"/>
  <c r="D137" i="133"/>
  <c r="K137" i="133" s="1"/>
  <c r="Q137" i="133" s="1"/>
  <c r="N56" i="32"/>
  <c r="O56" i="32"/>
  <c r="N57" i="32"/>
  <c r="O57" i="32"/>
  <c r="N58" i="32"/>
  <c r="O58" i="32"/>
  <c r="N59" i="32"/>
  <c r="O59" i="32"/>
  <c r="N60" i="32"/>
  <c r="O60" i="32"/>
  <c r="N61" i="32"/>
  <c r="O61" i="32"/>
  <c r="N62" i="32"/>
  <c r="O62" i="32"/>
  <c r="N63" i="32"/>
  <c r="O63" i="32"/>
  <c r="N64" i="32"/>
  <c r="O64" i="32"/>
  <c r="N65" i="32"/>
  <c r="O65" i="32"/>
  <c r="N66" i="32"/>
  <c r="O66" i="32"/>
  <c r="N67" i="32"/>
  <c r="O67" i="32"/>
  <c r="N68" i="32"/>
  <c r="O68" i="32"/>
  <c r="N69" i="32"/>
  <c r="O69" i="32"/>
  <c r="N70" i="32"/>
  <c r="O70" i="32"/>
  <c r="N71" i="32"/>
  <c r="O71" i="32"/>
  <c r="N72" i="32"/>
  <c r="O72" i="32"/>
  <c r="N73" i="32"/>
  <c r="O73" i="32"/>
  <c r="N74" i="32"/>
  <c r="O74" i="32"/>
  <c r="O55" i="32"/>
  <c r="N55" i="32"/>
  <c r="D459" i="133" l="1"/>
  <c r="K459" i="133" s="1"/>
  <c r="Q459" i="133" s="1"/>
  <c r="H450" i="133"/>
  <c r="N450" i="133" s="1"/>
  <c r="D480" i="133"/>
  <c r="K480" i="133" s="1"/>
  <c r="Q480" i="133" s="1"/>
  <c r="H471" i="133"/>
  <c r="T451" i="133"/>
  <c r="U451" i="133" s="1"/>
  <c r="N472" i="133"/>
  <c r="T472" i="133" s="1"/>
  <c r="U472" i="133" s="1"/>
  <c r="N429" i="133"/>
  <c r="T429" i="133" s="1"/>
  <c r="U429" i="133" s="1"/>
  <c r="T408" i="133"/>
  <c r="U408" i="133" s="1"/>
  <c r="D416" i="133"/>
  <c r="K416" i="133" s="1"/>
  <c r="Q416" i="133" s="1"/>
  <c r="H407" i="133"/>
  <c r="N407" i="133" s="1"/>
  <c r="H428" i="133"/>
  <c r="D437" i="133"/>
  <c r="K437" i="133" s="1"/>
  <c r="Q437" i="133" s="1"/>
  <c r="N386" i="133"/>
  <c r="T386" i="133" s="1"/>
  <c r="U386" i="133" s="1"/>
  <c r="T365" i="133"/>
  <c r="U365" i="133" s="1"/>
  <c r="H364" i="133"/>
  <c r="N364" i="133" s="1"/>
  <c r="D373" i="133"/>
  <c r="K373" i="133" s="1"/>
  <c r="Q373" i="133" s="1"/>
  <c r="H385" i="133"/>
  <c r="D394" i="133"/>
  <c r="K394" i="133" s="1"/>
  <c r="Q394" i="133" s="1"/>
  <c r="D351" i="133"/>
  <c r="K351" i="133" s="1"/>
  <c r="Q351" i="133" s="1"/>
  <c r="N343" i="133"/>
  <c r="T322" i="133"/>
  <c r="U322" i="133" s="1"/>
  <c r="D330" i="133"/>
  <c r="K330" i="133" s="1"/>
  <c r="Q330" i="133" s="1"/>
  <c r="D308" i="133"/>
  <c r="K308" i="133" s="1"/>
  <c r="Q308" i="133" s="1"/>
  <c r="T279" i="133"/>
  <c r="U279" i="133" s="1"/>
  <c r="N300" i="133"/>
  <c r="D287" i="133"/>
  <c r="K287" i="133" s="1"/>
  <c r="Q287" i="133" s="1"/>
  <c r="D256" i="133"/>
  <c r="D266" i="133"/>
  <c r="K266" i="133" s="1"/>
  <c r="Q266" i="133" s="1"/>
  <c r="N257" i="133"/>
  <c r="T257" i="133" s="1"/>
  <c r="U257" i="133" s="1"/>
  <c r="T236" i="133"/>
  <c r="U236" i="133" s="1"/>
  <c r="D244" i="133"/>
  <c r="K244" i="133" s="1"/>
  <c r="Q244" i="133" s="1"/>
  <c r="D222" i="133"/>
  <c r="K222" i="133" s="1"/>
  <c r="Q222" i="133" s="1"/>
  <c r="N214" i="133"/>
  <c r="T193" i="133"/>
  <c r="U193" i="133" s="1"/>
  <c r="D201" i="133"/>
  <c r="K201" i="133" s="1"/>
  <c r="Q201" i="133" s="1"/>
  <c r="D149" i="133"/>
  <c r="D159" i="133"/>
  <c r="K159" i="133" s="1"/>
  <c r="Q159" i="133" s="1"/>
  <c r="N172" i="133"/>
  <c r="T172" i="133" s="1"/>
  <c r="U172" i="133" s="1"/>
  <c r="T151" i="133"/>
  <c r="U151" i="133" s="1"/>
  <c r="D179" i="133"/>
  <c r="K179" i="133" s="1"/>
  <c r="Q179" i="133" s="1"/>
  <c r="N128" i="133"/>
  <c r="T128" i="133" s="1"/>
  <c r="U128" i="133" s="1"/>
  <c r="T107" i="133"/>
  <c r="U107" i="133" s="1"/>
  <c r="D115" i="133"/>
  <c r="K115" i="133" s="1"/>
  <c r="Q115" i="133" s="1"/>
  <c r="D136" i="133"/>
  <c r="K136" i="133" s="1"/>
  <c r="Q136" i="133" s="1"/>
  <c r="U92" i="133"/>
  <c r="O92" i="133"/>
  <c r="I92" i="133"/>
  <c r="U71" i="133"/>
  <c r="O71" i="133"/>
  <c r="O83" i="133"/>
  <c r="K55" i="133"/>
  <c r="F69" i="133"/>
  <c r="F68" i="133"/>
  <c r="F67" i="133"/>
  <c r="F66" i="133"/>
  <c r="F65" i="133"/>
  <c r="F64" i="133"/>
  <c r="F63" i="133"/>
  <c r="L53" i="133"/>
  <c r="M54" i="133"/>
  <c r="M53" i="133"/>
  <c r="M52" i="133"/>
  <c r="L52" i="133"/>
  <c r="M51" i="133"/>
  <c r="L51" i="133"/>
  <c r="M50" i="133"/>
  <c r="L50" i="133"/>
  <c r="M49" i="133"/>
  <c r="L49" i="133"/>
  <c r="O46" i="133"/>
  <c r="L54" i="133"/>
  <c r="D45" i="133"/>
  <c r="D44" i="133" s="1"/>
  <c r="N44" i="133" s="1"/>
  <c r="D38" i="133"/>
  <c r="O54" i="133" l="1"/>
  <c r="O55" i="133"/>
  <c r="T450" i="133"/>
  <c r="U450" i="133" s="1"/>
  <c r="U457" i="133" s="1"/>
  <c r="N471" i="133"/>
  <c r="T471" i="133" s="1"/>
  <c r="U471" i="133" s="1"/>
  <c r="U478" i="133" s="1"/>
  <c r="T407" i="133"/>
  <c r="U407" i="133" s="1"/>
  <c r="U414" i="133" s="1"/>
  <c r="N428" i="133"/>
  <c r="T428" i="133" s="1"/>
  <c r="U428" i="133" s="1"/>
  <c r="U435" i="133" s="1"/>
  <c r="T364" i="133"/>
  <c r="U364" i="133" s="1"/>
  <c r="U371" i="133" s="1"/>
  <c r="N385" i="133"/>
  <c r="T385" i="133" s="1"/>
  <c r="U385" i="133" s="1"/>
  <c r="U392" i="133" s="1"/>
  <c r="T321" i="133"/>
  <c r="U321" i="133" s="1"/>
  <c r="U328" i="133" s="1"/>
  <c r="U337" i="133" s="1"/>
  <c r="N342" i="133"/>
  <c r="U349" i="133" s="1"/>
  <c r="U358" i="133" s="1"/>
  <c r="T278" i="133"/>
  <c r="U278" i="133" s="1"/>
  <c r="U285" i="133" s="1"/>
  <c r="U294" i="133" s="1"/>
  <c r="N299" i="133"/>
  <c r="U306" i="133" s="1"/>
  <c r="U315" i="133" s="1"/>
  <c r="D265" i="133"/>
  <c r="K265" i="133" s="1"/>
  <c r="Q265" i="133" s="1"/>
  <c r="T235" i="133"/>
  <c r="U235" i="133" s="1"/>
  <c r="U242" i="133" s="1"/>
  <c r="U251" i="133" s="1"/>
  <c r="N256" i="133"/>
  <c r="T256" i="133" s="1"/>
  <c r="U256" i="133" s="1"/>
  <c r="U263" i="133" s="1"/>
  <c r="U272" i="133" s="1"/>
  <c r="T192" i="133"/>
  <c r="U192" i="133" s="1"/>
  <c r="U199" i="133" s="1"/>
  <c r="U208" i="133" s="1"/>
  <c r="N213" i="133"/>
  <c r="U220" i="133" s="1"/>
  <c r="U229" i="133" s="1"/>
  <c r="N171" i="133"/>
  <c r="T171" i="133" s="1"/>
  <c r="T150" i="133"/>
  <c r="U150" i="133" s="1"/>
  <c r="D158" i="133"/>
  <c r="K158" i="133" s="1"/>
  <c r="Q158" i="133" s="1"/>
  <c r="T106" i="133"/>
  <c r="U106" i="133" s="1"/>
  <c r="U113" i="133" s="1"/>
  <c r="U122" i="133" s="1"/>
  <c r="N127" i="133"/>
  <c r="T127" i="133" s="1"/>
  <c r="U127" i="133" s="1"/>
  <c r="U134" i="133" s="1"/>
  <c r="U143" i="133" s="1"/>
  <c r="N45" i="133"/>
  <c r="D43" i="133"/>
  <c r="N43" i="133" s="1"/>
  <c r="D53" i="133"/>
  <c r="K53" i="133" s="1"/>
  <c r="D54" i="133"/>
  <c r="K54" i="133" s="1"/>
  <c r="Q82" i="133"/>
  <c r="S90" i="133"/>
  <c r="R90" i="133"/>
  <c r="S89" i="133"/>
  <c r="S99" i="133" s="1"/>
  <c r="R89" i="133"/>
  <c r="S88" i="133"/>
  <c r="S98" i="133" s="1"/>
  <c r="R88" i="133"/>
  <c r="S87" i="133"/>
  <c r="S97" i="133" s="1"/>
  <c r="R87" i="133"/>
  <c r="R97" i="133" s="1"/>
  <c r="S86" i="133"/>
  <c r="S96" i="133" s="1"/>
  <c r="R86" i="133"/>
  <c r="R96" i="133" s="1"/>
  <c r="S85" i="133"/>
  <c r="S95" i="133" s="1"/>
  <c r="R85" i="133"/>
  <c r="R95" i="133" s="1"/>
  <c r="S84" i="133"/>
  <c r="R84" i="133"/>
  <c r="U83" i="133"/>
  <c r="S83" i="133"/>
  <c r="R83" i="133"/>
  <c r="U62" i="133"/>
  <c r="S69" i="133"/>
  <c r="S68" i="133"/>
  <c r="S67" i="133"/>
  <c r="S77" i="133" s="1"/>
  <c r="S66" i="133"/>
  <c r="S65" i="133"/>
  <c r="S75" i="133" s="1"/>
  <c r="S64" i="133"/>
  <c r="S63" i="133"/>
  <c r="S62" i="133"/>
  <c r="R62" i="133"/>
  <c r="R69" i="133"/>
  <c r="R68" i="133"/>
  <c r="R67" i="133"/>
  <c r="R66" i="133"/>
  <c r="R76" i="133" s="1"/>
  <c r="R65" i="133"/>
  <c r="R75" i="133" s="1"/>
  <c r="R64" i="133"/>
  <c r="R74" i="133" s="1"/>
  <c r="R63" i="133"/>
  <c r="Q61" i="133"/>
  <c r="F90" i="133"/>
  <c r="F89" i="133"/>
  <c r="F88" i="133"/>
  <c r="F87" i="133"/>
  <c r="F86" i="133"/>
  <c r="F85" i="133"/>
  <c r="F84" i="133"/>
  <c r="G99" i="133"/>
  <c r="G98" i="133"/>
  <c r="G97" i="133"/>
  <c r="G96" i="133"/>
  <c r="G95" i="133"/>
  <c r="G94" i="133"/>
  <c r="I91" i="133"/>
  <c r="I100" i="133" s="1"/>
  <c r="D90" i="133"/>
  <c r="D99" i="133" s="1"/>
  <c r="K99" i="133" s="1"/>
  <c r="Q99" i="133" s="1"/>
  <c r="D83" i="133"/>
  <c r="K82" i="133"/>
  <c r="M99" i="133"/>
  <c r="M98" i="133"/>
  <c r="M97" i="133"/>
  <c r="L97" i="133"/>
  <c r="M96" i="133"/>
  <c r="L96" i="133"/>
  <c r="M95" i="133"/>
  <c r="L95" i="133"/>
  <c r="M94" i="133"/>
  <c r="L94" i="133"/>
  <c r="O91" i="133"/>
  <c r="O70" i="133"/>
  <c r="O79" i="133" s="1"/>
  <c r="M78" i="133"/>
  <c r="M77" i="133"/>
  <c r="M76" i="133"/>
  <c r="M75" i="133"/>
  <c r="M74" i="133"/>
  <c r="M73" i="133"/>
  <c r="L76" i="133"/>
  <c r="L75" i="133"/>
  <c r="L74" i="133"/>
  <c r="L73" i="133"/>
  <c r="K64" i="133"/>
  <c r="K85" i="133" s="1"/>
  <c r="Q85" i="133" s="1"/>
  <c r="K65" i="133"/>
  <c r="K86" i="133" s="1"/>
  <c r="Q86" i="133" s="1"/>
  <c r="K66" i="133"/>
  <c r="K87" i="133" s="1"/>
  <c r="Q87" i="133" s="1"/>
  <c r="K67" i="133"/>
  <c r="K88" i="133" s="1"/>
  <c r="Q88" i="133" s="1"/>
  <c r="K68" i="133"/>
  <c r="L77" i="133" s="1"/>
  <c r="K69" i="133"/>
  <c r="L78" i="133" s="1"/>
  <c r="K63" i="133"/>
  <c r="K84" i="133" s="1"/>
  <c r="Q84" i="133" s="1"/>
  <c r="I70" i="133"/>
  <c r="I79" i="133" s="1"/>
  <c r="G74" i="133"/>
  <c r="G75" i="133"/>
  <c r="G76" i="133"/>
  <c r="G77" i="133"/>
  <c r="G78" i="133"/>
  <c r="G73" i="133"/>
  <c r="D62" i="133"/>
  <c r="D69" i="133"/>
  <c r="D68" i="133" s="1"/>
  <c r="D67" i="133" s="1"/>
  <c r="D66" i="133" s="1"/>
  <c r="D65" i="133" s="1"/>
  <c r="D64" i="133" s="1"/>
  <c r="D63" i="133" s="1"/>
  <c r="D72" i="133" s="1"/>
  <c r="K72" i="133" s="1"/>
  <c r="Q72" i="133" s="1"/>
  <c r="U1" i="133"/>
  <c r="R100" i="133" l="1"/>
  <c r="R94" i="133"/>
  <c r="S100" i="133"/>
  <c r="S94" i="133"/>
  <c r="S76" i="133"/>
  <c r="S78" i="133"/>
  <c r="S74" i="133"/>
  <c r="S79" i="133"/>
  <c r="S73" i="133"/>
  <c r="R79" i="133"/>
  <c r="R73" i="133"/>
  <c r="U486" i="133"/>
  <c r="U465" i="133"/>
  <c r="U443" i="133"/>
  <c r="U422" i="133"/>
  <c r="U400" i="133"/>
  <c r="U379" i="133"/>
  <c r="U357" i="133"/>
  <c r="U336" i="133"/>
  <c r="U314" i="133"/>
  <c r="U293" i="133"/>
  <c r="U250" i="133"/>
  <c r="U271" i="133"/>
  <c r="U228" i="133"/>
  <c r="U207" i="133"/>
  <c r="T149" i="133"/>
  <c r="U149" i="133" s="1"/>
  <c r="U156" i="133" s="1"/>
  <c r="U165" i="133" s="1"/>
  <c r="N170" i="133"/>
  <c r="T170" i="133" s="1"/>
  <c r="U170" i="133" s="1"/>
  <c r="U177" i="133" s="1"/>
  <c r="U186" i="133" s="1"/>
  <c r="U142" i="133"/>
  <c r="U121" i="133"/>
  <c r="O99" i="133"/>
  <c r="I99" i="133"/>
  <c r="O78" i="133"/>
  <c r="I78" i="133"/>
  <c r="D42" i="133"/>
  <c r="N42" i="133" s="1"/>
  <c r="D52" i="133"/>
  <c r="K52" i="133" s="1"/>
  <c r="Q63" i="133"/>
  <c r="Q68" i="133"/>
  <c r="R77" i="133" s="1"/>
  <c r="Q69" i="133"/>
  <c r="R78" i="133" s="1"/>
  <c r="Q64" i="133"/>
  <c r="Q65" i="133"/>
  <c r="Q66" i="133"/>
  <c r="Q67" i="133"/>
  <c r="K90" i="133"/>
  <c r="K89" i="133"/>
  <c r="H90" i="133"/>
  <c r="D89" i="133"/>
  <c r="H89" i="133" s="1"/>
  <c r="H65" i="133"/>
  <c r="N65" i="133" s="1"/>
  <c r="D74" i="133"/>
  <c r="K74" i="133" s="1"/>
  <c r="Q74" i="133" s="1"/>
  <c r="H64" i="133"/>
  <c r="N64" i="133" s="1"/>
  <c r="D73" i="133"/>
  <c r="K73" i="133" s="1"/>
  <c r="Q73" i="133" s="1"/>
  <c r="H66" i="133"/>
  <c r="N66" i="133" s="1"/>
  <c r="D76" i="133"/>
  <c r="K76" i="133" s="1"/>
  <c r="Q76" i="133" s="1"/>
  <c r="H69" i="133"/>
  <c r="N69" i="133" s="1"/>
  <c r="D75" i="133"/>
  <c r="K75" i="133" s="1"/>
  <c r="Q75" i="133" s="1"/>
  <c r="H63" i="133"/>
  <c r="N63" i="133" s="1"/>
  <c r="D78" i="133"/>
  <c r="K78" i="133" s="1"/>
  <c r="H67" i="133"/>
  <c r="N67" i="133" s="1"/>
  <c r="D77" i="133"/>
  <c r="K77" i="133" s="1"/>
  <c r="Q77" i="133" s="1"/>
  <c r="H68" i="133"/>
  <c r="N68" i="133" s="1"/>
  <c r="R1" i="132"/>
  <c r="U185" i="133" l="1"/>
  <c r="U164" i="133"/>
  <c r="Q78" i="133"/>
  <c r="D41" i="133"/>
  <c r="N41" i="133" s="1"/>
  <c r="D51" i="133"/>
  <c r="K51" i="133" s="1"/>
  <c r="L98" i="133"/>
  <c r="Q89" i="133"/>
  <c r="R98" i="133" s="1"/>
  <c r="L99" i="133"/>
  <c r="Q90" i="133"/>
  <c r="R99" i="133" s="1"/>
  <c r="N90" i="133"/>
  <c r="T90" i="133" s="1"/>
  <c r="U90" i="133" s="1"/>
  <c r="T69" i="133"/>
  <c r="U69" i="133" s="1"/>
  <c r="N89" i="133"/>
  <c r="T89" i="133" s="1"/>
  <c r="U89" i="133" s="1"/>
  <c r="T68" i="133"/>
  <c r="U68" i="133" s="1"/>
  <c r="N87" i="133"/>
  <c r="T87" i="133" s="1"/>
  <c r="U87" i="133" s="1"/>
  <c r="T66" i="133"/>
  <c r="U66" i="133" s="1"/>
  <c r="N88" i="133"/>
  <c r="T88" i="133" s="1"/>
  <c r="U88" i="133" s="1"/>
  <c r="T67" i="133"/>
  <c r="U67" i="133" s="1"/>
  <c r="N85" i="133"/>
  <c r="T85" i="133" s="1"/>
  <c r="U85" i="133" s="1"/>
  <c r="T64" i="133"/>
  <c r="U64" i="133" s="1"/>
  <c r="N84" i="133"/>
  <c r="T84" i="133" s="1"/>
  <c r="U84" i="133" s="1"/>
  <c r="T63" i="133"/>
  <c r="U63" i="133" s="1"/>
  <c r="N86" i="133"/>
  <c r="T86" i="133" s="1"/>
  <c r="U86" i="133" s="1"/>
  <c r="T65" i="133"/>
  <c r="U65" i="133" s="1"/>
  <c r="D98" i="133"/>
  <c r="K98" i="133" s="1"/>
  <c r="Q98" i="133" s="1"/>
  <c r="D88" i="133"/>
  <c r="D97" i="133" s="1"/>
  <c r="K97" i="133" s="1"/>
  <c r="Q97" i="133" s="1"/>
  <c r="D40" i="133" l="1"/>
  <c r="N40" i="133" s="1"/>
  <c r="D50" i="133"/>
  <c r="K50" i="133" s="1"/>
  <c r="U70" i="133"/>
  <c r="U79" i="133" s="1"/>
  <c r="U91" i="133"/>
  <c r="U100" i="133" s="1"/>
  <c r="H88" i="133"/>
  <c r="D87" i="133"/>
  <c r="H87" i="133" s="1"/>
  <c r="H68" i="54"/>
  <c r="H85" i="54" s="1"/>
  <c r="S18" i="98"/>
  <c r="T53" i="98" s="1"/>
  <c r="P18" i="98"/>
  <c r="Q53" i="98" s="1"/>
  <c r="R17" i="54"/>
  <c r="U17" i="54" s="1"/>
  <c r="O17" i="54"/>
  <c r="P52" i="54" s="1"/>
  <c r="G68" i="55"/>
  <c r="F68" i="55" s="1"/>
  <c r="E68" i="55" s="1"/>
  <c r="D68" i="55" s="1"/>
  <c r="C68" i="55" s="1"/>
  <c r="G31" i="55"/>
  <c r="F31" i="55" s="1"/>
  <c r="E31" i="55" s="1"/>
  <c r="D31" i="55" s="1"/>
  <c r="C31" i="55" s="1"/>
  <c r="U99" i="133" l="1"/>
  <c r="U78" i="133"/>
  <c r="D49" i="133"/>
  <c r="K49" i="133" s="1"/>
  <c r="D39" i="133"/>
  <c r="N39" i="133" s="1"/>
  <c r="D86" i="133"/>
  <c r="D85" i="133" s="1"/>
  <c r="D96" i="133"/>
  <c r="K96" i="133" s="1"/>
  <c r="Q96" i="133" s="1"/>
  <c r="S52" i="54"/>
  <c r="H31" i="55"/>
  <c r="I31" i="55" s="1"/>
  <c r="J31" i="55" s="1"/>
  <c r="K31" i="55" s="1"/>
  <c r="I68" i="54"/>
  <c r="J68" i="54" s="1"/>
  <c r="K68" i="54" s="1"/>
  <c r="V52" i="54"/>
  <c r="X17" i="54"/>
  <c r="G68" i="54"/>
  <c r="V18" i="98"/>
  <c r="D27" i="20"/>
  <c r="E27" i="20"/>
  <c r="F27" i="20"/>
  <c r="G27" i="20"/>
  <c r="H27" i="20"/>
  <c r="I27" i="20"/>
  <c r="J27" i="20"/>
  <c r="K27" i="20"/>
  <c r="L27" i="20"/>
  <c r="D28" i="20"/>
  <c r="E28" i="20"/>
  <c r="F28" i="20"/>
  <c r="G28" i="20"/>
  <c r="H28" i="20"/>
  <c r="I28" i="20"/>
  <c r="J28" i="20"/>
  <c r="K28" i="20"/>
  <c r="L28" i="20"/>
  <c r="D29" i="20"/>
  <c r="E29" i="20"/>
  <c r="F29" i="20"/>
  <c r="G29" i="20"/>
  <c r="H29" i="20"/>
  <c r="I29" i="20"/>
  <c r="J29" i="20"/>
  <c r="K29" i="20"/>
  <c r="L29" i="20"/>
  <c r="C29" i="20"/>
  <c r="C28" i="20"/>
  <c r="C27" i="20"/>
  <c r="D23" i="20"/>
  <c r="E23" i="20"/>
  <c r="F23" i="20"/>
  <c r="G23" i="20"/>
  <c r="H23" i="20"/>
  <c r="I23" i="20"/>
  <c r="J23" i="20"/>
  <c r="K23" i="20"/>
  <c r="L23" i="20"/>
  <c r="D24" i="20"/>
  <c r="E24" i="20"/>
  <c r="F24" i="20"/>
  <c r="G24" i="20"/>
  <c r="H24" i="20"/>
  <c r="I24" i="20"/>
  <c r="J24" i="20"/>
  <c r="K24" i="20"/>
  <c r="L24" i="20"/>
  <c r="D25" i="20"/>
  <c r="E25" i="20"/>
  <c r="F25" i="20"/>
  <c r="G25" i="20"/>
  <c r="H25" i="20"/>
  <c r="I25" i="20"/>
  <c r="J25" i="20"/>
  <c r="K25" i="20"/>
  <c r="L25" i="20"/>
  <c r="C25" i="20"/>
  <c r="C24" i="20"/>
  <c r="C23" i="20"/>
  <c r="L21" i="20"/>
  <c r="D21" i="20"/>
  <c r="E21" i="20"/>
  <c r="F21" i="20"/>
  <c r="G21" i="20"/>
  <c r="H21" i="20"/>
  <c r="I21" i="20"/>
  <c r="J21" i="20"/>
  <c r="K21" i="20"/>
  <c r="C21" i="20"/>
  <c r="D18" i="20"/>
  <c r="E18" i="20"/>
  <c r="F18" i="20"/>
  <c r="G18" i="20"/>
  <c r="H18" i="20"/>
  <c r="I18" i="20"/>
  <c r="J18" i="20"/>
  <c r="K18" i="20"/>
  <c r="L18" i="20"/>
  <c r="C18" i="20"/>
  <c r="F32" i="131"/>
  <c r="K31" i="131"/>
  <c r="E30" i="131"/>
  <c r="E32" i="131" s="1"/>
  <c r="F30" i="131"/>
  <c r="G30" i="131"/>
  <c r="G32" i="131" s="1"/>
  <c r="H30" i="131"/>
  <c r="H32" i="131" s="1"/>
  <c r="I30" i="131"/>
  <c r="I32" i="131" s="1"/>
  <c r="J30" i="131"/>
  <c r="J32" i="131" s="1"/>
  <c r="K29" i="131"/>
  <c r="K28" i="131"/>
  <c r="D30" i="131"/>
  <c r="D32" i="131" s="1"/>
  <c r="J26" i="131"/>
  <c r="K1" i="131"/>
  <c r="K32" i="131" l="1"/>
  <c r="K30" i="131"/>
  <c r="J85" i="54"/>
  <c r="D48" i="133"/>
  <c r="K48" i="133" s="1"/>
  <c r="D95" i="133"/>
  <c r="K95" i="133" s="1"/>
  <c r="Q95" i="133" s="1"/>
  <c r="H86" i="133"/>
  <c r="H85" i="133"/>
  <c r="D94" i="133"/>
  <c r="K94" i="133" s="1"/>
  <c r="Q94" i="133" s="1"/>
  <c r="D84" i="133"/>
  <c r="I85" i="54"/>
  <c r="W53" i="98"/>
  <c r="Y18" i="98"/>
  <c r="G85" i="54"/>
  <c r="F68" i="54"/>
  <c r="K85" i="54"/>
  <c r="L68" i="54"/>
  <c r="L85" i="54" s="1"/>
  <c r="AA17" i="54"/>
  <c r="AB52" i="54" s="1"/>
  <c r="Y52" i="54"/>
  <c r="D62" i="122"/>
  <c r="F62" i="122" s="1"/>
  <c r="C62" i="122"/>
  <c r="E61" i="122"/>
  <c r="E60" i="122"/>
  <c r="E59" i="122"/>
  <c r="E58" i="122"/>
  <c r="E57" i="122"/>
  <c r="E56" i="122"/>
  <c r="A39" i="122"/>
  <c r="A38" i="122"/>
  <c r="A37" i="122"/>
  <c r="A36" i="122"/>
  <c r="A35" i="122"/>
  <c r="A34" i="122"/>
  <c r="A1" i="122"/>
  <c r="H84" i="133" l="1"/>
  <c r="D93" i="133"/>
  <c r="K93" i="133" s="1"/>
  <c r="Q93" i="133" s="1"/>
  <c r="F85" i="54"/>
  <c r="E68" i="54"/>
  <c r="Z53" i="98"/>
  <c r="AB18" i="98"/>
  <c r="AC53" i="98" s="1"/>
  <c r="G91" i="122"/>
  <c r="G94" i="122" s="1"/>
  <c r="F91" i="122"/>
  <c r="F94" i="122" s="1"/>
  <c r="B40" i="122"/>
  <c r="E62" i="122"/>
  <c r="E91" i="122" s="1"/>
  <c r="E94" i="122" s="1"/>
  <c r="D68" i="54" l="1"/>
  <c r="D85" i="54" s="1"/>
  <c r="E85" i="54"/>
  <c r="B94" i="122" l="1"/>
  <c r="H34" i="122" l="1"/>
  <c r="C40" i="122" l="1"/>
  <c r="C89" i="122" l="1"/>
  <c r="C91" i="122" l="1"/>
  <c r="H35" i="122" l="1"/>
  <c r="C94" i="122"/>
  <c r="D89" i="122" l="1"/>
  <c r="D40" i="122"/>
  <c r="D91" i="122" l="1"/>
  <c r="H89" i="122"/>
  <c r="H36" i="122" l="1"/>
  <c r="D94" i="122"/>
  <c r="H94" i="122" s="1"/>
  <c r="H91" i="122"/>
  <c r="E40" i="122" l="1"/>
  <c r="F40" i="122" l="1"/>
  <c r="H38" i="122" l="1"/>
  <c r="H39" i="122"/>
  <c r="G40" i="122"/>
  <c r="H37" i="122"/>
  <c r="H40" i="122" l="1"/>
  <c r="B26" i="122" s="1"/>
  <c r="G27" i="122"/>
  <c r="D28" i="122"/>
  <c r="E28" i="122"/>
  <c r="F28" i="122"/>
  <c r="G28" i="122"/>
  <c r="E29" i="122"/>
  <c r="F29" i="122"/>
  <c r="F30" i="122"/>
  <c r="G29" i="122"/>
  <c r="G31" i="122"/>
  <c r="H31" i="122" s="1"/>
  <c r="G30" i="122"/>
  <c r="F27" i="122" l="1"/>
  <c r="E27" i="122"/>
  <c r="D27" i="122"/>
  <c r="C27" i="122"/>
  <c r="H27" i="122" s="1"/>
  <c r="G26" i="122"/>
  <c r="G32" i="122" s="1"/>
  <c r="F26" i="122"/>
  <c r="E26" i="122"/>
  <c r="E32" i="122" s="1"/>
  <c r="D26" i="122"/>
  <c r="D32" i="122" s="1"/>
  <c r="C26" i="122"/>
  <c r="H29" i="122"/>
  <c r="H28" i="122"/>
  <c r="F32" i="122"/>
  <c r="H30" i="122"/>
  <c r="B32" i="122"/>
  <c r="L13" i="20"/>
  <c r="K13" i="20"/>
  <c r="J13" i="20"/>
  <c r="I13" i="20"/>
  <c r="C32" i="122" l="1"/>
  <c r="H26" i="122"/>
  <c r="H32" i="122"/>
  <c r="M18" i="80"/>
  <c r="M19" i="80"/>
  <c r="M20" i="80"/>
  <c r="M21" i="80"/>
  <c r="M22" i="80"/>
  <c r="M23" i="80"/>
  <c r="M24" i="80"/>
  <c r="M25" i="80"/>
  <c r="M26" i="80"/>
  <c r="M27" i="80"/>
  <c r="M28" i="80"/>
  <c r="M17" i="80"/>
  <c r="M29" i="80" l="1"/>
  <c r="E29" i="80"/>
  <c r="G58" i="130" l="1"/>
  <c r="C58" i="130"/>
  <c r="E57" i="130"/>
  <c r="E56" i="130"/>
  <c r="E55" i="130"/>
  <c r="E54" i="130"/>
  <c r="E53" i="130"/>
  <c r="E52" i="130"/>
  <c r="E51" i="130"/>
  <c r="E50" i="130"/>
  <c r="E49" i="130"/>
  <c r="E48" i="130"/>
  <c r="E47" i="130"/>
  <c r="E46" i="130"/>
  <c r="E45" i="130"/>
  <c r="E44" i="130"/>
  <c r="E43" i="130"/>
  <c r="E42" i="130"/>
  <c r="E41" i="130"/>
  <c r="E40" i="130"/>
  <c r="E39" i="130"/>
  <c r="E38" i="130"/>
  <c r="E37" i="130"/>
  <c r="E36" i="130"/>
  <c r="E35" i="130"/>
  <c r="E34" i="130"/>
  <c r="E33" i="130"/>
  <c r="E32" i="130"/>
  <c r="E31" i="130"/>
  <c r="E30" i="130"/>
  <c r="E29" i="130"/>
  <c r="E28" i="130"/>
  <c r="E27" i="130"/>
  <c r="E26" i="130"/>
  <c r="E25" i="130"/>
  <c r="E24" i="130"/>
  <c r="E23" i="130"/>
  <c r="E22" i="130"/>
  <c r="E21" i="130"/>
  <c r="E20" i="130"/>
  <c r="K1" i="130"/>
  <c r="C31" i="118" l="1"/>
  <c r="D28" i="118" s="1"/>
  <c r="D31" i="118" s="1"/>
  <c r="C25" i="118"/>
  <c r="D22" i="118" s="1"/>
  <c r="D25" i="118" s="1"/>
  <c r="D33" i="118" l="1"/>
  <c r="C33" i="118"/>
  <c r="I20" i="120"/>
  <c r="J58" i="120"/>
  <c r="I57" i="120"/>
  <c r="I56" i="120"/>
  <c r="I55" i="120"/>
  <c r="I54" i="120"/>
  <c r="I53" i="120"/>
  <c r="I52" i="120"/>
  <c r="I51" i="120"/>
  <c r="I50" i="120"/>
  <c r="I49" i="120"/>
  <c r="I48" i="120"/>
  <c r="I47" i="120"/>
  <c r="I46" i="120"/>
  <c r="I45" i="120"/>
  <c r="I44" i="120"/>
  <c r="I43" i="120"/>
  <c r="I42" i="120"/>
  <c r="I41" i="120"/>
  <c r="I40" i="120"/>
  <c r="I39" i="120"/>
  <c r="I38" i="120"/>
  <c r="I37" i="120"/>
  <c r="I36" i="120"/>
  <c r="I35" i="120"/>
  <c r="I34" i="120"/>
  <c r="I33" i="120"/>
  <c r="I32" i="120"/>
  <c r="I31" i="120"/>
  <c r="I30" i="120"/>
  <c r="I29" i="120"/>
  <c r="I28" i="120"/>
  <c r="I27" i="120"/>
  <c r="I26" i="120"/>
  <c r="I25" i="120"/>
  <c r="I24" i="120"/>
  <c r="I23" i="120"/>
  <c r="I22" i="120"/>
  <c r="I21" i="120"/>
  <c r="I58" i="120" l="1"/>
  <c r="E15" i="81"/>
  <c r="D15" i="81"/>
  <c r="B16" i="53" l="1"/>
  <c r="G16" i="53" s="1"/>
  <c r="L16" i="53" s="1"/>
  <c r="C16" i="53"/>
  <c r="H16" i="53" s="1"/>
  <c r="M16" i="53" s="1"/>
  <c r="D16" i="53"/>
  <c r="I16" i="53" s="1"/>
  <c r="N16" i="53" s="1"/>
  <c r="E16" i="53"/>
  <c r="J16" i="53" s="1"/>
  <c r="O16" i="53" s="1"/>
  <c r="F16" i="53"/>
  <c r="K29" i="53" s="1"/>
  <c r="C17" i="118"/>
  <c r="D17" i="118"/>
  <c r="E17" i="118"/>
  <c r="F17" i="118"/>
  <c r="F32" i="71"/>
  <c r="D32" i="71" s="1"/>
  <c r="F15" i="71"/>
  <c r="B15" i="71" s="1"/>
  <c r="D15" i="71" l="1"/>
  <c r="C15" i="71"/>
  <c r="K16" i="53"/>
  <c r="P16" i="53" s="1"/>
  <c r="C32" i="71"/>
  <c r="B32" i="71"/>
  <c r="E15" i="71"/>
  <c r="E32" i="71"/>
  <c r="G29" i="53"/>
  <c r="H29" i="53"/>
  <c r="I29" i="53"/>
  <c r="J29" i="53"/>
  <c r="AB23" i="98" l="1"/>
  <c r="Y23" i="98"/>
  <c r="V23" i="98"/>
  <c r="S23" i="98"/>
  <c r="P23" i="98"/>
  <c r="M23" i="98"/>
  <c r="J23" i="98"/>
  <c r="G23" i="98"/>
  <c r="D23" i="98"/>
  <c r="AB22" i="98"/>
  <c r="Y22" i="98"/>
  <c r="V22" i="98"/>
  <c r="S22" i="98"/>
  <c r="P22" i="98"/>
  <c r="M22" i="98"/>
  <c r="J22" i="98"/>
  <c r="G22" i="98"/>
  <c r="D22" i="98"/>
  <c r="L72" i="54"/>
  <c r="L88" i="54" s="1"/>
  <c r="K72" i="54"/>
  <c r="J72" i="54"/>
  <c r="I72" i="54"/>
  <c r="H72" i="54"/>
  <c r="G72" i="54"/>
  <c r="F72" i="54"/>
  <c r="E72" i="54"/>
  <c r="D72" i="54"/>
  <c r="AA22" i="54"/>
  <c r="X22" i="54"/>
  <c r="U22" i="54"/>
  <c r="R22" i="54"/>
  <c r="O22" i="54"/>
  <c r="L22" i="54"/>
  <c r="I22" i="54"/>
  <c r="F22" i="54"/>
  <c r="AA21" i="54"/>
  <c r="X21" i="54"/>
  <c r="U21" i="54"/>
  <c r="R21" i="54"/>
  <c r="O21" i="54"/>
  <c r="L21" i="54"/>
  <c r="I21" i="54"/>
  <c r="F21" i="54"/>
  <c r="C22" i="54"/>
  <c r="C21" i="54"/>
  <c r="I88" i="54"/>
  <c r="J88" i="54"/>
  <c r="K88" i="54"/>
  <c r="O58" i="98" l="1"/>
  <c r="N58" i="98"/>
  <c r="L58" i="98"/>
  <c r="K58" i="98"/>
  <c r="I58" i="98"/>
  <c r="H58" i="98"/>
  <c r="F58" i="98"/>
  <c r="E58" i="98"/>
  <c r="AD23" i="98"/>
  <c r="AA23" i="98"/>
  <c r="Z23" i="98"/>
  <c r="X23" i="98"/>
  <c r="X24" i="98" s="1"/>
  <c r="W23" i="98"/>
  <c r="R23" i="98"/>
  <c r="O23" i="98"/>
  <c r="N23" i="98"/>
  <c r="L23" i="98"/>
  <c r="L24" i="98" s="1"/>
  <c r="K23" i="98"/>
  <c r="F23" i="98"/>
  <c r="AC22" i="98"/>
  <c r="Z22" i="98"/>
  <c r="W22" i="98"/>
  <c r="W37" i="98" s="1"/>
  <c r="T22" i="98"/>
  <c r="Q22" i="98"/>
  <c r="N22" i="98"/>
  <c r="K22" i="98"/>
  <c r="H22" i="98"/>
  <c r="E22" i="98"/>
  <c r="O1" i="98"/>
  <c r="D72" i="98"/>
  <c r="D88" i="98" s="1"/>
  <c r="E72" i="98"/>
  <c r="E77" i="98" s="1"/>
  <c r="F72" i="98"/>
  <c r="F77" i="98" s="1"/>
  <c r="G72" i="98"/>
  <c r="I72" i="98"/>
  <c r="I77" i="98" s="1"/>
  <c r="J72" i="98"/>
  <c r="K72" i="98"/>
  <c r="L72" i="98"/>
  <c r="L88" i="98" s="1"/>
  <c r="D73" i="98"/>
  <c r="E71" i="98" s="1"/>
  <c r="E73" i="98"/>
  <c r="F71" i="98" s="1"/>
  <c r="E76" i="98"/>
  <c r="D77" i="98"/>
  <c r="D78" i="98" s="1"/>
  <c r="D38" i="98" s="1"/>
  <c r="G77" i="98"/>
  <c r="J77" i="98"/>
  <c r="K77" i="98"/>
  <c r="L77" i="98"/>
  <c r="D80" i="98"/>
  <c r="D81" i="98"/>
  <c r="D82" i="98" s="1"/>
  <c r="D21" i="98" s="1"/>
  <c r="E88" i="98"/>
  <c r="E90" i="98" s="1"/>
  <c r="G88" i="98"/>
  <c r="I88" i="98"/>
  <c r="I90" i="98" s="1"/>
  <c r="J88" i="98"/>
  <c r="J90" i="98" s="1"/>
  <c r="K88" i="98"/>
  <c r="D89" i="98"/>
  <c r="D90" i="98"/>
  <c r="G90" i="98"/>
  <c r="K90" i="98"/>
  <c r="L90" i="98"/>
  <c r="D91" i="98"/>
  <c r="D94" i="98" s="1"/>
  <c r="D92" i="98"/>
  <c r="E92" i="98"/>
  <c r="F92" i="98"/>
  <c r="G92" i="98"/>
  <c r="H92" i="98"/>
  <c r="I92" i="98"/>
  <c r="J92" i="98"/>
  <c r="K92" i="98"/>
  <c r="L92" i="98"/>
  <c r="D93" i="98"/>
  <c r="E93" i="98"/>
  <c r="F93" i="98"/>
  <c r="G93" i="98"/>
  <c r="H93" i="98"/>
  <c r="I93" i="98"/>
  <c r="J93" i="98"/>
  <c r="K93" i="98"/>
  <c r="L93" i="98"/>
  <c r="G93" i="54"/>
  <c r="H93" i="54" s="1"/>
  <c r="I93" i="54" s="1"/>
  <c r="J93" i="54" s="1"/>
  <c r="K93" i="54" s="1"/>
  <c r="L93" i="54" s="1"/>
  <c r="E93" i="54"/>
  <c r="F93" i="54" s="1"/>
  <c r="D93" i="54"/>
  <c r="H92" i="54"/>
  <c r="I92" i="54" s="1"/>
  <c r="J92" i="54" s="1"/>
  <c r="K92" i="54" s="1"/>
  <c r="L92" i="54" s="1"/>
  <c r="D92" i="54"/>
  <c r="E92" i="54" s="1"/>
  <c r="F92" i="54" s="1"/>
  <c r="G92" i="54" s="1"/>
  <c r="J90" i="54"/>
  <c r="I90" i="54"/>
  <c r="L90" i="54"/>
  <c r="K90" i="54"/>
  <c r="D88" i="54"/>
  <c r="D80" i="54"/>
  <c r="I77" i="54"/>
  <c r="E77" i="54"/>
  <c r="D76" i="54"/>
  <c r="L77" i="54"/>
  <c r="K77" i="54"/>
  <c r="J77" i="54"/>
  <c r="H77" i="54"/>
  <c r="G88" i="54"/>
  <c r="G90" i="54" s="1"/>
  <c r="F88" i="54"/>
  <c r="F90" i="54" s="1"/>
  <c r="E88" i="54"/>
  <c r="E90" i="54" s="1"/>
  <c r="O37" i="54"/>
  <c r="H37" i="54"/>
  <c r="H56" i="54" s="1"/>
  <c r="G37" i="54"/>
  <c r="G56" i="54" s="1"/>
  <c r="F37" i="54"/>
  <c r="Q23" i="54"/>
  <c r="AB22" i="54"/>
  <c r="AB23" i="54" s="1"/>
  <c r="AC22" i="54"/>
  <c r="AC36" i="54" s="1"/>
  <c r="Y22" i="54"/>
  <c r="W22" i="54"/>
  <c r="W36" i="54" s="1"/>
  <c r="V22" i="54"/>
  <c r="T22" i="54"/>
  <c r="S22" i="54"/>
  <c r="Q22" i="54"/>
  <c r="Q36" i="54" s="1"/>
  <c r="N22" i="54"/>
  <c r="M22" i="54"/>
  <c r="K22" i="54"/>
  <c r="K36" i="54" s="1"/>
  <c r="J22" i="54"/>
  <c r="H22" i="54"/>
  <c r="D22" i="54"/>
  <c r="E22" i="54"/>
  <c r="E36" i="54" s="1"/>
  <c r="AB21" i="54"/>
  <c r="Y21" i="54"/>
  <c r="V21" i="54"/>
  <c r="V36" i="54" s="1"/>
  <c r="S21" i="54"/>
  <c r="S23" i="54" s="1"/>
  <c r="P21" i="54"/>
  <c r="M21" i="54"/>
  <c r="J21" i="54"/>
  <c r="J23" i="54" s="1"/>
  <c r="G21" i="54"/>
  <c r="D21" i="54"/>
  <c r="K101" i="55"/>
  <c r="J101" i="55"/>
  <c r="I101" i="55"/>
  <c r="H101" i="55"/>
  <c r="G101" i="55"/>
  <c r="F101" i="55"/>
  <c r="E101" i="55"/>
  <c r="D101" i="55"/>
  <c r="C101" i="55"/>
  <c r="K100" i="55"/>
  <c r="J100" i="55"/>
  <c r="I100" i="55"/>
  <c r="H100" i="55"/>
  <c r="G100" i="55"/>
  <c r="F100" i="55"/>
  <c r="E100" i="55"/>
  <c r="D100" i="55"/>
  <c r="C100" i="55"/>
  <c r="K99" i="55"/>
  <c r="J99" i="55"/>
  <c r="I99" i="55"/>
  <c r="H99" i="55"/>
  <c r="G99" i="55"/>
  <c r="H72" i="98" s="1"/>
  <c r="F99" i="55"/>
  <c r="E99" i="55"/>
  <c r="D99" i="55"/>
  <c r="C99" i="55"/>
  <c r="H68" i="55"/>
  <c r="I68" i="55" s="1"/>
  <c r="J68" i="55" s="1"/>
  <c r="K68" i="55" s="1"/>
  <c r="K64" i="55"/>
  <c r="J64" i="55"/>
  <c r="I64" i="55"/>
  <c r="H64" i="55"/>
  <c r="G64" i="55"/>
  <c r="F64" i="55"/>
  <c r="E64" i="55"/>
  <c r="D64" i="55"/>
  <c r="C64" i="55"/>
  <c r="K63" i="55"/>
  <c r="J63" i="55"/>
  <c r="I63" i="55"/>
  <c r="H63" i="55"/>
  <c r="G63" i="55"/>
  <c r="F63" i="55"/>
  <c r="E63" i="55"/>
  <c r="D63" i="55"/>
  <c r="C63" i="55"/>
  <c r="K62" i="55"/>
  <c r="J62" i="55"/>
  <c r="I62" i="55"/>
  <c r="H62" i="55"/>
  <c r="G62" i="55"/>
  <c r="F62" i="55"/>
  <c r="E62" i="55"/>
  <c r="D62" i="55"/>
  <c r="C62" i="55"/>
  <c r="E38" i="98" l="1"/>
  <c r="E57" i="98" s="1"/>
  <c r="F38" i="98"/>
  <c r="F57" i="98" s="1"/>
  <c r="H88" i="98"/>
  <c r="H90" i="98" s="1"/>
  <c r="H77" i="98"/>
  <c r="Y36" i="54"/>
  <c r="X37" i="98"/>
  <c r="K23" i="54"/>
  <c r="K24" i="98"/>
  <c r="M36" i="54"/>
  <c r="AC23" i="54"/>
  <c r="E23" i="54"/>
  <c r="D23" i="54"/>
  <c r="F21" i="98"/>
  <c r="E21" i="98"/>
  <c r="N37" i="98"/>
  <c r="N24" i="98"/>
  <c r="R37" i="98"/>
  <c r="R24" i="98"/>
  <c r="F37" i="98"/>
  <c r="F24" i="98"/>
  <c r="U23" i="98"/>
  <c r="T23" i="98"/>
  <c r="T37" i="98" s="1"/>
  <c r="Z37" i="98"/>
  <c r="Z24" i="98"/>
  <c r="H23" i="98"/>
  <c r="H37" i="98" s="1"/>
  <c r="I23" i="98"/>
  <c r="AA37" i="98"/>
  <c r="AA24" i="98"/>
  <c r="Q24" i="98"/>
  <c r="K37" i="98"/>
  <c r="O37" i="98"/>
  <c r="O24" i="98"/>
  <c r="AD37" i="98"/>
  <c r="AD24" i="98"/>
  <c r="W24" i="98"/>
  <c r="E37" i="98"/>
  <c r="Q23" i="98"/>
  <c r="Q37" i="98" s="1"/>
  <c r="AC23" i="98"/>
  <c r="AC37" i="98" s="1"/>
  <c r="L37" i="98"/>
  <c r="D95" i="98"/>
  <c r="E87" i="98" s="1"/>
  <c r="E89" i="98" s="1"/>
  <c r="F73" i="98"/>
  <c r="F76" i="98"/>
  <c r="E75" i="98"/>
  <c r="F88" i="98"/>
  <c r="F90" i="98" s="1"/>
  <c r="H36" i="54"/>
  <c r="H23" i="54"/>
  <c r="N36" i="54"/>
  <c r="N23" i="54"/>
  <c r="D36" i="54"/>
  <c r="J36" i="54"/>
  <c r="P36" i="54"/>
  <c r="AB36" i="54"/>
  <c r="G22" i="54"/>
  <c r="G23" i="54" s="1"/>
  <c r="P22" i="54"/>
  <c r="Z22" i="54"/>
  <c r="M23" i="54"/>
  <c r="V23" i="54"/>
  <c r="P37" i="54"/>
  <c r="P56" i="54" s="1"/>
  <c r="Q37" i="54"/>
  <c r="Q56" i="54" s="1"/>
  <c r="P23" i="54"/>
  <c r="W23" i="54"/>
  <c r="S36" i="54"/>
  <c r="Y23" i="54"/>
  <c r="T36" i="54"/>
  <c r="T23" i="54"/>
  <c r="D90" i="54"/>
  <c r="D89" i="54"/>
  <c r="D77" i="54"/>
  <c r="D73" i="54"/>
  <c r="H88" i="54"/>
  <c r="H90" i="54" s="1"/>
  <c r="F77" i="54"/>
  <c r="I37" i="54" s="1"/>
  <c r="G77" i="54"/>
  <c r="L37" i="54" s="1"/>
  <c r="G36" i="54" l="1"/>
  <c r="F25" i="98"/>
  <c r="F30" i="98" s="1"/>
  <c r="F34" i="98" s="1"/>
  <c r="F56" i="98" s="1"/>
  <c r="F59" i="98" s="1"/>
  <c r="F63" i="98" s="1"/>
  <c r="F65" i="98" s="1"/>
  <c r="F66" i="98" s="1"/>
  <c r="F39" i="98" s="1"/>
  <c r="AC24" i="98"/>
  <c r="H24" i="98"/>
  <c r="E24" i="98"/>
  <c r="E25" i="98" s="1"/>
  <c r="T24" i="98"/>
  <c r="U24" i="98"/>
  <c r="U37" i="98"/>
  <c r="I37" i="98"/>
  <c r="I24" i="98"/>
  <c r="G71" i="98"/>
  <c r="E80" i="98"/>
  <c r="E78" i="98"/>
  <c r="G38" i="98" s="1"/>
  <c r="E91" i="98"/>
  <c r="E94" i="98" s="1"/>
  <c r="E95" i="98"/>
  <c r="F87" i="98" s="1"/>
  <c r="F89" i="98" s="1"/>
  <c r="N37" i="54"/>
  <c r="N56" i="54" s="1"/>
  <c r="M37" i="54"/>
  <c r="M56" i="54" s="1"/>
  <c r="D78" i="54"/>
  <c r="E75" i="54" s="1"/>
  <c r="C37" i="54"/>
  <c r="J37" i="54"/>
  <c r="J56" i="54" s="1"/>
  <c r="K37" i="54"/>
  <c r="K56" i="54" s="1"/>
  <c r="D91" i="54"/>
  <c r="D94" i="54" s="1"/>
  <c r="Z36" i="54"/>
  <c r="Z23" i="54"/>
  <c r="E71" i="54"/>
  <c r="F28" i="98" l="1"/>
  <c r="F32" i="98" s="1"/>
  <c r="H38" i="98"/>
  <c r="H57" i="98" s="1"/>
  <c r="I38" i="98"/>
  <c r="I57" i="98" s="1"/>
  <c r="F29" i="98"/>
  <c r="F33" i="98" s="1"/>
  <c r="F35" i="98"/>
  <c r="F41" i="98" s="1"/>
  <c r="F44" i="98" s="1"/>
  <c r="F46" i="98" s="1"/>
  <c r="D81" i="54"/>
  <c r="D82" i="54" s="1"/>
  <c r="C20" i="54" s="1"/>
  <c r="E20" i="54" s="1"/>
  <c r="E24" i="54" s="1"/>
  <c r="E30" i="98"/>
  <c r="E34" i="98" s="1"/>
  <c r="E56" i="98" s="1"/>
  <c r="E59" i="98" s="1"/>
  <c r="E63" i="98" s="1"/>
  <c r="E65" i="98" s="1"/>
  <c r="E66" i="98" s="1"/>
  <c r="E39" i="98" s="1"/>
  <c r="E28" i="98"/>
  <c r="E32" i="98" s="1"/>
  <c r="E29" i="98"/>
  <c r="E33" i="98" s="1"/>
  <c r="F75" i="98"/>
  <c r="E81" i="98"/>
  <c r="E82" i="98" s="1"/>
  <c r="G21" i="98" s="1"/>
  <c r="G73" i="98"/>
  <c r="G76" i="98"/>
  <c r="F91" i="98"/>
  <c r="F94" i="98" s="1"/>
  <c r="F95" i="98"/>
  <c r="G87" i="98" s="1"/>
  <c r="G89" i="98" s="1"/>
  <c r="E76" i="54"/>
  <c r="E78" i="54" s="1"/>
  <c r="F75" i="54" s="1"/>
  <c r="E80" i="54"/>
  <c r="E73" i="54"/>
  <c r="D57" i="54"/>
  <c r="E57" i="54"/>
  <c r="D37" i="54"/>
  <c r="D56" i="54" s="1"/>
  <c r="E37" i="54"/>
  <c r="E56" i="54" s="1"/>
  <c r="D20" i="54"/>
  <c r="D24" i="54" s="1"/>
  <c r="D95" i="54"/>
  <c r="E87" i="54" s="1"/>
  <c r="E89" i="54" s="1"/>
  <c r="I21" i="98" l="1"/>
  <c r="I25" i="98" s="1"/>
  <c r="H21" i="98"/>
  <c r="H25" i="98" s="1"/>
  <c r="E35" i="98"/>
  <c r="E41" i="98" s="1"/>
  <c r="F78" i="98"/>
  <c r="J38" i="98" s="1"/>
  <c r="F80" i="98"/>
  <c r="G91" i="98"/>
  <c r="G94" i="98" s="1"/>
  <c r="G95" i="98"/>
  <c r="H87" i="98" s="1"/>
  <c r="H89" i="98" s="1"/>
  <c r="H71" i="98"/>
  <c r="E91" i="54"/>
  <c r="E94" i="54" s="1"/>
  <c r="E82" i="54"/>
  <c r="F20" i="54" s="1"/>
  <c r="D28" i="54"/>
  <c r="D32" i="54" s="1"/>
  <c r="D29" i="54"/>
  <c r="D33" i="54" s="1"/>
  <c r="D55" i="54" s="1"/>
  <c r="D58" i="54" s="1"/>
  <c r="D62" i="54" s="1"/>
  <c r="D64" i="54" s="1"/>
  <c r="D65" i="54" s="1"/>
  <c r="D38" i="54" s="1"/>
  <c r="D27" i="54"/>
  <c r="D31" i="54" s="1"/>
  <c r="E28" i="54"/>
  <c r="E32" i="54" s="1"/>
  <c r="E27" i="54"/>
  <c r="E31" i="54" s="1"/>
  <c r="E29" i="54"/>
  <c r="E33" i="54" s="1"/>
  <c r="E55" i="54" s="1"/>
  <c r="E58" i="54" s="1"/>
  <c r="E62" i="54" s="1"/>
  <c r="E64" i="54" s="1"/>
  <c r="E65" i="54" s="1"/>
  <c r="E38" i="54" s="1"/>
  <c r="E81" i="54"/>
  <c r="F71" i="54"/>
  <c r="H29" i="98" l="1"/>
  <c r="H33" i="98" s="1"/>
  <c r="H30" i="98"/>
  <c r="H34" i="98" s="1"/>
  <c r="H56" i="98" s="1"/>
  <c r="H59" i="98" s="1"/>
  <c r="H63" i="98" s="1"/>
  <c r="H65" i="98" s="1"/>
  <c r="H66" i="98" s="1"/>
  <c r="H39" i="98" s="1"/>
  <c r="H28" i="98"/>
  <c r="H32" i="98" s="1"/>
  <c r="H35" i="98" s="1"/>
  <c r="H41" i="98" s="1"/>
  <c r="L38" i="98"/>
  <c r="L57" i="98" s="1"/>
  <c r="K38" i="98"/>
  <c r="K57" i="98" s="1"/>
  <c r="I28" i="98"/>
  <c r="I32" i="98" s="1"/>
  <c r="I30" i="98"/>
  <c r="I34" i="98" s="1"/>
  <c r="I56" i="98" s="1"/>
  <c r="I59" i="98" s="1"/>
  <c r="I63" i="98" s="1"/>
  <c r="I65" i="98" s="1"/>
  <c r="I66" i="98" s="1"/>
  <c r="I39" i="98" s="1"/>
  <c r="I29" i="98"/>
  <c r="I33" i="98" s="1"/>
  <c r="H76" i="98"/>
  <c r="P38" i="98" s="1"/>
  <c r="H73" i="98"/>
  <c r="G75" i="98"/>
  <c r="F81" i="98"/>
  <c r="F82" i="98" s="1"/>
  <c r="J21" i="98" s="1"/>
  <c r="H91" i="98"/>
  <c r="H94" i="98" s="1"/>
  <c r="H57" i="54"/>
  <c r="G57" i="54"/>
  <c r="E34" i="54"/>
  <c r="E40" i="54" s="1"/>
  <c r="E43" i="54" s="1"/>
  <c r="E45" i="54" s="1"/>
  <c r="F80" i="54"/>
  <c r="F73" i="54"/>
  <c r="F76" i="54"/>
  <c r="F78" i="54" s="1"/>
  <c r="G75" i="54" s="1"/>
  <c r="H20" i="54"/>
  <c r="H24" i="54" s="1"/>
  <c r="G20" i="54"/>
  <c r="G24" i="54" s="1"/>
  <c r="D34" i="54"/>
  <c r="D40" i="54" s="1"/>
  <c r="E95" i="54"/>
  <c r="F87" i="54" s="1"/>
  <c r="F89" i="54" s="1"/>
  <c r="I35" i="98" l="1"/>
  <c r="I41" i="98" s="1"/>
  <c r="I44" i="98" s="1"/>
  <c r="I46" i="98" s="1"/>
  <c r="K21" i="98"/>
  <c r="K25" i="98" s="1"/>
  <c r="L21" i="98"/>
  <c r="L25" i="98" s="1"/>
  <c r="R38" i="98"/>
  <c r="R57" i="98" s="1"/>
  <c r="Q38" i="98"/>
  <c r="Q57" i="98" s="1"/>
  <c r="R58" i="98"/>
  <c r="Q58" i="98"/>
  <c r="G78" i="98"/>
  <c r="M38" i="98" s="1"/>
  <c r="G80" i="98"/>
  <c r="H95" i="98"/>
  <c r="I87" i="98" s="1"/>
  <c r="I89" i="98" s="1"/>
  <c r="I71" i="98"/>
  <c r="F91" i="54"/>
  <c r="F94" i="54" s="1"/>
  <c r="F81" i="54"/>
  <c r="G71" i="54"/>
  <c r="G29" i="54"/>
  <c r="G33" i="54" s="1"/>
  <c r="G55" i="54" s="1"/>
  <c r="G58" i="54" s="1"/>
  <c r="G62" i="54" s="1"/>
  <c r="G64" i="54" s="1"/>
  <c r="G65" i="54" s="1"/>
  <c r="G38" i="54" s="1"/>
  <c r="G28" i="54"/>
  <c r="G32" i="54" s="1"/>
  <c r="G27" i="54"/>
  <c r="G31" i="54" s="1"/>
  <c r="F82" i="54"/>
  <c r="I20" i="54" s="1"/>
  <c r="H29" i="54"/>
  <c r="H33" i="54" s="1"/>
  <c r="H55" i="54" s="1"/>
  <c r="H58" i="54" s="1"/>
  <c r="H62" i="54" s="1"/>
  <c r="H64" i="54" s="1"/>
  <c r="H65" i="54" s="1"/>
  <c r="H38" i="54" s="1"/>
  <c r="H27" i="54"/>
  <c r="H31" i="54" s="1"/>
  <c r="H28" i="54"/>
  <c r="H32" i="54" s="1"/>
  <c r="O38" i="98" l="1"/>
  <c r="O57" i="98" s="1"/>
  <c r="N38" i="98"/>
  <c r="N57" i="98" s="1"/>
  <c r="K28" i="98"/>
  <c r="K32" i="98" s="1"/>
  <c r="K29" i="98"/>
  <c r="K33" i="98" s="1"/>
  <c r="K30" i="98"/>
  <c r="K34" i="98" s="1"/>
  <c r="K56" i="98" s="1"/>
  <c r="K59" i="98" s="1"/>
  <c r="K63" i="98" s="1"/>
  <c r="K65" i="98" s="1"/>
  <c r="K66" i="98" s="1"/>
  <c r="K39" i="98" s="1"/>
  <c r="L30" i="98"/>
  <c r="L34" i="98" s="1"/>
  <c r="L56" i="98" s="1"/>
  <c r="L59" i="98" s="1"/>
  <c r="L63" i="98" s="1"/>
  <c r="L65" i="98" s="1"/>
  <c r="L66" i="98" s="1"/>
  <c r="L39" i="98" s="1"/>
  <c r="L28" i="98"/>
  <c r="L32" i="98" s="1"/>
  <c r="L29" i="98"/>
  <c r="L33" i="98" s="1"/>
  <c r="I73" i="98"/>
  <c r="I76" i="98"/>
  <c r="S38" i="98" s="1"/>
  <c r="I91" i="98"/>
  <c r="I94" i="98" s="1"/>
  <c r="I95" i="98"/>
  <c r="J87" i="98" s="1"/>
  <c r="J89" i="98" s="1"/>
  <c r="H75" i="98"/>
  <c r="H78" i="98" s="1"/>
  <c r="G81" i="98"/>
  <c r="H80" i="98" s="1"/>
  <c r="K57" i="54"/>
  <c r="J57" i="54"/>
  <c r="J20" i="54"/>
  <c r="J24" i="54" s="1"/>
  <c r="K20" i="54"/>
  <c r="K24" i="54" s="1"/>
  <c r="G76" i="54"/>
  <c r="G78" i="54" s="1"/>
  <c r="H75" i="54" s="1"/>
  <c r="G80" i="54"/>
  <c r="G73" i="54"/>
  <c r="F95" i="54"/>
  <c r="G87" i="54" s="1"/>
  <c r="G89" i="54" s="1"/>
  <c r="G34" i="54"/>
  <c r="G40" i="54" s="1"/>
  <c r="H34" i="54"/>
  <c r="H40" i="54" s="1"/>
  <c r="H43" i="54" s="1"/>
  <c r="H45" i="54" s="1"/>
  <c r="L35" i="98" l="1"/>
  <c r="L41" i="98" s="1"/>
  <c r="L44" i="98" s="1"/>
  <c r="L46" i="98" s="1"/>
  <c r="K35" i="98"/>
  <c r="K41" i="98" s="1"/>
  <c r="T38" i="98"/>
  <c r="T57" i="98" s="1"/>
  <c r="U38" i="98"/>
  <c r="U57" i="98" s="1"/>
  <c r="U58" i="98"/>
  <c r="T58" i="98"/>
  <c r="J91" i="98"/>
  <c r="J94" i="98" s="1"/>
  <c r="I75" i="98"/>
  <c r="I78" i="98" s="1"/>
  <c r="J75" i="98" s="1"/>
  <c r="H81" i="98"/>
  <c r="I80" i="98" s="1"/>
  <c r="J71" i="98"/>
  <c r="G82" i="98"/>
  <c r="M21" i="98" s="1"/>
  <c r="G91" i="54"/>
  <c r="G94" i="54" s="1"/>
  <c r="K28" i="54"/>
  <c r="K32" i="54" s="1"/>
  <c r="K27" i="54"/>
  <c r="K31" i="54" s="1"/>
  <c r="K29" i="54"/>
  <c r="K33" i="54" s="1"/>
  <c r="K55" i="54" s="1"/>
  <c r="K58" i="54" s="1"/>
  <c r="K62" i="54" s="1"/>
  <c r="K64" i="54" s="1"/>
  <c r="K65" i="54" s="1"/>
  <c r="K38" i="54" s="1"/>
  <c r="H71" i="54"/>
  <c r="G81" i="54"/>
  <c r="G82" i="54" s="1"/>
  <c r="L20" i="54" s="1"/>
  <c r="J29" i="54"/>
  <c r="J33" i="54" s="1"/>
  <c r="J55" i="54" s="1"/>
  <c r="J58" i="54" s="1"/>
  <c r="J62" i="54" s="1"/>
  <c r="J64" i="54" s="1"/>
  <c r="J65" i="54" s="1"/>
  <c r="J38" i="54" s="1"/>
  <c r="J27" i="54"/>
  <c r="J31" i="54" s="1"/>
  <c r="J28" i="54"/>
  <c r="J32" i="54" s="1"/>
  <c r="O21" i="98" l="1"/>
  <c r="O25" i="98" s="1"/>
  <c r="N21" i="98"/>
  <c r="N25" i="98" s="1"/>
  <c r="X58" i="98"/>
  <c r="W58" i="98"/>
  <c r="I81" i="98"/>
  <c r="J80" i="98" s="1"/>
  <c r="K34" i="54"/>
  <c r="K40" i="54" s="1"/>
  <c r="K43" i="54" s="1"/>
  <c r="K45" i="54" s="1"/>
  <c r="I82" i="98"/>
  <c r="S21" i="98" s="1"/>
  <c r="H82" i="98"/>
  <c r="P21" i="98" s="1"/>
  <c r="Q21" i="98" s="1"/>
  <c r="J73" i="98"/>
  <c r="J76" i="98"/>
  <c r="V38" i="98" s="1"/>
  <c r="J95" i="98"/>
  <c r="K87" i="98" s="1"/>
  <c r="K89" i="98" s="1"/>
  <c r="N20" i="54"/>
  <c r="N24" i="54" s="1"/>
  <c r="M20" i="54"/>
  <c r="M24" i="54" s="1"/>
  <c r="H76" i="54"/>
  <c r="H78" i="54" s="1"/>
  <c r="I75" i="54" s="1"/>
  <c r="H80" i="54"/>
  <c r="H73" i="54"/>
  <c r="N57" i="54"/>
  <c r="M57" i="54"/>
  <c r="J34" i="54"/>
  <c r="J40" i="54" s="1"/>
  <c r="G95" i="54"/>
  <c r="H87" i="54" s="1"/>
  <c r="H89" i="54" s="1"/>
  <c r="N29" i="98" l="1"/>
  <c r="N33" i="98" s="1"/>
  <c r="N28" i="98"/>
  <c r="N32" i="98" s="1"/>
  <c r="N30" i="98"/>
  <c r="N34" i="98" s="1"/>
  <c r="N56" i="98" s="1"/>
  <c r="N59" i="98" s="1"/>
  <c r="N63" i="98" s="1"/>
  <c r="N65" i="98" s="1"/>
  <c r="N66" i="98" s="1"/>
  <c r="N39" i="98" s="1"/>
  <c r="O29" i="98"/>
  <c r="O33" i="98" s="1"/>
  <c r="O28" i="98"/>
  <c r="O32" i="98" s="1"/>
  <c r="O30" i="98"/>
  <c r="O34" i="98" s="1"/>
  <c r="O56" i="98" s="1"/>
  <c r="O59" i="98" s="1"/>
  <c r="O63" i="98" s="1"/>
  <c r="O65" i="98" s="1"/>
  <c r="O66" i="98" s="1"/>
  <c r="O39" i="98" s="1"/>
  <c r="X38" i="98"/>
  <c r="X57" i="98" s="1"/>
  <c r="W38" i="98"/>
  <c r="W57" i="98" s="1"/>
  <c r="T21" i="98"/>
  <c r="T25" i="98" s="1"/>
  <c r="U21" i="98"/>
  <c r="U25" i="98" s="1"/>
  <c r="Q25" i="98"/>
  <c r="R21" i="98"/>
  <c r="R25" i="98" s="1"/>
  <c r="J78" i="98"/>
  <c r="K75" i="98" s="1"/>
  <c r="K71" i="98"/>
  <c r="K91" i="98"/>
  <c r="K94" i="98" s="1"/>
  <c r="M29" i="54"/>
  <c r="M33" i="54" s="1"/>
  <c r="M55" i="54" s="1"/>
  <c r="M58" i="54" s="1"/>
  <c r="M62" i="54" s="1"/>
  <c r="M64" i="54" s="1"/>
  <c r="M65" i="54" s="1"/>
  <c r="M38" i="54" s="1"/>
  <c r="M28" i="54"/>
  <c r="M32" i="54" s="1"/>
  <c r="M27" i="54"/>
  <c r="M31" i="54" s="1"/>
  <c r="H91" i="54"/>
  <c r="H94" i="54" s="1"/>
  <c r="H81" i="54"/>
  <c r="I80" i="54" s="1"/>
  <c r="I71" i="54"/>
  <c r="N29" i="54"/>
  <c r="N33" i="54" s="1"/>
  <c r="N55" i="54" s="1"/>
  <c r="N58" i="54" s="1"/>
  <c r="N62" i="54" s="1"/>
  <c r="N64" i="54" s="1"/>
  <c r="N65" i="54" s="1"/>
  <c r="N38" i="54" s="1"/>
  <c r="N27" i="54"/>
  <c r="N31" i="54" s="1"/>
  <c r="N28" i="54"/>
  <c r="N32" i="54" s="1"/>
  <c r="O35" i="98" l="1"/>
  <c r="O41" i="98" s="1"/>
  <c r="O44" i="98" s="1"/>
  <c r="O46" i="98" s="1"/>
  <c r="N35" i="98"/>
  <c r="N41" i="98" s="1"/>
  <c r="J81" i="98"/>
  <c r="J82" i="98" s="1"/>
  <c r="V21" i="98" s="1"/>
  <c r="R28" i="98"/>
  <c r="R32" i="98" s="1"/>
  <c r="R29" i="98"/>
  <c r="R33" i="98" s="1"/>
  <c r="R30" i="98"/>
  <c r="R34" i="98" s="1"/>
  <c r="R56" i="98" s="1"/>
  <c r="R59" i="98" s="1"/>
  <c r="R63" i="98" s="1"/>
  <c r="R65" i="98" s="1"/>
  <c r="R66" i="98" s="1"/>
  <c r="R39" i="98" s="1"/>
  <c r="U30" i="98"/>
  <c r="U34" i="98" s="1"/>
  <c r="U56" i="98" s="1"/>
  <c r="U59" i="98" s="1"/>
  <c r="U63" i="98" s="1"/>
  <c r="U65" i="98" s="1"/>
  <c r="U66" i="98" s="1"/>
  <c r="U39" i="98" s="1"/>
  <c r="U29" i="98"/>
  <c r="U33" i="98" s="1"/>
  <c r="U28" i="98"/>
  <c r="U32" i="98" s="1"/>
  <c r="AA58" i="98"/>
  <c r="Z58" i="98"/>
  <c r="Q30" i="98"/>
  <c r="Q34" i="98" s="1"/>
  <c r="Q56" i="98" s="1"/>
  <c r="Q59" i="98" s="1"/>
  <c r="Q63" i="98" s="1"/>
  <c r="Q65" i="98" s="1"/>
  <c r="Q66" i="98" s="1"/>
  <c r="Q39" i="98" s="1"/>
  <c r="Q28" i="98"/>
  <c r="Q32" i="98" s="1"/>
  <c r="Q29" i="98"/>
  <c r="Q33" i="98" s="1"/>
  <c r="T28" i="98"/>
  <c r="T32" i="98" s="1"/>
  <c r="T30" i="98"/>
  <c r="T34" i="98" s="1"/>
  <c r="T56" i="98" s="1"/>
  <c r="T59" i="98" s="1"/>
  <c r="T63" i="98" s="1"/>
  <c r="T65" i="98" s="1"/>
  <c r="T66" i="98" s="1"/>
  <c r="T39" i="98" s="1"/>
  <c r="T29" i="98"/>
  <c r="T33" i="98" s="1"/>
  <c r="K95" i="98"/>
  <c r="L87" i="98" s="1"/>
  <c r="L89" i="98" s="1"/>
  <c r="K73" i="98"/>
  <c r="K76" i="98"/>
  <c r="Y38" i="98" s="1"/>
  <c r="N34" i="54"/>
  <c r="N40" i="54" s="1"/>
  <c r="N43" i="54" s="1"/>
  <c r="N45" i="54" s="1"/>
  <c r="P57" i="54"/>
  <c r="Q57" i="54"/>
  <c r="H95" i="54"/>
  <c r="I87" i="54" s="1"/>
  <c r="I89" i="54" s="1"/>
  <c r="H82" i="54"/>
  <c r="O20" i="54" s="1"/>
  <c r="I76" i="54"/>
  <c r="I73" i="54"/>
  <c r="M34" i="54"/>
  <c r="M40" i="54" s="1"/>
  <c r="K36" i="122"/>
  <c r="K80" i="98" l="1"/>
  <c r="U35" i="98"/>
  <c r="U41" i="98" s="1"/>
  <c r="U44" i="98" s="1"/>
  <c r="U46" i="98" s="1"/>
  <c r="T35" i="98"/>
  <c r="T41" i="98" s="1"/>
  <c r="AA38" i="98"/>
  <c r="AA57" i="98" s="1"/>
  <c r="Z38" i="98"/>
  <c r="Z57" i="98" s="1"/>
  <c r="Q35" i="98"/>
  <c r="Q41" i="98" s="1"/>
  <c r="R35" i="98"/>
  <c r="R41" i="98" s="1"/>
  <c r="R44" i="98" s="1"/>
  <c r="R46" i="98" s="1"/>
  <c r="W21" i="98"/>
  <c r="W25" i="98" s="1"/>
  <c r="X21" i="98"/>
  <c r="X25" i="98" s="1"/>
  <c r="L71" i="98"/>
  <c r="L91" i="98"/>
  <c r="L94" i="98" s="1"/>
  <c r="L95" i="98"/>
  <c r="K78" i="98"/>
  <c r="L75" i="98" s="1"/>
  <c r="Q20" i="54"/>
  <c r="Q24" i="54" s="1"/>
  <c r="P20" i="54"/>
  <c r="P24" i="54" s="1"/>
  <c r="I91" i="54"/>
  <c r="I94" i="54" s="1"/>
  <c r="I81" i="54"/>
  <c r="J71" i="54"/>
  <c r="R37" i="54"/>
  <c r="I78" i="54"/>
  <c r="J75" i="54" s="1"/>
  <c r="H22" i="23"/>
  <c r="F22" i="23"/>
  <c r="X28" i="98" l="1"/>
  <c r="X32" i="98" s="1"/>
  <c r="X29" i="98"/>
  <c r="X33" i="98" s="1"/>
  <c r="X30" i="98"/>
  <c r="X34" i="98" s="1"/>
  <c r="X56" i="98" s="1"/>
  <c r="X59" i="98" s="1"/>
  <c r="X63" i="98" s="1"/>
  <c r="X65" i="98" s="1"/>
  <c r="X66" i="98" s="1"/>
  <c r="X39" i="98" s="1"/>
  <c r="W30" i="98"/>
  <c r="W34" i="98" s="1"/>
  <c r="W56" i="98" s="1"/>
  <c r="W59" i="98" s="1"/>
  <c r="W63" i="98" s="1"/>
  <c r="W65" i="98" s="1"/>
  <c r="W66" i="98" s="1"/>
  <c r="W39" i="98" s="1"/>
  <c r="W28" i="98"/>
  <c r="W32" i="98" s="1"/>
  <c r="W29" i="98"/>
  <c r="W33" i="98" s="1"/>
  <c r="AD58" i="98"/>
  <c r="AC58" i="98"/>
  <c r="K81" i="98"/>
  <c r="L80" i="98" s="1"/>
  <c r="K82" i="98"/>
  <c r="Y21" i="98" s="1"/>
  <c r="L73" i="98"/>
  <c r="L76" i="98"/>
  <c r="AB38" i="98" s="1"/>
  <c r="J73" i="54"/>
  <c r="J76" i="54"/>
  <c r="U37" i="54" s="1"/>
  <c r="P29" i="54"/>
  <c r="P33" i="54" s="1"/>
  <c r="P55" i="54" s="1"/>
  <c r="P58" i="54" s="1"/>
  <c r="P62" i="54" s="1"/>
  <c r="P64" i="54" s="1"/>
  <c r="P65" i="54" s="1"/>
  <c r="P38" i="54" s="1"/>
  <c r="P27" i="54"/>
  <c r="P31" i="54" s="1"/>
  <c r="P28" i="54"/>
  <c r="P32" i="54" s="1"/>
  <c r="J80" i="54"/>
  <c r="I82" i="54"/>
  <c r="R20" i="54" s="1"/>
  <c r="Q28" i="54"/>
  <c r="Q32" i="54" s="1"/>
  <c r="Q27" i="54"/>
  <c r="Q31" i="54" s="1"/>
  <c r="Q29" i="54"/>
  <c r="Q33" i="54" s="1"/>
  <c r="Q55" i="54" s="1"/>
  <c r="Q58" i="54" s="1"/>
  <c r="Q62" i="54" s="1"/>
  <c r="Q64" i="54" s="1"/>
  <c r="Q65" i="54" s="1"/>
  <c r="Q38" i="54" s="1"/>
  <c r="T57" i="54"/>
  <c r="S57" i="54"/>
  <c r="T37" i="54"/>
  <c r="T56" i="54" s="1"/>
  <c r="S37" i="54"/>
  <c r="S56" i="54" s="1"/>
  <c r="I95" i="54"/>
  <c r="J87" i="54" s="1"/>
  <c r="J89" i="54" s="1"/>
  <c r="F21" i="81"/>
  <c r="E35" i="81"/>
  <c r="D35" i="81"/>
  <c r="E20" i="81"/>
  <c r="E22" i="81" s="1"/>
  <c r="D20" i="81"/>
  <c r="D22" i="81" s="1"/>
  <c r="B47" i="71"/>
  <c r="B27" i="71"/>
  <c r="D57" i="100"/>
  <c r="D60" i="100" s="1"/>
  <c r="W35" i="98" l="1"/>
  <c r="W41" i="98" s="1"/>
  <c r="AA21" i="98"/>
  <c r="AA25" i="98" s="1"/>
  <c r="Z21" i="98"/>
  <c r="Z25" i="98" s="1"/>
  <c r="AD38" i="98"/>
  <c r="AD57" i="98" s="1"/>
  <c r="AC38" i="98"/>
  <c r="AC57" i="98" s="1"/>
  <c r="X35" i="98"/>
  <c r="X41" i="98" s="1"/>
  <c r="X44" i="98" s="1"/>
  <c r="X46" i="98" s="1"/>
  <c r="F20" i="81"/>
  <c r="F22" i="81"/>
  <c r="L78" i="98"/>
  <c r="L81" i="98" s="1"/>
  <c r="L82" i="98" s="1"/>
  <c r="AB21" i="98" s="1"/>
  <c r="V37" i="54"/>
  <c r="V56" i="54" s="1"/>
  <c r="W37" i="54"/>
  <c r="W56" i="54" s="1"/>
  <c r="Q34" i="54"/>
  <c r="Q40" i="54" s="1"/>
  <c r="Q43" i="54" s="1"/>
  <c r="Q45" i="54" s="1"/>
  <c r="K71" i="54"/>
  <c r="J91" i="54"/>
  <c r="J94" i="54" s="1"/>
  <c r="P34" i="54"/>
  <c r="P40" i="54" s="1"/>
  <c r="J78" i="54"/>
  <c r="K75" i="54" s="1"/>
  <c r="T20" i="54"/>
  <c r="T24" i="54" s="1"/>
  <c r="S20" i="54"/>
  <c r="S24" i="54" s="1"/>
  <c r="E57" i="61"/>
  <c r="Z29" i="98" l="1"/>
  <c r="Z33" i="98" s="1"/>
  <c r="Z28" i="98"/>
  <c r="Z32" i="98" s="1"/>
  <c r="Z30" i="98"/>
  <c r="Z34" i="98" s="1"/>
  <c r="Z56" i="98" s="1"/>
  <c r="Z59" i="98" s="1"/>
  <c r="Z63" i="98" s="1"/>
  <c r="Z65" i="98" s="1"/>
  <c r="Z66" i="98" s="1"/>
  <c r="Z39" i="98" s="1"/>
  <c r="AA28" i="98"/>
  <c r="AA32" i="98" s="1"/>
  <c r="AA30" i="98"/>
  <c r="AA34" i="98" s="1"/>
  <c r="AA56" i="98" s="1"/>
  <c r="AA59" i="98" s="1"/>
  <c r="AA63" i="98" s="1"/>
  <c r="AA65" i="98" s="1"/>
  <c r="AA66" i="98" s="1"/>
  <c r="AA39" i="98" s="1"/>
  <c r="AA29" i="98"/>
  <c r="AA33" i="98" s="1"/>
  <c r="AC21" i="98"/>
  <c r="AC25" i="98" s="1"/>
  <c r="AD21" i="98"/>
  <c r="AD25" i="98" s="1"/>
  <c r="K76" i="54"/>
  <c r="X37" i="54" s="1"/>
  <c r="K73" i="54"/>
  <c r="J81" i="54"/>
  <c r="S29" i="54"/>
  <c r="S33" i="54" s="1"/>
  <c r="S55" i="54" s="1"/>
  <c r="S58" i="54" s="1"/>
  <c r="S62" i="54" s="1"/>
  <c r="S64" i="54" s="1"/>
  <c r="S65" i="54" s="1"/>
  <c r="S38" i="54" s="1"/>
  <c r="S28" i="54"/>
  <c r="S32" i="54" s="1"/>
  <c r="S27" i="54"/>
  <c r="S31" i="54" s="1"/>
  <c r="W57" i="54"/>
  <c r="V57" i="54"/>
  <c r="T29" i="54"/>
  <c r="T33" i="54" s="1"/>
  <c r="T55" i="54" s="1"/>
  <c r="T58" i="54" s="1"/>
  <c r="T62" i="54" s="1"/>
  <c r="T64" i="54" s="1"/>
  <c r="T65" i="54" s="1"/>
  <c r="T38" i="54" s="1"/>
  <c r="T27" i="54"/>
  <c r="T31" i="54" s="1"/>
  <c r="T28" i="54"/>
  <c r="T32" i="54" s="1"/>
  <c r="J95" i="54"/>
  <c r="K87" i="54" s="1"/>
  <c r="K89" i="54" s="1"/>
  <c r="C58" i="120"/>
  <c r="I20" i="61"/>
  <c r="I20" i="62"/>
  <c r="J58" i="62"/>
  <c r="I57" i="62"/>
  <c r="I56" i="62"/>
  <c r="I55" i="62"/>
  <c r="I54" i="62"/>
  <c r="I53" i="62"/>
  <c r="I52" i="62"/>
  <c r="I51" i="62"/>
  <c r="I50" i="62"/>
  <c r="I49" i="62"/>
  <c r="I48" i="62"/>
  <c r="I47" i="62"/>
  <c r="I46" i="62"/>
  <c r="I45" i="62"/>
  <c r="I44" i="62"/>
  <c r="I43" i="62"/>
  <c r="I42" i="62"/>
  <c r="I41" i="62"/>
  <c r="I40" i="62"/>
  <c r="I39" i="62"/>
  <c r="I38" i="62"/>
  <c r="I37" i="62"/>
  <c r="I36" i="62"/>
  <c r="I35" i="62"/>
  <c r="I34" i="62"/>
  <c r="I33" i="62"/>
  <c r="I32" i="62"/>
  <c r="I31" i="62"/>
  <c r="I30" i="62"/>
  <c r="I29" i="62"/>
  <c r="I28" i="62"/>
  <c r="I27" i="62"/>
  <c r="I26" i="62"/>
  <c r="I25" i="62"/>
  <c r="I24" i="62"/>
  <c r="I23" i="62"/>
  <c r="I22" i="62"/>
  <c r="I21" i="62"/>
  <c r="G58" i="120"/>
  <c r="E57" i="120"/>
  <c r="E56" i="120"/>
  <c r="E55" i="120"/>
  <c r="E54" i="120"/>
  <c r="E53" i="120"/>
  <c r="E52" i="120"/>
  <c r="E51" i="120"/>
  <c r="E50" i="120"/>
  <c r="E49" i="120"/>
  <c r="E48" i="120"/>
  <c r="E47" i="120"/>
  <c r="E46" i="120"/>
  <c r="E45" i="120"/>
  <c r="E44" i="120"/>
  <c r="E43" i="120"/>
  <c r="E42" i="120"/>
  <c r="E41" i="120"/>
  <c r="E40" i="120"/>
  <c r="E39" i="120"/>
  <c r="E38" i="120"/>
  <c r="E37" i="120"/>
  <c r="E36" i="120"/>
  <c r="E35" i="120"/>
  <c r="E34" i="120"/>
  <c r="E33" i="120"/>
  <c r="E32" i="120"/>
  <c r="E31" i="120"/>
  <c r="E30" i="120"/>
  <c r="E29" i="120"/>
  <c r="E28" i="120"/>
  <c r="E27" i="120"/>
  <c r="E26" i="120"/>
  <c r="E25" i="120"/>
  <c r="E24" i="120"/>
  <c r="E23" i="120"/>
  <c r="E22" i="120"/>
  <c r="E21" i="120"/>
  <c r="E20" i="120"/>
  <c r="K1" i="120"/>
  <c r="AA35" i="98" l="1"/>
  <c r="AA41" i="98" s="1"/>
  <c r="AA44" i="98" s="1"/>
  <c r="AA46" i="98" s="1"/>
  <c r="AD30" i="98"/>
  <c r="AD34" i="98" s="1"/>
  <c r="AD56" i="98" s="1"/>
  <c r="AD59" i="98" s="1"/>
  <c r="AD63" i="98" s="1"/>
  <c r="AD65" i="98" s="1"/>
  <c r="AD66" i="98" s="1"/>
  <c r="AD39" i="98" s="1"/>
  <c r="AD29" i="98"/>
  <c r="AD33" i="98" s="1"/>
  <c r="AD28" i="98"/>
  <c r="AD32" i="98" s="1"/>
  <c r="AC30" i="98"/>
  <c r="AC34" i="98" s="1"/>
  <c r="AC56" i="98" s="1"/>
  <c r="AC59" i="98" s="1"/>
  <c r="AC63" i="98" s="1"/>
  <c r="AC65" i="98" s="1"/>
  <c r="AC66" i="98" s="1"/>
  <c r="AC39" i="98" s="1"/>
  <c r="AC28" i="98"/>
  <c r="AC32" i="98" s="1"/>
  <c r="AC29" i="98"/>
  <c r="AC33" i="98" s="1"/>
  <c r="Z35" i="98"/>
  <c r="Z41" i="98" s="1"/>
  <c r="Z37" i="54"/>
  <c r="Z56" i="54" s="1"/>
  <c r="Y37" i="54"/>
  <c r="Y56" i="54" s="1"/>
  <c r="K91" i="54"/>
  <c r="K94" i="54" s="1"/>
  <c r="K78" i="54"/>
  <c r="L75" i="54" s="1"/>
  <c r="K80" i="54"/>
  <c r="J82" i="54"/>
  <c r="U20" i="54" s="1"/>
  <c r="T34" i="54"/>
  <c r="T40" i="54" s="1"/>
  <c r="T43" i="54" s="1"/>
  <c r="T45" i="54" s="1"/>
  <c r="S34" i="54"/>
  <c r="S40" i="54" s="1"/>
  <c r="L71" i="54"/>
  <c r="I58" i="62"/>
  <c r="C31" i="75"/>
  <c r="D28" i="75" s="1"/>
  <c r="D31" i="75" s="1"/>
  <c r="F28" i="75" s="1"/>
  <c r="F31" i="75" s="1"/>
  <c r="C25" i="75"/>
  <c r="C31" i="119"/>
  <c r="D28" i="119" s="1"/>
  <c r="D31" i="119" s="1"/>
  <c r="C25" i="119"/>
  <c r="J1" i="119"/>
  <c r="E28" i="118"/>
  <c r="E31" i="118" s="1"/>
  <c r="B17" i="118"/>
  <c r="I1" i="118"/>
  <c r="AD35" i="98" l="1"/>
  <c r="AD41" i="98" s="1"/>
  <c r="AD44" i="98" s="1"/>
  <c r="AD46" i="98" s="1"/>
  <c r="AC35" i="98"/>
  <c r="AC41" i="98" s="1"/>
  <c r="F28" i="119"/>
  <c r="F31" i="119" s="1"/>
  <c r="E28" i="119"/>
  <c r="E31" i="119" s="1"/>
  <c r="L76" i="54"/>
  <c r="AA37" i="54" s="1"/>
  <c r="L73" i="54"/>
  <c r="Z57" i="54"/>
  <c r="Y57" i="54"/>
  <c r="K81" i="54"/>
  <c r="L80" i="54" s="1"/>
  <c r="V20" i="54"/>
  <c r="V24" i="54" s="1"/>
  <c r="W20" i="54"/>
  <c r="W24" i="54" s="1"/>
  <c r="K95" i="54"/>
  <c r="L87" i="54" s="1"/>
  <c r="L89" i="54" s="1"/>
  <c r="C33" i="119"/>
  <c r="C33" i="75"/>
  <c r="D22" i="75"/>
  <c r="D25" i="75" s="1"/>
  <c r="E22" i="118"/>
  <c r="E25" i="118" s="1"/>
  <c r="E33" i="118" s="1"/>
  <c r="F38" i="118" s="1"/>
  <c r="D22" i="119"/>
  <c r="D25" i="119" s="1"/>
  <c r="E22" i="119" s="1"/>
  <c r="E25" i="119" s="1"/>
  <c r="E26" i="32"/>
  <c r="G13" i="136" l="1"/>
  <c r="I13" i="136"/>
  <c r="H13" i="136"/>
  <c r="L17" i="54"/>
  <c r="M18" i="98"/>
  <c r="I26" i="131"/>
  <c r="H26" i="131" s="1"/>
  <c r="G26" i="131" s="1"/>
  <c r="F26" i="131" s="1"/>
  <c r="E26" i="131" s="1"/>
  <c r="D26" i="131" s="1"/>
  <c r="E33" i="119"/>
  <c r="D33" i="75"/>
  <c r="F22" i="75"/>
  <c r="F25" i="75" s="1"/>
  <c r="F33" i="75" s="1"/>
  <c r="L91" i="54"/>
  <c r="L94" i="54" s="1"/>
  <c r="W28" i="54"/>
  <c r="W32" i="54" s="1"/>
  <c r="W29" i="54"/>
  <c r="W33" i="54" s="1"/>
  <c r="W55" i="54" s="1"/>
  <c r="W58" i="54" s="1"/>
  <c r="W62" i="54" s="1"/>
  <c r="W64" i="54" s="1"/>
  <c r="W65" i="54" s="1"/>
  <c r="W38" i="54" s="1"/>
  <c r="W27" i="54"/>
  <c r="W31" i="54" s="1"/>
  <c r="AB37" i="54"/>
  <c r="AB56" i="54" s="1"/>
  <c r="AC37" i="54"/>
  <c r="AC56" i="54" s="1"/>
  <c r="V28" i="54"/>
  <c r="V32" i="54" s="1"/>
  <c r="V29" i="54"/>
  <c r="V33" i="54" s="1"/>
  <c r="V55" i="54" s="1"/>
  <c r="V58" i="54" s="1"/>
  <c r="V62" i="54" s="1"/>
  <c r="V64" i="54" s="1"/>
  <c r="V65" i="54" s="1"/>
  <c r="V38" i="54" s="1"/>
  <c r="V27" i="54"/>
  <c r="V31" i="54" s="1"/>
  <c r="L78" i="54"/>
  <c r="L81" i="54" s="1"/>
  <c r="L82" i="54" s="1"/>
  <c r="AA20" i="54" s="1"/>
  <c r="K82" i="54"/>
  <c r="X20" i="54" s="1"/>
  <c r="F37" i="118"/>
  <c r="F39" i="118" s="1"/>
  <c r="D33" i="119"/>
  <c r="F22" i="119"/>
  <c r="F25" i="119" s="1"/>
  <c r="F33" i="119" s="1"/>
  <c r="O1" i="54"/>
  <c r="K1" i="55"/>
  <c r="G1" i="71"/>
  <c r="F47" i="71"/>
  <c r="E47" i="71"/>
  <c r="D47" i="71"/>
  <c r="C47" i="71"/>
  <c r="C49" i="71" s="1"/>
  <c r="B49" i="71"/>
  <c r="H29" i="80"/>
  <c r="I29" i="80"/>
  <c r="K29" i="80"/>
  <c r="C27" i="71"/>
  <c r="D27" i="71"/>
  <c r="D49" i="71"/>
  <c r="E27" i="71"/>
  <c r="E49" i="71" s="1"/>
  <c r="F27" i="71"/>
  <c r="G12" i="14"/>
  <c r="G53" i="14" s="1"/>
  <c r="F21" i="23"/>
  <c r="H21" i="23"/>
  <c r="C1" i="110"/>
  <c r="Q101" i="109"/>
  <c r="P101" i="109"/>
  <c r="O101" i="109"/>
  <c r="M101" i="109"/>
  <c r="Q100" i="109"/>
  <c r="P100" i="109"/>
  <c r="O100" i="109"/>
  <c r="M100" i="109"/>
  <c r="Q99" i="109"/>
  <c r="P99" i="109"/>
  <c r="O99" i="109"/>
  <c r="M99" i="109"/>
  <c r="Q98" i="109"/>
  <c r="P98" i="109"/>
  <c r="O98" i="109"/>
  <c r="M98" i="109"/>
  <c r="Q97" i="109"/>
  <c r="P97" i="109"/>
  <c r="O97" i="109"/>
  <c r="M97" i="109"/>
  <c r="Q96" i="109"/>
  <c r="P96" i="109"/>
  <c r="O96" i="109"/>
  <c r="M96" i="109"/>
  <c r="Q95" i="109"/>
  <c r="P95" i="109"/>
  <c r="O95" i="109"/>
  <c r="M95" i="109"/>
  <c r="Q94" i="109"/>
  <c r="P94" i="109"/>
  <c r="O94" i="109"/>
  <c r="M94" i="109"/>
  <c r="Q93" i="109"/>
  <c r="P93" i="109"/>
  <c r="O93" i="109"/>
  <c r="M93" i="109"/>
  <c r="Q92" i="109"/>
  <c r="P92" i="109"/>
  <c r="O92" i="109"/>
  <c r="M92" i="109"/>
  <c r="Q91" i="109"/>
  <c r="P91" i="109"/>
  <c r="O91" i="109"/>
  <c r="M91" i="109"/>
  <c r="Q90" i="109"/>
  <c r="P90" i="109"/>
  <c r="O90" i="109"/>
  <c r="M90" i="109"/>
  <c r="Q89" i="109"/>
  <c r="P89" i="109"/>
  <c r="O89" i="109"/>
  <c r="M89" i="109"/>
  <c r="Q88" i="109"/>
  <c r="P88" i="109"/>
  <c r="O88" i="109"/>
  <c r="M88" i="109"/>
  <c r="Q87" i="109"/>
  <c r="P87" i="109"/>
  <c r="O87" i="109"/>
  <c r="M87" i="109"/>
  <c r="Q86" i="109"/>
  <c r="P86" i="109"/>
  <c r="O86" i="109"/>
  <c r="M86" i="109"/>
  <c r="Q85" i="109"/>
  <c r="P85" i="109"/>
  <c r="O85" i="109"/>
  <c r="M85" i="109"/>
  <c r="Q84" i="109"/>
  <c r="P84" i="109"/>
  <c r="O84" i="109"/>
  <c r="M84" i="109"/>
  <c r="Q83" i="109"/>
  <c r="P83" i="109"/>
  <c r="O83" i="109"/>
  <c r="M83" i="109"/>
  <c r="O82" i="109"/>
  <c r="M82" i="109"/>
  <c r="Q81" i="109"/>
  <c r="P81" i="109"/>
  <c r="O81" i="109"/>
  <c r="M81" i="109"/>
  <c r="Q80" i="109"/>
  <c r="P80" i="109"/>
  <c r="O80" i="109"/>
  <c r="M80" i="109"/>
  <c r="Q79" i="109"/>
  <c r="P79" i="109"/>
  <c r="O79" i="109"/>
  <c r="M79" i="109"/>
  <c r="Q78" i="109"/>
  <c r="P78" i="109"/>
  <c r="O78" i="109"/>
  <c r="M78" i="109"/>
  <c r="Q77" i="109"/>
  <c r="P77" i="109"/>
  <c r="O77" i="109"/>
  <c r="M77" i="109"/>
  <c r="Q70" i="109"/>
  <c r="P70" i="109"/>
  <c r="O70" i="109"/>
  <c r="M70" i="109"/>
  <c r="Q69" i="109"/>
  <c r="P69" i="109"/>
  <c r="O69" i="109"/>
  <c r="M69" i="109"/>
  <c r="Q68" i="109"/>
  <c r="P68" i="109"/>
  <c r="O68" i="109"/>
  <c r="M68" i="109"/>
  <c r="Q67" i="109"/>
  <c r="P67" i="109"/>
  <c r="O67" i="109"/>
  <c r="M67" i="109"/>
  <c r="Q66" i="109"/>
  <c r="P66" i="109"/>
  <c r="O66" i="109"/>
  <c r="M66" i="109"/>
  <c r="Q65" i="109"/>
  <c r="P65" i="109"/>
  <c r="O65" i="109"/>
  <c r="M65" i="109"/>
  <c r="Q64" i="109"/>
  <c r="P64" i="109"/>
  <c r="O64" i="109"/>
  <c r="M64" i="109"/>
  <c r="Q63" i="109"/>
  <c r="P63" i="109"/>
  <c r="O63" i="109"/>
  <c r="M63" i="109"/>
  <c r="Q62" i="109"/>
  <c r="P62" i="109"/>
  <c r="O62" i="109"/>
  <c r="M62" i="109"/>
  <c r="Q61" i="109"/>
  <c r="P61" i="109"/>
  <c r="O61" i="109"/>
  <c r="M61" i="109"/>
  <c r="Q60" i="109"/>
  <c r="P60" i="109"/>
  <c r="O60" i="109"/>
  <c r="M60" i="109"/>
  <c r="Q59" i="109"/>
  <c r="P59" i="109"/>
  <c r="O59" i="109"/>
  <c r="M59" i="109"/>
  <c r="Q58" i="109"/>
  <c r="P58" i="109"/>
  <c r="O58" i="109"/>
  <c r="M58" i="109"/>
  <c r="Q57" i="109"/>
  <c r="P57" i="109"/>
  <c r="O57" i="109"/>
  <c r="M57" i="109"/>
  <c r="Q56" i="109"/>
  <c r="P56" i="109"/>
  <c r="O56" i="109"/>
  <c r="M56" i="109"/>
  <c r="Q55" i="109"/>
  <c r="P55" i="109"/>
  <c r="O55" i="109"/>
  <c r="M55" i="109"/>
  <c r="Q54" i="109"/>
  <c r="P54" i="109"/>
  <c r="O54" i="109"/>
  <c r="M54" i="109"/>
  <c r="Q53" i="109"/>
  <c r="P53" i="109"/>
  <c r="O53" i="109"/>
  <c r="M53" i="109"/>
  <c r="Q52" i="109"/>
  <c r="P52" i="109"/>
  <c r="O52" i="109"/>
  <c r="M52" i="109"/>
  <c r="Q51" i="109"/>
  <c r="P51" i="109"/>
  <c r="O51" i="109"/>
  <c r="M51" i="109"/>
  <c r="Q50" i="109"/>
  <c r="P50" i="109"/>
  <c r="O50" i="109"/>
  <c r="M50" i="109"/>
  <c r="Q49" i="109"/>
  <c r="P49" i="109"/>
  <c r="O49" i="109"/>
  <c r="M49" i="109"/>
  <c r="Q48" i="109"/>
  <c r="P48" i="109"/>
  <c r="O48" i="109"/>
  <c r="M48" i="109"/>
  <c r="Q47" i="109"/>
  <c r="P47" i="109"/>
  <c r="O47" i="109"/>
  <c r="M47" i="109"/>
  <c r="Q46" i="109"/>
  <c r="P46" i="109"/>
  <c r="O46" i="109"/>
  <c r="M46" i="109"/>
  <c r="Q45" i="109"/>
  <c r="P45" i="109"/>
  <c r="O45" i="109"/>
  <c r="M45" i="109"/>
  <c r="Q44" i="109"/>
  <c r="P44" i="109"/>
  <c r="O44" i="109"/>
  <c r="M44" i="109"/>
  <c r="Q43" i="109"/>
  <c r="P43" i="109"/>
  <c r="O43" i="109"/>
  <c r="M43" i="109"/>
  <c r="Q42" i="109"/>
  <c r="P42" i="109"/>
  <c r="O42" i="109"/>
  <c r="M42" i="109"/>
  <c r="Q41" i="109"/>
  <c r="P41" i="109"/>
  <c r="O41" i="109"/>
  <c r="M41" i="109"/>
  <c r="Q40" i="109"/>
  <c r="P40" i="109"/>
  <c r="O40" i="109"/>
  <c r="M40" i="109"/>
  <c r="Q39" i="109"/>
  <c r="P39" i="109"/>
  <c r="O39" i="109"/>
  <c r="M39" i="109"/>
  <c r="Q38" i="109"/>
  <c r="P38" i="109"/>
  <c r="O38" i="109"/>
  <c r="M38" i="109"/>
  <c r="Q37" i="109"/>
  <c r="P37" i="109"/>
  <c r="O37" i="109"/>
  <c r="M37" i="109"/>
  <c r="Q36" i="109"/>
  <c r="P36" i="109"/>
  <c r="O36" i="109"/>
  <c r="M36" i="109"/>
  <c r="Q35" i="109"/>
  <c r="P35" i="109"/>
  <c r="O35" i="109"/>
  <c r="M35" i="109"/>
  <c r="Q34" i="109"/>
  <c r="P34" i="109"/>
  <c r="O34" i="109"/>
  <c r="M34" i="109"/>
  <c r="Q33" i="109"/>
  <c r="P33" i="109"/>
  <c r="O33" i="109"/>
  <c r="M33" i="109"/>
  <c r="Q32" i="109"/>
  <c r="P32" i="109"/>
  <c r="O32" i="109"/>
  <c r="M32" i="109"/>
  <c r="Q31" i="109"/>
  <c r="P31" i="109"/>
  <c r="O31" i="109"/>
  <c r="M31" i="109"/>
  <c r="Q30" i="109"/>
  <c r="P30" i="109"/>
  <c r="O30" i="109"/>
  <c r="M30" i="109"/>
  <c r="Q29" i="109"/>
  <c r="P29" i="109"/>
  <c r="O29" i="109"/>
  <c r="M29" i="109"/>
  <c r="Q28" i="109"/>
  <c r="P28" i="109"/>
  <c r="O28" i="109"/>
  <c r="M28" i="109"/>
  <c r="Q27" i="109"/>
  <c r="P27" i="109"/>
  <c r="O27" i="109"/>
  <c r="M27" i="109"/>
  <c r="Q26" i="109"/>
  <c r="P26" i="109"/>
  <c r="O26" i="109"/>
  <c r="M26" i="109"/>
  <c r="Q25" i="109"/>
  <c r="P25" i="109"/>
  <c r="O25" i="109"/>
  <c r="M25" i="109"/>
  <c r="Q24" i="109"/>
  <c r="P24" i="109"/>
  <c r="O24" i="109"/>
  <c r="M24" i="109"/>
  <c r="Q23" i="109"/>
  <c r="P23" i="109"/>
  <c r="O23" i="109"/>
  <c r="M23" i="109"/>
  <c r="Q22" i="109"/>
  <c r="P22" i="109"/>
  <c r="O22" i="109"/>
  <c r="M22" i="109"/>
  <c r="Q21" i="109"/>
  <c r="P21" i="109"/>
  <c r="O21" i="109"/>
  <c r="M21" i="109"/>
  <c r="Q20" i="109"/>
  <c r="P20" i="109"/>
  <c r="O20" i="109"/>
  <c r="M20" i="109"/>
  <c r="Q19" i="109"/>
  <c r="P19" i="109"/>
  <c r="O19" i="109"/>
  <c r="M19" i="109"/>
  <c r="Q18" i="109"/>
  <c r="P18" i="109"/>
  <c r="O18" i="109"/>
  <c r="M18" i="109"/>
  <c r="Q17" i="109"/>
  <c r="P17" i="109"/>
  <c r="O17" i="109"/>
  <c r="M17" i="109"/>
  <c r="D55" i="14"/>
  <c r="E55" i="14"/>
  <c r="F55" i="14"/>
  <c r="G55" i="14"/>
  <c r="H55" i="14"/>
  <c r="C55" i="14"/>
  <c r="H53" i="14"/>
  <c r="P22" i="102"/>
  <c r="P20" i="102"/>
  <c r="P19" i="102"/>
  <c r="P18" i="102"/>
  <c r="P17" i="102"/>
  <c r="M22" i="102"/>
  <c r="M21" i="102"/>
  <c r="M20" i="102"/>
  <c r="M19" i="102"/>
  <c r="M18" i="102"/>
  <c r="M17" i="102"/>
  <c r="J22" i="102"/>
  <c r="J20" i="102"/>
  <c r="J19" i="102"/>
  <c r="J18" i="102"/>
  <c r="J17" i="102"/>
  <c r="G22" i="102"/>
  <c r="G21" i="102"/>
  <c r="G20" i="102"/>
  <c r="G19" i="102"/>
  <c r="G18" i="102"/>
  <c r="G17" i="102"/>
  <c r="D20" i="102"/>
  <c r="D21" i="102"/>
  <c r="D22" i="102"/>
  <c r="D18" i="102"/>
  <c r="D19" i="102"/>
  <c r="D17" i="102"/>
  <c r="A46" i="32"/>
  <c r="J31" i="105"/>
  <c r="J29" i="105"/>
  <c r="J28" i="105"/>
  <c r="J27" i="105"/>
  <c r="J26" i="105"/>
  <c r="J25" i="105"/>
  <c r="J24" i="105"/>
  <c r="J23" i="105"/>
  <c r="J22" i="105"/>
  <c r="J21" i="105"/>
  <c r="J18" i="105"/>
  <c r="J19" i="105"/>
  <c r="J20" i="105"/>
  <c r="J16" i="105"/>
  <c r="I17" i="105"/>
  <c r="I19" i="105"/>
  <c r="I20" i="105"/>
  <c r="I21" i="105"/>
  <c r="I22" i="105"/>
  <c r="I23" i="105"/>
  <c r="I24" i="105"/>
  <c r="I25" i="105"/>
  <c r="I26" i="105"/>
  <c r="I27" i="105"/>
  <c r="I28" i="105"/>
  <c r="I29" i="105"/>
  <c r="I31" i="105"/>
  <c r="I16" i="105"/>
  <c r="H13" i="105"/>
  <c r="C13" i="105"/>
  <c r="B13" i="105"/>
  <c r="J13" i="105" s="1"/>
  <c r="J1" i="105"/>
  <c r="C12" i="5"/>
  <c r="B12" i="5"/>
  <c r="D13" i="20"/>
  <c r="C13" i="20"/>
  <c r="H13" i="20"/>
  <c r="H12" i="5"/>
  <c r="H13" i="14"/>
  <c r="B12" i="102"/>
  <c r="Q14" i="102" s="1"/>
  <c r="H1" i="5"/>
  <c r="H27" i="5"/>
  <c r="G27" i="5"/>
  <c r="F27" i="5"/>
  <c r="E27" i="5"/>
  <c r="C27" i="5"/>
  <c r="B27" i="5"/>
  <c r="H26" i="5"/>
  <c r="G26" i="5"/>
  <c r="F26" i="5"/>
  <c r="E26" i="5"/>
  <c r="C26" i="5"/>
  <c r="B26" i="5"/>
  <c r="H24" i="5"/>
  <c r="G24" i="5"/>
  <c r="F24" i="5"/>
  <c r="E24" i="5"/>
  <c r="E28" i="5" s="1"/>
  <c r="C24" i="5"/>
  <c r="B24" i="5"/>
  <c r="H20" i="5"/>
  <c r="H28" i="5" s="1"/>
  <c r="G20" i="5"/>
  <c r="G28" i="5" s="1"/>
  <c r="F20" i="5"/>
  <c r="E20" i="5"/>
  <c r="C20" i="5"/>
  <c r="B20" i="5"/>
  <c r="H16" i="5"/>
  <c r="G16" i="5"/>
  <c r="F16" i="5"/>
  <c r="E16" i="5"/>
  <c r="C16" i="5"/>
  <c r="B16" i="5"/>
  <c r="E28" i="75"/>
  <c r="E31" i="75" s="1"/>
  <c r="G28" i="75" s="1"/>
  <c r="G31" i="75" s="1"/>
  <c r="G58" i="62"/>
  <c r="C58" i="62"/>
  <c r="E57" i="62"/>
  <c r="E56" i="62"/>
  <c r="E55" i="62"/>
  <c r="E54" i="62"/>
  <c r="E53" i="62"/>
  <c r="E52" i="62"/>
  <c r="E51" i="62"/>
  <c r="E50" i="62"/>
  <c r="E49" i="62"/>
  <c r="E48" i="62"/>
  <c r="E47" i="62"/>
  <c r="E46" i="62"/>
  <c r="E45" i="62"/>
  <c r="E44" i="62"/>
  <c r="E43" i="62"/>
  <c r="E42" i="62"/>
  <c r="E41" i="62"/>
  <c r="E40" i="62"/>
  <c r="E39" i="62"/>
  <c r="E38" i="62"/>
  <c r="E37" i="62"/>
  <c r="E36" i="62"/>
  <c r="E35" i="62"/>
  <c r="E34" i="62"/>
  <c r="E33" i="62"/>
  <c r="E32" i="62"/>
  <c r="E31" i="62"/>
  <c r="E30" i="62"/>
  <c r="E29" i="62"/>
  <c r="E28" i="62"/>
  <c r="E27" i="62"/>
  <c r="E26" i="62"/>
  <c r="E25" i="62"/>
  <c r="E24" i="62"/>
  <c r="E23" i="62"/>
  <c r="E22" i="62"/>
  <c r="E21" i="62"/>
  <c r="E20" i="62"/>
  <c r="E22" i="75"/>
  <c r="E25" i="75" s="1"/>
  <c r="K1" i="6"/>
  <c r="L1" i="20"/>
  <c r="H1" i="14"/>
  <c r="O1" i="53"/>
  <c r="K1" i="75"/>
  <c r="U1" i="102"/>
  <c r="U21" i="102"/>
  <c r="T21" i="102"/>
  <c r="S21" i="102"/>
  <c r="R21" i="102"/>
  <c r="Q21" i="102"/>
  <c r="O21" i="102"/>
  <c r="P21" i="102" s="1"/>
  <c r="L21" i="102"/>
  <c r="I21" i="102"/>
  <c r="J21" i="102" s="1"/>
  <c r="F21" i="102"/>
  <c r="K22" i="53"/>
  <c r="F22" i="53"/>
  <c r="K21" i="53"/>
  <c r="F21" i="53"/>
  <c r="O1" i="59"/>
  <c r="K1" i="60"/>
  <c r="K1" i="61"/>
  <c r="K1" i="62"/>
  <c r="L59" i="100"/>
  <c r="G59" i="100"/>
  <c r="L58" i="100"/>
  <c r="G58" i="100"/>
  <c r="K57" i="100"/>
  <c r="K60" i="100" s="1"/>
  <c r="J57" i="100"/>
  <c r="J60" i="100" s="1"/>
  <c r="J62" i="100" s="1"/>
  <c r="I57" i="100"/>
  <c r="I60" i="100" s="1"/>
  <c r="F57" i="100"/>
  <c r="F60" i="100" s="1"/>
  <c r="E57" i="100"/>
  <c r="E60" i="100" s="1"/>
  <c r="L56" i="100"/>
  <c r="G56" i="100"/>
  <c r="M56" i="100" s="1"/>
  <c r="L54" i="100"/>
  <c r="G54" i="100"/>
  <c r="L53" i="100"/>
  <c r="G53" i="100"/>
  <c r="L52" i="100"/>
  <c r="G52" i="100"/>
  <c r="L51" i="100"/>
  <c r="G51" i="100"/>
  <c r="M51" i="100" s="1"/>
  <c r="L50" i="100"/>
  <c r="G50" i="100"/>
  <c r="L49" i="100"/>
  <c r="G49" i="100"/>
  <c r="L48" i="100"/>
  <c r="G48" i="100"/>
  <c r="L47" i="100"/>
  <c r="G47" i="100"/>
  <c r="M47" i="100" s="1"/>
  <c r="L46" i="100"/>
  <c r="G46" i="100"/>
  <c r="L45" i="100"/>
  <c r="G45" i="100"/>
  <c r="L44" i="100"/>
  <c r="G44" i="100"/>
  <c r="L43" i="100"/>
  <c r="G43" i="100"/>
  <c r="M43" i="100" s="1"/>
  <c r="L42" i="100"/>
  <c r="G42" i="100"/>
  <c r="L41" i="100"/>
  <c r="G41" i="100"/>
  <c r="L40" i="100"/>
  <c r="G40" i="100"/>
  <c r="L39" i="100"/>
  <c r="G39" i="100"/>
  <c r="M39" i="100" s="1"/>
  <c r="L38" i="100"/>
  <c r="G38" i="100"/>
  <c r="L37" i="100"/>
  <c r="G37" i="100"/>
  <c r="L36" i="100"/>
  <c r="G36" i="100"/>
  <c r="L35" i="100"/>
  <c r="G35" i="100"/>
  <c r="M35" i="100" s="1"/>
  <c r="L34" i="100"/>
  <c r="G34" i="100"/>
  <c r="L33" i="100"/>
  <c r="G33" i="100"/>
  <c r="L32" i="100"/>
  <c r="G32" i="100"/>
  <c r="L31" i="100"/>
  <c r="G31" i="100"/>
  <c r="M31" i="100" s="1"/>
  <c r="L30" i="100"/>
  <c r="G30" i="100"/>
  <c r="L29" i="100"/>
  <c r="G29" i="100"/>
  <c r="L28" i="100"/>
  <c r="G28" i="100"/>
  <c r="L27" i="100"/>
  <c r="G27" i="100"/>
  <c r="M27" i="100" s="1"/>
  <c r="L26" i="100"/>
  <c r="G26" i="100"/>
  <c r="L25" i="100"/>
  <c r="G25" i="100"/>
  <c r="L24" i="100"/>
  <c r="G24" i="100"/>
  <c r="L23" i="100"/>
  <c r="G23" i="100"/>
  <c r="M23" i="100" s="1"/>
  <c r="L22" i="100"/>
  <c r="G22" i="100"/>
  <c r="L21" i="100"/>
  <c r="G21" i="100"/>
  <c r="L20" i="100"/>
  <c r="G20" i="100"/>
  <c r="L19" i="100"/>
  <c r="G19" i="100"/>
  <c r="M19" i="100" s="1"/>
  <c r="L18" i="100"/>
  <c r="G18" i="100"/>
  <c r="M18" i="100" s="1"/>
  <c r="L17" i="100"/>
  <c r="G17" i="100"/>
  <c r="M1" i="100"/>
  <c r="M1" i="49"/>
  <c r="H13" i="49"/>
  <c r="L40" i="49" s="1"/>
  <c r="C13" i="49"/>
  <c r="C40" i="49" s="1"/>
  <c r="B13" i="49"/>
  <c r="B30" i="49" s="1"/>
  <c r="H1" i="15"/>
  <c r="H13" i="15"/>
  <c r="K1" i="12"/>
  <c r="F13" i="12"/>
  <c r="G13" i="12"/>
  <c r="H13" i="12"/>
  <c r="D33" i="12" s="1"/>
  <c r="J13" i="12"/>
  <c r="E33" i="12" s="1"/>
  <c r="G1" i="18"/>
  <c r="O1" i="50"/>
  <c r="H1" i="23"/>
  <c r="H1" i="21"/>
  <c r="G1" i="34"/>
  <c r="H20" i="23"/>
  <c r="F20" i="23"/>
  <c r="N2" i="80"/>
  <c r="I1" i="81"/>
  <c r="L1" i="87"/>
  <c r="I1" i="11"/>
  <c r="K67" i="87"/>
  <c r="C67" i="87"/>
  <c r="I66" i="87"/>
  <c r="E66" i="87"/>
  <c r="G66" i="87" s="1"/>
  <c r="J66" i="87" s="1"/>
  <c r="L66" i="87" s="1"/>
  <c r="J65" i="87"/>
  <c r="L65" i="87" s="1"/>
  <c r="I65" i="87"/>
  <c r="E65" i="87"/>
  <c r="G65" i="87" s="1"/>
  <c r="I64" i="87"/>
  <c r="E64" i="87"/>
  <c r="G64" i="87" s="1"/>
  <c r="J64" i="87" s="1"/>
  <c r="L64" i="87" s="1"/>
  <c r="J63" i="87"/>
  <c r="L63" i="87" s="1"/>
  <c r="I63" i="87"/>
  <c r="E63" i="87"/>
  <c r="G63" i="87" s="1"/>
  <c r="J62" i="87"/>
  <c r="L62" i="87" s="1"/>
  <c r="I62" i="87"/>
  <c r="E62" i="87"/>
  <c r="G62" i="87" s="1"/>
  <c r="J61" i="87"/>
  <c r="L61" i="87" s="1"/>
  <c r="I61" i="87"/>
  <c r="E61" i="87"/>
  <c r="G61" i="87" s="1"/>
  <c r="J60" i="87"/>
  <c r="L60" i="87" s="1"/>
  <c r="I60" i="87"/>
  <c r="E60" i="87"/>
  <c r="G60" i="87" s="1"/>
  <c r="J59" i="87"/>
  <c r="L59" i="87" s="1"/>
  <c r="I59" i="87"/>
  <c r="E59" i="87"/>
  <c r="G59" i="87" s="1"/>
  <c r="I58" i="87"/>
  <c r="E58" i="87"/>
  <c r="G58" i="87" s="1"/>
  <c r="J58" i="87" s="1"/>
  <c r="L58" i="87" s="1"/>
  <c r="J57" i="87"/>
  <c r="L57" i="87" s="1"/>
  <c r="I57" i="87"/>
  <c r="E57" i="87"/>
  <c r="G57" i="87" s="1"/>
  <c r="J56" i="87"/>
  <c r="L56" i="87" s="1"/>
  <c r="I56" i="87"/>
  <c r="E56" i="87"/>
  <c r="G56" i="87" s="1"/>
  <c r="I55" i="87"/>
  <c r="E55" i="87"/>
  <c r="G55" i="87" s="1"/>
  <c r="J55" i="87" s="1"/>
  <c r="L55" i="87" s="1"/>
  <c r="J54" i="87"/>
  <c r="L54" i="87" s="1"/>
  <c r="I54" i="87"/>
  <c r="E54" i="87"/>
  <c r="G54" i="87" s="1"/>
  <c r="E50" i="87"/>
  <c r="G50" i="87" s="1"/>
  <c r="J50" i="87" s="1"/>
  <c r="L50" i="87" s="1"/>
  <c r="J49" i="87"/>
  <c r="L49" i="87" s="1"/>
  <c r="E49" i="87"/>
  <c r="G49" i="87" s="1"/>
  <c r="J48" i="87"/>
  <c r="L48" i="87" s="1"/>
  <c r="E48" i="87"/>
  <c r="G48" i="87" s="1"/>
  <c r="E47" i="87"/>
  <c r="G47" i="87" s="1"/>
  <c r="J47" i="87" s="1"/>
  <c r="L47" i="87" s="1"/>
  <c r="J46" i="87"/>
  <c r="L46" i="87" s="1"/>
  <c r="E46" i="87"/>
  <c r="G46" i="87" s="1"/>
  <c r="E45" i="87"/>
  <c r="G45" i="87" s="1"/>
  <c r="J45" i="87" s="1"/>
  <c r="L45" i="87" s="1"/>
  <c r="J44" i="87"/>
  <c r="L44" i="87" s="1"/>
  <c r="E44" i="87"/>
  <c r="G44" i="87" s="1"/>
  <c r="E43" i="87"/>
  <c r="G43" i="87" s="1"/>
  <c r="J42" i="87"/>
  <c r="L42" i="87" s="1"/>
  <c r="E42" i="87"/>
  <c r="G42" i="87" s="1"/>
  <c r="J41" i="87"/>
  <c r="L41" i="87" s="1"/>
  <c r="E41" i="87"/>
  <c r="G41" i="87" s="1"/>
  <c r="J36" i="87"/>
  <c r="L36" i="87" s="1"/>
  <c r="E36" i="87"/>
  <c r="G36" i="87" s="1"/>
  <c r="E35" i="87"/>
  <c r="G35" i="87" s="1"/>
  <c r="J35" i="87" s="1"/>
  <c r="L35" i="87" s="1"/>
  <c r="I32" i="87"/>
  <c r="E32" i="87"/>
  <c r="G32" i="87" s="1"/>
  <c r="J32" i="87" s="1"/>
  <c r="L32" i="87" s="1"/>
  <c r="I31" i="87"/>
  <c r="E31" i="87"/>
  <c r="G31" i="87" s="1"/>
  <c r="J31" i="87" s="1"/>
  <c r="L31" i="87" s="1"/>
  <c r="I30" i="87"/>
  <c r="E30" i="87"/>
  <c r="G30" i="87" s="1"/>
  <c r="J30" i="87" s="1"/>
  <c r="L30" i="87" s="1"/>
  <c r="I29" i="87"/>
  <c r="E29" i="87"/>
  <c r="G29" i="87" s="1"/>
  <c r="J29" i="87" s="1"/>
  <c r="L29" i="87" s="1"/>
  <c r="I28" i="87"/>
  <c r="E28" i="87"/>
  <c r="G28" i="87" s="1"/>
  <c r="J28" i="87" s="1"/>
  <c r="J27" i="87"/>
  <c r="L27" i="87" s="1"/>
  <c r="I27" i="87"/>
  <c r="E27" i="87"/>
  <c r="G27" i="87" s="1"/>
  <c r="I26" i="87"/>
  <c r="E26" i="87"/>
  <c r="G26" i="87" s="1"/>
  <c r="J26" i="87" s="1"/>
  <c r="L26" i="87" s="1"/>
  <c r="J25" i="87"/>
  <c r="L25" i="87" s="1"/>
  <c r="I25" i="87"/>
  <c r="E25" i="87"/>
  <c r="G25" i="87" s="1"/>
  <c r="J24" i="87"/>
  <c r="L24" i="87" s="1"/>
  <c r="I24" i="87"/>
  <c r="E24" i="87"/>
  <c r="G24" i="87" s="1"/>
  <c r="J23" i="87"/>
  <c r="L23" i="87" s="1"/>
  <c r="I23" i="87"/>
  <c r="E23" i="87"/>
  <c r="G23" i="87" s="1"/>
  <c r="J22" i="87"/>
  <c r="L22" i="87" s="1"/>
  <c r="I22" i="87"/>
  <c r="E22" i="87"/>
  <c r="G22" i="87" s="1"/>
  <c r="I21" i="87"/>
  <c r="E21" i="87"/>
  <c r="G21" i="87" s="1"/>
  <c r="J21" i="87" s="1"/>
  <c r="L21" i="87" s="1"/>
  <c r="I20" i="87"/>
  <c r="F34" i="81"/>
  <c r="F33" i="81"/>
  <c r="F32" i="81"/>
  <c r="F31" i="81"/>
  <c r="F30" i="81"/>
  <c r="F29" i="81"/>
  <c r="F35" i="81" s="1"/>
  <c r="F28" i="81"/>
  <c r="F27" i="81"/>
  <c r="F26" i="81"/>
  <c r="F25" i="81"/>
  <c r="F24" i="81"/>
  <c r="F23" i="81"/>
  <c r="F19" i="81"/>
  <c r="F18" i="81"/>
  <c r="F29" i="80"/>
  <c r="J58" i="61"/>
  <c r="G58" i="61"/>
  <c r="C58" i="61"/>
  <c r="I57" i="61"/>
  <c r="I56" i="61"/>
  <c r="E56" i="61"/>
  <c r="I55" i="61"/>
  <c r="E55" i="61"/>
  <c r="I54" i="61"/>
  <c r="E54" i="61"/>
  <c r="I53" i="61"/>
  <c r="E53" i="61"/>
  <c r="I52" i="61"/>
  <c r="E52" i="61"/>
  <c r="I51" i="61"/>
  <c r="E51" i="61"/>
  <c r="I50" i="61"/>
  <c r="E50" i="61"/>
  <c r="I49" i="61"/>
  <c r="E49" i="61"/>
  <c r="I48" i="61"/>
  <c r="E48" i="61"/>
  <c r="I47" i="61"/>
  <c r="E47" i="61"/>
  <c r="I46" i="61"/>
  <c r="E46" i="61"/>
  <c r="I45" i="61"/>
  <c r="E45" i="61"/>
  <c r="I44" i="61"/>
  <c r="E44" i="61"/>
  <c r="I43" i="61"/>
  <c r="E43" i="61"/>
  <c r="I42" i="61"/>
  <c r="E42" i="61"/>
  <c r="I41" i="61"/>
  <c r="E41" i="61"/>
  <c r="I40" i="61"/>
  <c r="E40" i="61"/>
  <c r="I39" i="61"/>
  <c r="E39" i="61"/>
  <c r="I38" i="61"/>
  <c r="E38" i="61"/>
  <c r="I37" i="61"/>
  <c r="E37" i="61"/>
  <c r="I36" i="61"/>
  <c r="E36" i="61"/>
  <c r="I35" i="61"/>
  <c r="E35" i="61"/>
  <c r="I34" i="61"/>
  <c r="E34" i="61"/>
  <c r="I33" i="61"/>
  <c r="E33" i="61"/>
  <c r="I32" i="61"/>
  <c r="E32" i="61"/>
  <c r="I31" i="61"/>
  <c r="E31" i="61"/>
  <c r="I30" i="61"/>
  <c r="E30" i="61"/>
  <c r="I29" i="61"/>
  <c r="E29" i="61"/>
  <c r="I28" i="61"/>
  <c r="E28" i="61"/>
  <c r="I27" i="61"/>
  <c r="E27" i="61"/>
  <c r="I26" i="61"/>
  <c r="E26" i="61"/>
  <c r="I25" i="61"/>
  <c r="E25" i="61"/>
  <c r="I24" i="61"/>
  <c r="E24" i="61"/>
  <c r="I23" i="61"/>
  <c r="E23" i="61"/>
  <c r="I22" i="61"/>
  <c r="E22" i="61"/>
  <c r="I21" i="61"/>
  <c r="E21" i="61"/>
  <c r="E20" i="61"/>
  <c r="J58" i="60"/>
  <c r="G58" i="60"/>
  <c r="C58" i="60"/>
  <c r="I57" i="60"/>
  <c r="E57" i="60"/>
  <c r="I56" i="60"/>
  <c r="E56" i="60"/>
  <c r="I55" i="60"/>
  <c r="E55" i="60"/>
  <c r="I54" i="60"/>
  <c r="E54" i="60"/>
  <c r="I53" i="60"/>
  <c r="E53" i="60"/>
  <c r="I52" i="60"/>
  <c r="E52" i="60"/>
  <c r="I51" i="60"/>
  <c r="E51" i="60"/>
  <c r="I50" i="60"/>
  <c r="E50" i="60"/>
  <c r="I49" i="60"/>
  <c r="E49" i="60"/>
  <c r="I48" i="60"/>
  <c r="E48" i="60"/>
  <c r="I47" i="60"/>
  <c r="E47" i="60"/>
  <c r="I46" i="60"/>
  <c r="E46" i="60"/>
  <c r="I45" i="60"/>
  <c r="E45" i="60"/>
  <c r="I44" i="60"/>
  <c r="E44" i="60"/>
  <c r="I43" i="60"/>
  <c r="E43" i="60"/>
  <c r="I42" i="60"/>
  <c r="E42" i="60"/>
  <c r="I41" i="60"/>
  <c r="E41" i="60"/>
  <c r="I40" i="60"/>
  <c r="E40" i="60"/>
  <c r="I39" i="60"/>
  <c r="E39" i="60"/>
  <c r="I38" i="60"/>
  <c r="E38" i="60"/>
  <c r="I37" i="60"/>
  <c r="E37" i="60"/>
  <c r="I36" i="60"/>
  <c r="E36" i="60"/>
  <c r="I35" i="60"/>
  <c r="E35" i="60"/>
  <c r="I34" i="60"/>
  <c r="E34" i="60"/>
  <c r="I33" i="60"/>
  <c r="E33" i="60"/>
  <c r="I32" i="60"/>
  <c r="E32" i="60"/>
  <c r="I31" i="60"/>
  <c r="E31" i="60"/>
  <c r="I30" i="60"/>
  <c r="E30" i="60"/>
  <c r="I29" i="60"/>
  <c r="E29" i="60"/>
  <c r="I28" i="60"/>
  <c r="E28" i="60"/>
  <c r="I27" i="60"/>
  <c r="E27" i="60"/>
  <c r="I26" i="60"/>
  <c r="E26" i="60"/>
  <c r="I25" i="60"/>
  <c r="E25" i="60"/>
  <c r="I24" i="60"/>
  <c r="E24" i="60"/>
  <c r="I23" i="60"/>
  <c r="E23" i="60"/>
  <c r="I22" i="60"/>
  <c r="E22" i="60"/>
  <c r="I21" i="60"/>
  <c r="E21" i="60"/>
  <c r="I20" i="60"/>
  <c r="E20" i="60"/>
  <c r="N58" i="59"/>
  <c r="K58" i="59"/>
  <c r="D58" i="59"/>
  <c r="C58" i="59"/>
  <c r="M57" i="59"/>
  <c r="I57" i="59"/>
  <c r="H57" i="59"/>
  <c r="G57" i="59"/>
  <c r="M56" i="59"/>
  <c r="O56" i="59" s="1"/>
  <c r="I56" i="59"/>
  <c r="H56" i="59"/>
  <c r="J56" i="59" s="1"/>
  <c r="L56" i="59" s="1"/>
  <c r="G56" i="59"/>
  <c r="M55" i="59"/>
  <c r="I55" i="59"/>
  <c r="H55" i="59"/>
  <c r="O55" i="59" s="1"/>
  <c r="G55" i="59"/>
  <c r="M54" i="59"/>
  <c r="I54" i="59"/>
  <c r="H54" i="59"/>
  <c r="O54" i="59" s="1"/>
  <c r="G54" i="59"/>
  <c r="M53" i="59"/>
  <c r="I53" i="59"/>
  <c r="H53" i="59"/>
  <c r="G53" i="59"/>
  <c r="M52" i="59"/>
  <c r="O52" i="59" s="1"/>
  <c r="I52" i="59"/>
  <c r="H52" i="59"/>
  <c r="J52" i="59" s="1"/>
  <c r="L52" i="59" s="1"/>
  <c r="G52" i="59"/>
  <c r="M51" i="59"/>
  <c r="I51" i="59"/>
  <c r="H51" i="59"/>
  <c r="O51" i="59" s="1"/>
  <c r="G51" i="59"/>
  <c r="M50" i="59"/>
  <c r="I50" i="59"/>
  <c r="H50" i="59"/>
  <c r="J50" i="59" s="1"/>
  <c r="L50" i="59" s="1"/>
  <c r="G50" i="59"/>
  <c r="M49" i="59"/>
  <c r="I49" i="59"/>
  <c r="H49" i="59"/>
  <c r="G49" i="59"/>
  <c r="M48" i="59"/>
  <c r="I48" i="59"/>
  <c r="H48" i="59"/>
  <c r="J48" i="59" s="1"/>
  <c r="L48" i="59" s="1"/>
  <c r="G48" i="59"/>
  <c r="M47" i="59"/>
  <c r="I47" i="59"/>
  <c r="H47" i="59"/>
  <c r="O47" i="59" s="1"/>
  <c r="G47" i="59"/>
  <c r="M46" i="59"/>
  <c r="O46" i="59" s="1"/>
  <c r="I46" i="59"/>
  <c r="H46" i="59"/>
  <c r="J46" i="59" s="1"/>
  <c r="L46" i="59" s="1"/>
  <c r="G46" i="59"/>
  <c r="M45" i="59"/>
  <c r="I45" i="59"/>
  <c r="H45" i="59"/>
  <c r="G45" i="59"/>
  <c r="M44" i="59"/>
  <c r="O44" i="59" s="1"/>
  <c r="I44" i="59"/>
  <c r="H44" i="59"/>
  <c r="J44" i="59" s="1"/>
  <c r="L44" i="59" s="1"/>
  <c r="G44" i="59"/>
  <c r="M43" i="59"/>
  <c r="I43" i="59"/>
  <c r="H43" i="59"/>
  <c r="J43" i="59" s="1"/>
  <c r="L43" i="59" s="1"/>
  <c r="G43" i="59"/>
  <c r="M42" i="59"/>
  <c r="O42" i="59" s="1"/>
  <c r="I42" i="59"/>
  <c r="H42" i="59"/>
  <c r="G42" i="59"/>
  <c r="M41" i="59"/>
  <c r="I41" i="59"/>
  <c r="H41" i="59"/>
  <c r="J41" i="59" s="1"/>
  <c r="L41" i="59" s="1"/>
  <c r="G41" i="59"/>
  <c r="M40" i="59"/>
  <c r="I40" i="59"/>
  <c r="H40" i="59"/>
  <c r="J40" i="59" s="1"/>
  <c r="L40" i="59" s="1"/>
  <c r="G40" i="59"/>
  <c r="M39" i="59"/>
  <c r="O39" i="59" s="1"/>
  <c r="I39" i="59"/>
  <c r="H39" i="59"/>
  <c r="J39" i="59" s="1"/>
  <c r="L39" i="59" s="1"/>
  <c r="G39" i="59"/>
  <c r="M38" i="59"/>
  <c r="O38" i="59" s="1"/>
  <c r="I38" i="59"/>
  <c r="H38" i="59"/>
  <c r="J38" i="59" s="1"/>
  <c r="L38" i="59" s="1"/>
  <c r="G38" i="59"/>
  <c r="M37" i="59"/>
  <c r="O37" i="59" s="1"/>
  <c r="I37" i="59"/>
  <c r="H37" i="59"/>
  <c r="G37" i="59"/>
  <c r="M36" i="59"/>
  <c r="I36" i="59"/>
  <c r="H36" i="59"/>
  <c r="J36" i="59" s="1"/>
  <c r="L36" i="59" s="1"/>
  <c r="G36" i="59"/>
  <c r="M35" i="59"/>
  <c r="I35" i="59"/>
  <c r="H35" i="59"/>
  <c r="J35" i="59" s="1"/>
  <c r="L35" i="59" s="1"/>
  <c r="G35" i="59"/>
  <c r="M34" i="59"/>
  <c r="O34" i="59" s="1"/>
  <c r="I34" i="59"/>
  <c r="H34" i="59"/>
  <c r="J34" i="59" s="1"/>
  <c r="L34" i="59" s="1"/>
  <c r="G34" i="59"/>
  <c r="M33" i="59"/>
  <c r="O33" i="59" s="1"/>
  <c r="I33" i="59"/>
  <c r="H33" i="59"/>
  <c r="J33" i="59" s="1"/>
  <c r="L33" i="59" s="1"/>
  <c r="G33" i="59"/>
  <c r="M32" i="59"/>
  <c r="I32" i="59"/>
  <c r="H32" i="59"/>
  <c r="J32" i="59" s="1"/>
  <c r="L32" i="59" s="1"/>
  <c r="G32" i="59"/>
  <c r="M31" i="59"/>
  <c r="O31" i="59" s="1"/>
  <c r="I31" i="59"/>
  <c r="H31" i="59"/>
  <c r="G31" i="59"/>
  <c r="M30" i="59"/>
  <c r="I30" i="59"/>
  <c r="H30" i="59"/>
  <c r="O30" i="59" s="1"/>
  <c r="G30" i="59"/>
  <c r="M29" i="59"/>
  <c r="I29" i="59"/>
  <c r="H29" i="59"/>
  <c r="J29" i="59" s="1"/>
  <c r="L29" i="59" s="1"/>
  <c r="G29" i="59"/>
  <c r="M28" i="59"/>
  <c r="I28" i="59"/>
  <c r="H28" i="59"/>
  <c r="G28" i="59"/>
  <c r="M27" i="59"/>
  <c r="I27" i="59"/>
  <c r="H27" i="59"/>
  <c r="J27" i="59" s="1"/>
  <c r="L27" i="59" s="1"/>
  <c r="G27" i="59"/>
  <c r="M26" i="59"/>
  <c r="I26" i="59"/>
  <c r="H26" i="59"/>
  <c r="G26" i="59"/>
  <c r="M25" i="59"/>
  <c r="I25" i="59"/>
  <c r="H25" i="59"/>
  <c r="J25" i="59" s="1"/>
  <c r="L25" i="59" s="1"/>
  <c r="G25" i="59"/>
  <c r="M24" i="59"/>
  <c r="I24" i="59"/>
  <c r="H24" i="59"/>
  <c r="G24" i="59"/>
  <c r="M23" i="59"/>
  <c r="I23" i="59"/>
  <c r="H23" i="59"/>
  <c r="G23" i="59"/>
  <c r="M22" i="59"/>
  <c r="I22" i="59"/>
  <c r="H22" i="59"/>
  <c r="J22" i="59" s="1"/>
  <c r="L22" i="59" s="1"/>
  <c r="G22" i="59"/>
  <c r="M21" i="59"/>
  <c r="I21" i="59"/>
  <c r="H21" i="59"/>
  <c r="O21" i="59" s="1"/>
  <c r="G21" i="59"/>
  <c r="M20" i="59"/>
  <c r="I20" i="59"/>
  <c r="H20" i="59"/>
  <c r="O20" i="59" s="1"/>
  <c r="G20" i="59"/>
  <c r="K58" i="58"/>
  <c r="F58" i="58"/>
  <c r="D58" i="58"/>
  <c r="C58" i="58"/>
  <c r="J57" i="58"/>
  <c r="L57" i="58"/>
  <c r="I57" i="58"/>
  <c r="G57" i="58"/>
  <c r="E57" i="58"/>
  <c r="J56" i="58"/>
  <c r="L56" i="58"/>
  <c r="I56" i="58"/>
  <c r="G56" i="58"/>
  <c r="E56" i="58"/>
  <c r="J55" i="58"/>
  <c r="L55" i="58"/>
  <c r="I55" i="58"/>
  <c r="E55" i="58"/>
  <c r="G55" i="58"/>
  <c r="J54" i="58"/>
  <c r="L54" i="58"/>
  <c r="I54" i="58"/>
  <c r="E54" i="58"/>
  <c r="G54" i="58"/>
  <c r="J53" i="58"/>
  <c r="L53" i="58"/>
  <c r="I53" i="58"/>
  <c r="E53" i="58"/>
  <c r="G53" i="58"/>
  <c r="J52" i="58"/>
  <c r="L52" i="58"/>
  <c r="I52" i="58"/>
  <c r="E52" i="58"/>
  <c r="G52" i="58"/>
  <c r="J51" i="58"/>
  <c r="L51" i="58"/>
  <c r="I51" i="58"/>
  <c r="E51" i="58"/>
  <c r="G51" i="58"/>
  <c r="J50" i="58"/>
  <c r="L50" i="58"/>
  <c r="I50" i="58"/>
  <c r="E50" i="58"/>
  <c r="G50" i="58"/>
  <c r="J49" i="58"/>
  <c r="L49" i="58"/>
  <c r="I49" i="58"/>
  <c r="G49" i="58"/>
  <c r="E49" i="58"/>
  <c r="J48" i="58"/>
  <c r="L48" i="58"/>
  <c r="I48" i="58"/>
  <c r="G48" i="58"/>
  <c r="E48" i="58"/>
  <c r="J47" i="58"/>
  <c r="L47" i="58"/>
  <c r="I47" i="58"/>
  <c r="E47" i="58"/>
  <c r="G47" i="58"/>
  <c r="J46" i="58"/>
  <c r="L46" i="58"/>
  <c r="I46" i="58"/>
  <c r="E46" i="58"/>
  <c r="G46" i="58"/>
  <c r="J45" i="58"/>
  <c r="L45" i="58"/>
  <c r="I45" i="58"/>
  <c r="E45" i="58"/>
  <c r="G45" i="58"/>
  <c r="J44" i="58"/>
  <c r="L44" i="58"/>
  <c r="I44" i="58"/>
  <c r="E44" i="58"/>
  <c r="G44" i="58"/>
  <c r="J43" i="58"/>
  <c r="L43" i="58"/>
  <c r="I43" i="58"/>
  <c r="E43" i="58"/>
  <c r="G43" i="58"/>
  <c r="J42" i="58"/>
  <c r="I42" i="58"/>
  <c r="E42" i="58"/>
  <c r="G42" i="58" s="1"/>
  <c r="J41" i="58"/>
  <c r="L41" i="58"/>
  <c r="I41" i="58"/>
  <c r="G41" i="58"/>
  <c r="E41" i="58"/>
  <c r="J40" i="58"/>
  <c r="L40" i="58"/>
  <c r="I40" i="58"/>
  <c r="G40" i="58"/>
  <c r="E40" i="58"/>
  <c r="J39" i="58"/>
  <c r="L39" i="58"/>
  <c r="I39" i="58"/>
  <c r="E39" i="58"/>
  <c r="G39" i="58"/>
  <c r="J38" i="58"/>
  <c r="L38" i="58"/>
  <c r="I38" i="58"/>
  <c r="E38" i="58"/>
  <c r="G38" i="58"/>
  <c r="J37" i="58"/>
  <c r="L37" i="58"/>
  <c r="I37" i="58"/>
  <c r="E37" i="58"/>
  <c r="G37" i="58"/>
  <c r="J36" i="58"/>
  <c r="L36" i="58"/>
  <c r="I36" i="58"/>
  <c r="E36" i="58"/>
  <c r="G36" i="58"/>
  <c r="J35" i="58"/>
  <c r="L35" i="58"/>
  <c r="I35" i="58"/>
  <c r="E35" i="58"/>
  <c r="G35" i="58"/>
  <c r="J34" i="58"/>
  <c r="L34" i="58"/>
  <c r="I34" i="58"/>
  <c r="E34" i="58"/>
  <c r="G34" i="58"/>
  <c r="J33" i="58"/>
  <c r="L33" i="58"/>
  <c r="I33" i="58"/>
  <c r="G33" i="58"/>
  <c r="E33" i="58"/>
  <c r="J32" i="58"/>
  <c r="L32" i="58"/>
  <c r="I32" i="58"/>
  <c r="G32" i="58"/>
  <c r="E32" i="58"/>
  <c r="J31" i="58"/>
  <c r="L31" i="58"/>
  <c r="I31" i="58"/>
  <c r="E31" i="58"/>
  <c r="G31" i="58"/>
  <c r="J30" i="58"/>
  <c r="L30" i="58"/>
  <c r="I30" i="58"/>
  <c r="E30" i="58"/>
  <c r="G30" i="58"/>
  <c r="J29" i="58"/>
  <c r="L29" i="58"/>
  <c r="I29" i="58"/>
  <c r="E29" i="58"/>
  <c r="G29" i="58"/>
  <c r="J28" i="58"/>
  <c r="L28" i="58"/>
  <c r="I28" i="58"/>
  <c r="E28" i="58"/>
  <c r="G28" i="58"/>
  <c r="J27" i="58"/>
  <c r="L27" i="58"/>
  <c r="I27" i="58"/>
  <c r="E27" i="58"/>
  <c r="G27" i="58"/>
  <c r="I26" i="58"/>
  <c r="E26" i="58"/>
  <c r="G26" i="58" s="1"/>
  <c r="J26" i="58" s="1"/>
  <c r="L26" i="58" s="1"/>
  <c r="J25" i="58"/>
  <c r="L25" i="58"/>
  <c r="I25" i="58"/>
  <c r="G25" i="58"/>
  <c r="E25" i="58"/>
  <c r="J24" i="58"/>
  <c r="L24" i="58"/>
  <c r="I24" i="58"/>
  <c r="G24" i="58"/>
  <c r="E24" i="58"/>
  <c r="J23" i="58"/>
  <c r="L23" i="58"/>
  <c r="I23" i="58"/>
  <c r="E23" i="58"/>
  <c r="G23" i="58"/>
  <c r="J22" i="58"/>
  <c r="L22" i="58"/>
  <c r="I22" i="58"/>
  <c r="E22" i="58"/>
  <c r="G22" i="58"/>
  <c r="J21" i="58"/>
  <c r="L21" i="58"/>
  <c r="I21" i="58"/>
  <c r="E21" i="58"/>
  <c r="G21" i="58"/>
  <c r="J20" i="58"/>
  <c r="L20" i="58"/>
  <c r="I20" i="58"/>
  <c r="E20" i="58"/>
  <c r="G20" i="58"/>
  <c r="J42" i="59"/>
  <c r="L42" i="59"/>
  <c r="J49" i="59"/>
  <c r="L49" i="59" s="1"/>
  <c r="J30" i="59"/>
  <c r="L30" i="59"/>
  <c r="J31" i="59"/>
  <c r="L31" i="59" s="1"/>
  <c r="J45" i="59"/>
  <c r="L45" i="59" s="1"/>
  <c r="J54" i="59"/>
  <c r="L54" i="59" s="1"/>
  <c r="J23" i="59"/>
  <c r="L23" i="59" s="1"/>
  <c r="J28" i="59"/>
  <c r="L28" i="59" s="1"/>
  <c r="O45" i="59"/>
  <c r="K45" i="60" s="1"/>
  <c r="O49" i="59"/>
  <c r="F49" i="60" s="1"/>
  <c r="H49" i="60" s="1"/>
  <c r="K49" i="60"/>
  <c r="F49" i="61" s="1"/>
  <c r="H49" i="61" s="1"/>
  <c r="O50" i="59"/>
  <c r="F50" i="60" s="1"/>
  <c r="H50" i="60" s="1"/>
  <c r="O53" i="59"/>
  <c r="K53" i="60" s="1"/>
  <c r="O57" i="59"/>
  <c r="K57" i="60" s="1"/>
  <c r="O36" i="59"/>
  <c r="F36" i="60"/>
  <c r="H36" i="60" s="1"/>
  <c r="O32" i="59"/>
  <c r="K32" i="60" s="1"/>
  <c r="O41" i="59"/>
  <c r="K41" i="60" s="1"/>
  <c r="J53" i="59"/>
  <c r="L53" i="59" s="1"/>
  <c r="J57" i="59"/>
  <c r="L57" i="59"/>
  <c r="O23" i="59"/>
  <c r="F23" i="60" s="1"/>
  <c r="H23" i="60" s="1"/>
  <c r="J47" i="59"/>
  <c r="L47" i="59" s="1"/>
  <c r="J51" i="59"/>
  <c r="L51" i="59" s="1"/>
  <c r="J55" i="59"/>
  <c r="L55" i="59"/>
  <c r="K36" i="60"/>
  <c r="F36" i="61" s="1"/>
  <c r="H36" i="61" s="1"/>
  <c r="F45" i="60"/>
  <c r="H45" i="60" s="1"/>
  <c r="J21" i="59"/>
  <c r="L21" i="59"/>
  <c r="J37" i="59"/>
  <c r="L37" i="59"/>
  <c r="O43" i="59"/>
  <c r="F43" i="60" s="1"/>
  <c r="H43" i="60" s="1"/>
  <c r="I58" i="60"/>
  <c r="J24" i="59"/>
  <c r="L24" i="59"/>
  <c r="O24" i="59"/>
  <c r="K24" i="60" s="1"/>
  <c r="O40" i="59"/>
  <c r="K40" i="60" s="1"/>
  <c r="O48" i="59"/>
  <c r="F48" i="60" s="1"/>
  <c r="H48" i="60" s="1"/>
  <c r="O28" i="59"/>
  <c r="F28" i="60" s="1"/>
  <c r="H28" i="60" s="1"/>
  <c r="O35" i="59"/>
  <c r="F35" i="60" s="1"/>
  <c r="H35" i="60" s="1"/>
  <c r="K35" i="60"/>
  <c r="F35" i="61" s="1"/>
  <c r="H35" i="61" s="1"/>
  <c r="G13" i="105"/>
  <c r="F13" i="105"/>
  <c r="I13" i="105" s="1"/>
  <c r="E13" i="105"/>
  <c r="G13" i="20"/>
  <c r="G12" i="5"/>
  <c r="F12" i="5"/>
  <c r="F13" i="20"/>
  <c r="E13" i="20"/>
  <c r="E12" i="5"/>
  <c r="G13" i="14"/>
  <c r="D12" i="14" s="1"/>
  <c r="G13" i="49"/>
  <c r="G30" i="49" s="1"/>
  <c r="F13" i="49"/>
  <c r="H40" i="49" s="1"/>
  <c r="E13" i="49"/>
  <c r="E30" i="49" s="1"/>
  <c r="M40" i="49"/>
  <c r="E29" i="50"/>
  <c r="K29" i="50" s="1"/>
  <c r="I28" i="50"/>
  <c r="O28" i="50"/>
  <c r="O27" i="50"/>
  <c r="E24" i="50"/>
  <c r="K24" i="50" s="1"/>
  <c r="I23" i="50"/>
  <c r="O23" i="50" s="1"/>
  <c r="G61" i="14"/>
  <c r="F53" i="14"/>
  <c r="B60" i="34"/>
  <c r="E54" i="34" s="1"/>
  <c r="G47" i="34"/>
  <c r="G46" i="34"/>
  <c r="G45" i="34"/>
  <c r="G44" i="34"/>
  <c r="G43" i="34"/>
  <c r="G49" i="34" s="1"/>
  <c r="F38" i="34"/>
  <c r="D47" i="34" s="1"/>
  <c r="E47" i="34"/>
  <c r="F37" i="34"/>
  <c r="E46" i="34"/>
  <c r="F36" i="34"/>
  <c r="E45" i="34"/>
  <c r="F35" i="34"/>
  <c r="E44" i="34"/>
  <c r="F34" i="34"/>
  <c r="D43" i="34" s="1"/>
  <c r="E43" i="34"/>
  <c r="A32" i="34"/>
  <c r="A41" i="34"/>
  <c r="F29" i="34"/>
  <c r="F28" i="34"/>
  <c r="F27" i="34"/>
  <c r="F26" i="34"/>
  <c r="F25" i="34"/>
  <c r="F24" i="34"/>
  <c r="F23" i="34"/>
  <c r="D44" i="34"/>
  <c r="D45" i="34"/>
  <c r="D46" i="34"/>
  <c r="H61" i="6"/>
  <c r="J59" i="6"/>
  <c r="C14" i="21"/>
  <c r="D14" i="21"/>
  <c r="E14" i="21"/>
  <c r="F14" i="21"/>
  <c r="G14" i="21"/>
  <c r="K40" i="49"/>
  <c r="G40" i="49"/>
  <c r="I40" i="49"/>
  <c r="E40" i="49"/>
  <c r="L44" i="49"/>
  <c r="M44" i="49" s="1"/>
  <c r="L45" i="49"/>
  <c r="M45" i="49" s="1"/>
  <c r="L43" i="49"/>
  <c r="L42" i="49"/>
  <c r="L41" i="49"/>
  <c r="J44" i="49"/>
  <c r="J45" i="49"/>
  <c r="J43" i="49"/>
  <c r="J42" i="49"/>
  <c r="J41" i="49"/>
  <c r="K41" i="49" s="1"/>
  <c r="H44" i="49"/>
  <c r="K44" i="49" s="1"/>
  <c r="H45" i="49"/>
  <c r="I45" i="49" s="1"/>
  <c r="H43" i="49"/>
  <c r="H42" i="49"/>
  <c r="H41" i="49"/>
  <c r="F44" i="49"/>
  <c r="F46" i="49" s="1"/>
  <c r="F48" i="49" s="1"/>
  <c r="F45" i="49"/>
  <c r="F43" i="49"/>
  <c r="F42" i="49"/>
  <c r="I42" i="49"/>
  <c r="F41" i="49"/>
  <c r="C41" i="49"/>
  <c r="C42" i="49"/>
  <c r="C43" i="49"/>
  <c r="C44" i="49"/>
  <c r="C45" i="49"/>
  <c r="B45" i="49"/>
  <c r="B44" i="49"/>
  <c r="B43" i="49"/>
  <c r="B42" i="49"/>
  <c r="B41" i="49"/>
  <c r="C31" i="49"/>
  <c r="E31" i="49"/>
  <c r="F31" i="49"/>
  <c r="G31" i="49"/>
  <c r="H31" i="49"/>
  <c r="C32" i="49"/>
  <c r="E32" i="49"/>
  <c r="F32" i="49"/>
  <c r="G32" i="49"/>
  <c r="H32" i="49"/>
  <c r="C33" i="49"/>
  <c r="E33" i="49"/>
  <c r="F33" i="49"/>
  <c r="G33" i="49"/>
  <c r="H33" i="49"/>
  <c r="C34" i="49"/>
  <c r="E34" i="49"/>
  <c r="F34" i="49"/>
  <c r="G34" i="49"/>
  <c r="H34" i="49"/>
  <c r="C35" i="49"/>
  <c r="E35" i="49"/>
  <c r="F35" i="49"/>
  <c r="G35" i="49"/>
  <c r="H35" i="49"/>
  <c r="B35" i="49"/>
  <c r="B34" i="49"/>
  <c r="B33" i="49"/>
  <c r="B32" i="49"/>
  <c r="B36" i="49" s="1"/>
  <c r="B31" i="49"/>
  <c r="C23" i="49"/>
  <c r="G23" i="49"/>
  <c r="G24" i="49" s="1"/>
  <c r="H23" i="49"/>
  <c r="H24" i="49" s="1"/>
  <c r="B23" i="49"/>
  <c r="B26" i="49" s="1"/>
  <c r="C17" i="49"/>
  <c r="F17" i="49"/>
  <c r="G17" i="49"/>
  <c r="H17" i="49"/>
  <c r="B17" i="49"/>
  <c r="I41" i="49"/>
  <c r="G43" i="49"/>
  <c r="G44" i="49"/>
  <c r="M43" i="49"/>
  <c r="E41" i="49"/>
  <c r="F19" i="23"/>
  <c r="H19" i="23"/>
  <c r="F36" i="14"/>
  <c r="F24" i="23"/>
  <c r="H24" i="23"/>
  <c r="F18" i="23"/>
  <c r="H18" i="23"/>
  <c r="F17" i="23"/>
  <c r="H17" i="23"/>
  <c r="F16" i="23"/>
  <c r="H16" i="23"/>
  <c r="F15" i="23"/>
  <c r="H15" i="23"/>
  <c r="F14" i="23"/>
  <c r="H14" i="23"/>
  <c r="H25" i="21"/>
  <c r="H21" i="21"/>
  <c r="H20" i="21"/>
  <c r="H18" i="21"/>
  <c r="H17" i="21"/>
  <c r="H16" i="21"/>
  <c r="G22" i="21"/>
  <c r="G23" i="21" s="1"/>
  <c r="G27" i="21" s="1"/>
  <c r="F22" i="21"/>
  <c r="F23" i="21"/>
  <c r="F27" i="21" s="1"/>
  <c r="E22" i="21"/>
  <c r="E23" i="21" s="1"/>
  <c r="E27" i="21" s="1"/>
  <c r="D22" i="21"/>
  <c r="D23" i="21" s="1"/>
  <c r="D27" i="21" s="1"/>
  <c r="C22" i="21"/>
  <c r="D19" i="21"/>
  <c r="E19" i="21"/>
  <c r="F19" i="21"/>
  <c r="G19" i="21"/>
  <c r="C19" i="21"/>
  <c r="H26" i="12"/>
  <c r="K26" i="12" s="1"/>
  <c r="H27" i="12"/>
  <c r="G26" i="12"/>
  <c r="I26" i="12" s="1"/>
  <c r="G27" i="12"/>
  <c r="I27" i="12" s="1"/>
  <c r="K25" i="12"/>
  <c r="K24" i="12"/>
  <c r="K23" i="12"/>
  <c r="K22" i="12"/>
  <c r="K21" i="12"/>
  <c r="K20" i="12"/>
  <c r="K19" i="12"/>
  <c r="K18" i="12"/>
  <c r="K17" i="12"/>
  <c r="K16" i="12"/>
  <c r="K15" i="12"/>
  <c r="I25" i="12"/>
  <c r="I24" i="12"/>
  <c r="I23" i="12"/>
  <c r="I22" i="12"/>
  <c r="I21" i="12"/>
  <c r="I20" i="12"/>
  <c r="I19" i="12"/>
  <c r="I18" i="12"/>
  <c r="I17" i="12"/>
  <c r="I16" i="12"/>
  <c r="I15" i="12"/>
  <c r="J26" i="12"/>
  <c r="J27" i="12"/>
  <c r="F26" i="12"/>
  <c r="F27" i="12"/>
  <c r="D27" i="12"/>
  <c r="D26" i="12"/>
  <c r="H61" i="14"/>
  <c r="F61" i="14"/>
  <c r="E61" i="14"/>
  <c r="D61" i="14"/>
  <c r="C61" i="14"/>
  <c r="F23" i="15"/>
  <c r="G15" i="15" s="1"/>
  <c r="E44" i="49" l="1"/>
  <c r="H36" i="49"/>
  <c r="G26" i="49"/>
  <c r="J46" i="49"/>
  <c r="J48" i="49" s="1"/>
  <c r="M41" i="49"/>
  <c r="L46" i="49"/>
  <c r="L48" i="49" s="1"/>
  <c r="H51" i="49" s="1"/>
  <c r="M17" i="100"/>
  <c r="M22" i="100"/>
  <c r="M26" i="100"/>
  <c r="M30" i="100"/>
  <c r="M34" i="100"/>
  <c r="M38" i="100"/>
  <c r="M42" i="100"/>
  <c r="M46" i="100"/>
  <c r="M50" i="100"/>
  <c r="M54" i="100"/>
  <c r="M58" i="100"/>
  <c r="M21" i="100"/>
  <c r="M25" i="100"/>
  <c r="M29" i="100"/>
  <c r="M33" i="100"/>
  <c r="M37" i="100"/>
  <c r="M41" i="100"/>
  <c r="M45" i="100"/>
  <c r="M49" i="100"/>
  <c r="M53" i="100"/>
  <c r="M20" i="100"/>
  <c r="M24" i="100"/>
  <c r="M28" i="100"/>
  <c r="M32" i="100"/>
  <c r="M36" i="100"/>
  <c r="M40" i="100"/>
  <c r="M44" i="100"/>
  <c r="M48" i="100"/>
  <c r="M52" i="100"/>
  <c r="M59" i="100"/>
  <c r="H36" i="14"/>
  <c r="D36" i="14"/>
  <c r="H54" i="14"/>
  <c r="E12" i="14"/>
  <c r="C36" i="14"/>
  <c r="E36" i="14"/>
  <c r="G23" i="15"/>
  <c r="H15" i="15" s="1"/>
  <c r="H23" i="15" s="1"/>
  <c r="I29" i="50"/>
  <c r="O29" i="50"/>
  <c r="K31" i="50"/>
  <c r="I24" i="50"/>
  <c r="J61" i="6"/>
  <c r="I61" i="6" s="1"/>
  <c r="C28" i="5"/>
  <c r="E32" i="105"/>
  <c r="G32" i="105"/>
  <c r="C32" i="105"/>
  <c r="J30" i="105"/>
  <c r="B32" i="105"/>
  <c r="E45" i="49"/>
  <c r="B46" i="49"/>
  <c r="B48" i="49" s="1"/>
  <c r="E42" i="49"/>
  <c r="H26" i="49"/>
  <c r="H27" i="49" s="1"/>
  <c r="H19" i="49"/>
  <c r="M42" i="49"/>
  <c r="K42" i="49"/>
  <c r="H18" i="49"/>
  <c r="G36" i="49"/>
  <c r="H37" i="49" s="1"/>
  <c r="K45" i="49"/>
  <c r="H46" i="49"/>
  <c r="H48" i="49" s="1"/>
  <c r="J49" i="49" s="1"/>
  <c r="J50" i="49" s="1"/>
  <c r="I43" i="49"/>
  <c r="K43" i="49"/>
  <c r="F24" i="49"/>
  <c r="F26" i="49"/>
  <c r="G27" i="49" s="1"/>
  <c r="F36" i="49"/>
  <c r="H49" i="49"/>
  <c r="H50" i="49" s="1"/>
  <c r="I44" i="49"/>
  <c r="E24" i="49"/>
  <c r="E26" i="49"/>
  <c r="F27" i="49" s="1"/>
  <c r="E36" i="49"/>
  <c r="G45" i="49"/>
  <c r="E43" i="49"/>
  <c r="E18" i="49"/>
  <c r="C26" i="49"/>
  <c r="E27" i="49" s="1"/>
  <c r="C46" i="49"/>
  <c r="G42" i="49"/>
  <c r="C36" i="49"/>
  <c r="G36" i="14"/>
  <c r="O24" i="50"/>
  <c r="G57" i="100"/>
  <c r="G60" i="100" s="1"/>
  <c r="L57" i="100"/>
  <c r="L60" i="100" s="1"/>
  <c r="G18" i="49"/>
  <c r="G41" i="49"/>
  <c r="F18" i="49"/>
  <c r="H25" i="49"/>
  <c r="F32" i="105"/>
  <c r="H32" i="105"/>
  <c r="F28" i="5"/>
  <c r="B28" i="5"/>
  <c r="H28" i="12"/>
  <c r="K28" i="12" s="1"/>
  <c r="D28" i="12"/>
  <c r="F28" i="12"/>
  <c r="J28" i="12"/>
  <c r="G28" i="12"/>
  <c r="I28" i="12" s="1"/>
  <c r="K27" i="12"/>
  <c r="C30" i="49"/>
  <c r="B40" i="49"/>
  <c r="J18" i="98"/>
  <c r="N53" i="98"/>
  <c r="M52" i="54"/>
  <c r="I17" i="54"/>
  <c r="F49" i="71"/>
  <c r="O29" i="59"/>
  <c r="O26" i="59"/>
  <c r="F26" i="60" s="1"/>
  <c r="O27" i="59"/>
  <c r="I58" i="59"/>
  <c r="M58" i="59"/>
  <c r="O25" i="59"/>
  <c r="K25" i="60" s="1"/>
  <c r="F40" i="49"/>
  <c r="H30" i="49"/>
  <c r="I58" i="61"/>
  <c r="K57" i="61"/>
  <c r="K57" i="62" s="1"/>
  <c r="K54" i="60"/>
  <c r="F54" i="61" s="1"/>
  <c r="H54" i="61" s="1"/>
  <c r="F54" i="60"/>
  <c r="H54" i="60" s="1"/>
  <c r="F41" i="61"/>
  <c r="H41" i="61" s="1"/>
  <c r="K41" i="61"/>
  <c r="K41" i="62" s="1"/>
  <c r="F34" i="60"/>
  <c r="H34" i="60" s="1"/>
  <c r="K34" i="60"/>
  <c r="K38" i="60"/>
  <c r="F38" i="60"/>
  <c r="H38" i="60" s="1"/>
  <c r="F42" i="60"/>
  <c r="H42" i="60" s="1"/>
  <c r="K42" i="60"/>
  <c r="F42" i="61" s="1"/>
  <c r="H42" i="61" s="1"/>
  <c r="F44" i="60"/>
  <c r="H44" i="60" s="1"/>
  <c r="K44" i="60"/>
  <c r="K46" i="60"/>
  <c r="K46" i="61" s="1"/>
  <c r="K46" i="62" s="1"/>
  <c r="F46" i="60"/>
  <c r="H46" i="60" s="1"/>
  <c r="K52" i="60"/>
  <c r="F52" i="61" s="1"/>
  <c r="H52" i="61" s="1"/>
  <c r="F52" i="60"/>
  <c r="H52" i="60" s="1"/>
  <c r="F56" i="60"/>
  <c r="H56" i="60" s="1"/>
  <c r="K56" i="60"/>
  <c r="F56" i="61" s="1"/>
  <c r="H56" i="61" s="1"/>
  <c r="K32" i="61"/>
  <c r="K32" i="62" s="1"/>
  <c r="F32" i="61"/>
  <c r="H32" i="61" s="1"/>
  <c r="F45" i="61"/>
  <c r="H45" i="61" s="1"/>
  <c r="K45" i="61"/>
  <c r="K45" i="62" s="1"/>
  <c r="K21" i="60"/>
  <c r="F21" i="61" s="1"/>
  <c r="H21" i="61" s="1"/>
  <c r="F21" i="60"/>
  <c r="H21" i="60" s="1"/>
  <c r="F47" i="60"/>
  <c r="H47" i="60" s="1"/>
  <c r="K47" i="60"/>
  <c r="K47" i="61" s="1"/>
  <c r="K47" i="62" s="1"/>
  <c r="F51" i="60"/>
  <c r="H51" i="60" s="1"/>
  <c r="K51" i="60"/>
  <c r="F51" i="61" s="1"/>
  <c r="H51" i="61" s="1"/>
  <c r="K55" i="60"/>
  <c r="F55" i="61" s="1"/>
  <c r="H55" i="61" s="1"/>
  <c r="F55" i="60"/>
  <c r="H55" i="60" s="1"/>
  <c r="K27" i="60"/>
  <c r="F27" i="60"/>
  <c r="H27" i="60" s="1"/>
  <c r="F40" i="61"/>
  <c r="H40" i="61" s="1"/>
  <c r="K40" i="61"/>
  <c r="K40" i="62" s="1"/>
  <c r="K29" i="60"/>
  <c r="F29" i="60"/>
  <c r="H29" i="60" s="1"/>
  <c r="F31" i="60"/>
  <c r="H31" i="60" s="1"/>
  <c r="K31" i="60"/>
  <c r="F31" i="61" s="1"/>
  <c r="H31" i="61" s="1"/>
  <c r="K33" i="60"/>
  <c r="F33" i="61" s="1"/>
  <c r="H33" i="61" s="1"/>
  <c r="F33" i="60"/>
  <c r="H33" i="60" s="1"/>
  <c r="F37" i="60"/>
  <c r="H37" i="60" s="1"/>
  <c r="K37" i="60"/>
  <c r="F39" i="60"/>
  <c r="H39" i="60" s="1"/>
  <c r="K39" i="60"/>
  <c r="F39" i="61" s="1"/>
  <c r="H39" i="61" s="1"/>
  <c r="K30" i="60"/>
  <c r="F30" i="61" s="1"/>
  <c r="H30" i="61" s="1"/>
  <c r="F30" i="60"/>
  <c r="H30" i="60" s="1"/>
  <c r="F24" i="61"/>
  <c r="H24" i="61" s="1"/>
  <c r="K24" i="61"/>
  <c r="K24" i="62" s="1"/>
  <c r="K53" i="61"/>
  <c r="K53" i="62" s="1"/>
  <c r="F53" i="61"/>
  <c r="H53" i="61" s="1"/>
  <c r="K20" i="60"/>
  <c r="K20" i="61" s="1"/>
  <c r="K20" i="62" s="1"/>
  <c r="F20" i="60"/>
  <c r="H20" i="60" s="1"/>
  <c r="O22" i="59"/>
  <c r="K52" i="61"/>
  <c r="K52" i="62" s="1"/>
  <c r="F24" i="60"/>
  <c r="H24" i="60" s="1"/>
  <c r="K48" i="60"/>
  <c r="K48" i="61" s="1"/>
  <c r="K48" i="62" s="1"/>
  <c r="F53" i="60"/>
  <c r="H53" i="60" s="1"/>
  <c r="J20" i="59"/>
  <c r="L20" i="59" s="1"/>
  <c r="F57" i="60"/>
  <c r="H57" i="60" s="1"/>
  <c r="K43" i="60"/>
  <c r="K28" i="60"/>
  <c r="K28" i="61" s="1"/>
  <c r="K28" i="62" s="1"/>
  <c r="F40" i="60"/>
  <c r="H40" i="60" s="1"/>
  <c r="K23" i="60"/>
  <c r="F23" i="61" s="1"/>
  <c r="H23" i="61" s="1"/>
  <c r="F32" i="60"/>
  <c r="H32" i="60" s="1"/>
  <c r="H58" i="59"/>
  <c r="F41" i="60"/>
  <c r="H41" i="60" s="1"/>
  <c r="K50" i="60"/>
  <c r="F50" i="61" s="1"/>
  <c r="H50" i="61" s="1"/>
  <c r="F53" i="62"/>
  <c r="H53" i="62" s="1"/>
  <c r="K33" i="61"/>
  <c r="K33" i="62" s="1"/>
  <c r="K39" i="61"/>
  <c r="K39" i="62" s="1"/>
  <c r="F32" i="62"/>
  <c r="H32" i="62" s="1"/>
  <c r="K49" i="61"/>
  <c r="F49" i="62" s="1"/>
  <c r="H49" i="62" s="1"/>
  <c r="F48" i="61"/>
  <c r="H48" i="61" s="1"/>
  <c r="F47" i="61"/>
  <c r="H47" i="61" s="1"/>
  <c r="K54" i="61"/>
  <c r="K54" i="62" s="1"/>
  <c r="K36" i="61"/>
  <c r="K36" i="62" s="1"/>
  <c r="K56" i="61"/>
  <c r="F20" i="61"/>
  <c r="H20" i="61" s="1"/>
  <c r="F46" i="61"/>
  <c r="H46" i="61" s="1"/>
  <c r="K35" i="61"/>
  <c r="K35" i="62" s="1"/>
  <c r="K51" i="61"/>
  <c r="K51" i="62" s="1"/>
  <c r="J40" i="49"/>
  <c r="G54" i="14"/>
  <c r="C23" i="21"/>
  <c r="C27" i="21" s="1"/>
  <c r="H22" i="21"/>
  <c r="H19" i="21"/>
  <c r="AC20" i="54"/>
  <c r="AC24" i="54" s="1"/>
  <c r="AB20" i="54"/>
  <c r="AB24" i="54" s="1"/>
  <c r="V34" i="54"/>
  <c r="V40" i="54" s="1"/>
  <c r="Z20" i="54"/>
  <c r="Z24" i="54" s="1"/>
  <c r="Y20" i="54"/>
  <c r="Y24" i="54" s="1"/>
  <c r="W34" i="54"/>
  <c r="W40" i="54" s="1"/>
  <c r="W43" i="54" s="1"/>
  <c r="W45" i="54" s="1"/>
  <c r="AC57" i="54"/>
  <c r="AB57" i="54"/>
  <c r="L95" i="54"/>
  <c r="A54" i="49"/>
  <c r="F30" i="49"/>
  <c r="B46" i="34"/>
  <c r="B44" i="34"/>
  <c r="B47" i="34"/>
  <c r="B43" i="34"/>
  <c r="B45" i="34"/>
  <c r="I30" i="105"/>
  <c r="J43" i="87"/>
  <c r="L43" i="87" s="1"/>
  <c r="J26" i="59"/>
  <c r="L26" i="59" s="1"/>
  <c r="E58" i="58"/>
  <c r="G58" i="58"/>
  <c r="J58" i="58"/>
  <c r="F57" i="61"/>
  <c r="H57" i="61" s="1"/>
  <c r="O58" i="59"/>
  <c r="K26" i="60"/>
  <c r="F26" i="61" s="1"/>
  <c r="H26" i="61" s="1"/>
  <c r="H26" i="60"/>
  <c r="L42" i="58"/>
  <c r="L58" i="58" s="1"/>
  <c r="F57" i="62"/>
  <c r="H57" i="62" s="1"/>
  <c r="E33" i="75"/>
  <c r="G22" i="75"/>
  <c r="G25" i="75" s="1"/>
  <c r="G33" i="75" s="1"/>
  <c r="G38" i="119"/>
  <c r="G37" i="119"/>
  <c r="R14" i="102"/>
  <c r="S14" i="102" s="1"/>
  <c r="T14" i="102" s="1"/>
  <c r="U14" i="102" s="1"/>
  <c r="N14" i="102"/>
  <c r="K14" i="102" s="1"/>
  <c r="H14" i="102" s="1"/>
  <c r="E14" i="102" s="1"/>
  <c r="B14" i="102" s="1"/>
  <c r="M46" i="49" l="1"/>
  <c r="M48" i="49" s="1"/>
  <c r="H52" i="49"/>
  <c r="L49" i="49"/>
  <c r="L50" i="49" s="1"/>
  <c r="O31" i="50"/>
  <c r="J32" i="105"/>
  <c r="I32" i="105"/>
  <c r="E46" i="49"/>
  <c r="E48" i="49" s="1"/>
  <c r="K46" i="49"/>
  <c r="K48" i="49" s="1"/>
  <c r="G37" i="49"/>
  <c r="F37" i="49"/>
  <c r="I46" i="49"/>
  <c r="I48" i="49" s="1"/>
  <c r="G46" i="49"/>
  <c r="G48" i="49" s="1"/>
  <c r="E37" i="49"/>
  <c r="C48" i="49"/>
  <c r="F49" i="49" s="1"/>
  <c r="F50" i="49" s="1"/>
  <c r="M57" i="100"/>
  <c r="M60" i="100" s="1"/>
  <c r="F17" i="54"/>
  <c r="J52" i="54"/>
  <c r="K53" i="98"/>
  <c r="G18" i="98"/>
  <c r="F25" i="60"/>
  <c r="H25" i="60" s="1"/>
  <c r="F36" i="120"/>
  <c r="H36" i="120" s="1"/>
  <c r="K36" i="120"/>
  <c r="F36" i="130" s="1"/>
  <c r="H36" i="130" s="1"/>
  <c r="F46" i="120"/>
  <c r="H46" i="120" s="1"/>
  <c r="K46" i="120"/>
  <c r="F46" i="130" s="1"/>
  <c r="H46" i="130" s="1"/>
  <c r="F41" i="120"/>
  <c r="H41" i="120" s="1"/>
  <c r="K41" i="120"/>
  <c r="F41" i="130" s="1"/>
  <c r="H41" i="130" s="1"/>
  <c r="F51" i="120"/>
  <c r="H51" i="120" s="1"/>
  <c r="K51" i="120"/>
  <c r="F51" i="130" s="1"/>
  <c r="H51" i="130" s="1"/>
  <c r="F53" i="120"/>
  <c r="H53" i="120" s="1"/>
  <c r="K53" i="120"/>
  <c r="F53" i="130" s="1"/>
  <c r="H53" i="130" s="1"/>
  <c r="F32" i="120"/>
  <c r="H32" i="120" s="1"/>
  <c r="K32" i="120"/>
  <c r="F32" i="130" s="1"/>
  <c r="H32" i="130" s="1"/>
  <c r="F35" i="120"/>
  <c r="H35" i="120" s="1"/>
  <c r="K35" i="120"/>
  <c r="F35" i="130" s="1"/>
  <c r="H35" i="130" s="1"/>
  <c r="F48" i="120"/>
  <c r="H48" i="120" s="1"/>
  <c r="K48" i="120"/>
  <c r="F48" i="130" s="1"/>
  <c r="H48" i="130" s="1"/>
  <c r="F24" i="120"/>
  <c r="H24" i="120" s="1"/>
  <c r="K24" i="120"/>
  <c r="F24" i="130" s="1"/>
  <c r="H24" i="130" s="1"/>
  <c r="F47" i="120"/>
  <c r="H47" i="120" s="1"/>
  <c r="K47" i="120"/>
  <c r="F47" i="130" s="1"/>
  <c r="H47" i="130" s="1"/>
  <c r="F45" i="120"/>
  <c r="H45" i="120" s="1"/>
  <c r="K45" i="120"/>
  <c r="F45" i="130" s="1"/>
  <c r="H45" i="130" s="1"/>
  <c r="F54" i="120"/>
  <c r="H54" i="120" s="1"/>
  <c r="K54" i="120"/>
  <c r="F54" i="130" s="1"/>
  <c r="H54" i="130" s="1"/>
  <c r="F20" i="120"/>
  <c r="H20" i="120" s="1"/>
  <c r="K20" i="120"/>
  <c r="F20" i="130" s="1"/>
  <c r="H20" i="130" s="1"/>
  <c r="F40" i="120"/>
  <c r="H40" i="120" s="1"/>
  <c r="K40" i="120"/>
  <c r="F40" i="130" s="1"/>
  <c r="H40" i="130" s="1"/>
  <c r="F39" i="120"/>
  <c r="H39" i="120" s="1"/>
  <c r="K39" i="120"/>
  <c r="F39" i="130" s="1"/>
  <c r="H39" i="130" s="1"/>
  <c r="F52" i="120"/>
  <c r="H52" i="120" s="1"/>
  <c r="K52" i="120"/>
  <c r="F52" i="130" s="1"/>
  <c r="H52" i="130" s="1"/>
  <c r="F57" i="120"/>
  <c r="H57" i="120" s="1"/>
  <c r="K57" i="120"/>
  <c r="F57" i="130" s="1"/>
  <c r="H57" i="130" s="1"/>
  <c r="F33" i="120"/>
  <c r="H33" i="120" s="1"/>
  <c r="K33" i="120"/>
  <c r="F33" i="130" s="1"/>
  <c r="H33" i="130" s="1"/>
  <c r="F28" i="120"/>
  <c r="H28" i="120" s="1"/>
  <c r="K28" i="120"/>
  <c r="F28" i="130" s="1"/>
  <c r="H28" i="130" s="1"/>
  <c r="F47" i="62"/>
  <c r="H47" i="62" s="1"/>
  <c r="F24" i="62"/>
  <c r="H24" i="62" s="1"/>
  <c r="F48" i="62"/>
  <c r="H48" i="62" s="1"/>
  <c r="F45" i="62"/>
  <c r="H45" i="62" s="1"/>
  <c r="F36" i="62"/>
  <c r="H36" i="62" s="1"/>
  <c r="F46" i="62"/>
  <c r="H46" i="62" s="1"/>
  <c r="F41" i="62"/>
  <c r="H41" i="62" s="1"/>
  <c r="K21" i="61"/>
  <c r="K21" i="62" s="1"/>
  <c r="K50" i="61"/>
  <c r="K50" i="62" s="1"/>
  <c r="K55" i="61"/>
  <c r="F55" i="62" s="1"/>
  <c r="H55" i="62" s="1"/>
  <c r="F20" i="62"/>
  <c r="H20" i="62" s="1"/>
  <c r="F33" i="62"/>
  <c r="H33" i="62" s="1"/>
  <c r="K22" i="60"/>
  <c r="F22" i="60"/>
  <c r="H22" i="60" s="1"/>
  <c r="H58" i="60" s="1"/>
  <c r="F25" i="61"/>
  <c r="H25" i="61" s="1"/>
  <c r="K25" i="61"/>
  <c r="K38" i="61"/>
  <c r="F38" i="61"/>
  <c r="H38" i="61" s="1"/>
  <c r="F28" i="62"/>
  <c r="H28" i="62" s="1"/>
  <c r="K42" i="61"/>
  <c r="K23" i="61"/>
  <c r="F43" i="61"/>
  <c r="H43" i="61" s="1"/>
  <c r="K43" i="61"/>
  <c r="F34" i="61"/>
  <c r="H34" i="61" s="1"/>
  <c r="K34" i="61"/>
  <c r="F39" i="62"/>
  <c r="H39" i="62" s="1"/>
  <c r="L58" i="59"/>
  <c r="K30" i="61"/>
  <c r="F28" i="61"/>
  <c r="H28" i="61" s="1"/>
  <c r="F29" i="61"/>
  <c r="H29" i="61" s="1"/>
  <c r="K29" i="61"/>
  <c r="F37" i="61"/>
  <c r="H37" i="61" s="1"/>
  <c r="K37" i="61"/>
  <c r="F52" i="62"/>
  <c r="H52" i="62" s="1"/>
  <c r="F44" i="61"/>
  <c r="H44" i="61" s="1"/>
  <c r="K44" i="61"/>
  <c r="F51" i="62"/>
  <c r="H51" i="62" s="1"/>
  <c r="K31" i="61"/>
  <c r="F40" i="62"/>
  <c r="H40" i="62" s="1"/>
  <c r="F27" i="61"/>
  <c r="H27" i="61" s="1"/>
  <c r="K27" i="61"/>
  <c r="K49" i="62"/>
  <c r="F35" i="62"/>
  <c r="H35" i="62" s="1"/>
  <c r="F54" i="62"/>
  <c r="H54" i="62" s="1"/>
  <c r="K56" i="62"/>
  <c r="F56" i="62"/>
  <c r="H56" i="62" s="1"/>
  <c r="H27" i="21"/>
  <c r="Y29" i="54"/>
  <c r="Y33" i="54" s="1"/>
  <c r="Y55" i="54" s="1"/>
  <c r="Y58" i="54" s="1"/>
  <c r="Y62" i="54" s="1"/>
  <c r="Y64" i="54" s="1"/>
  <c r="Y65" i="54" s="1"/>
  <c r="Y38" i="54" s="1"/>
  <c r="Y28" i="54"/>
  <c r="Y32" i="54" s="1"/>
  <c r="Y27" i="54"/>
  <c r="Y31" i="54" s="1"/>
  <c r="Z29" i="54"/>
  <c r="Z33" i="54" s="1"/>
  <c r="Z55" i="54" s="1"/>
  <c r="Z58" i="54" s="1"/>
  <c r="Z62" i="54" s="1"/>
  <c r="Z64" i="54" s="1"/>
  <c r="Z65" i="54" s="1"/>
  <c r="Z38" i="54" s="1"/>
  <c r="Z27" i="54"/>
  <c r="Z31" i="54" s="1"/>
  <c r="Z28" i="54"/>
  <c r="Z32" i="54" s="1"/>
  <c r="AC28" i="54"/>
  <c r="AC32" i="54" s="1"/>
  <c r="AC29" i="54"/>
  <c r="AC33" i="54" s="1"/>
  <c r="AC55" i="54" s="1"/>
  <c r="AC58" i="54" s="1"/>
  <c r="AC62" i="54" s="1"/>
  <c r="AC64" i="54" s="1"/>
  <c r="AC65" i="54" s="1"/>
  <c r="AC38" i="54" s="1"/>
  <c r="AC27" i="54"/>
  <c r="AC31" i="54" s="1"/>
  <c r="AB28" i="54"/>
  <c r="AB32" i="54" s="1"/>
  <c r="AB27" i="54"/>
  <c r="AB31" i="54" s="1"/>
  <c r="AB29" i="54"/>
  <c r="AB33" i="54" s="1"/>
  <c r="AB55" i="54" s="1"/>
  <c r="AB58" i="54" s="1"/>
  <c r="AB62" i="54" s="1"/>
  <c r="AB64" i="54" s="1"/>
  <c r="AB65" i="54" s="1"/>
  <c r="AB38" i="54" s="1"/>
  <c r="C45" i="34"/>
  <c r="F45" i="34"/>
  <c r="C43" i="34"/>
  <c r="F43" i="34"/>
  <c r="C47" i="34"/>
  <c r="F47" i="34"/>
  <c r="C44" i="34"/>
  <c r="F44" i="34"/>
  <c r="C46" i="34"/>
  <c r="F46" i="34"/>
  <c r="J58" i="59"/>
  <c r="G39" i="119"/>
  <c r="K26" i="61"/>
  <c r="K26" i="62" s="1"/>
  <c r="H38" i="75"/>
  <c r="H37" i="75"/>
  <c r="M52" i="49" l="1"/>
  <c r="H53" i="49"/>
  <c r="M53" i="49"/>
  <c r="H54" i="49"/>
  <c r="H53" i="98"/>
  <c r="D18" i="98"/>
  <c r="E53" i="98" s="1"/>
  <c r="G52" i="54"/>
  <c r="C17" i="54"/>
  <c r="D52" i="54" s="1"/>
  <c r="F49" i="120"/>
  <c r="H49" i="120" s="1"/>
  <c r="K49" i="120"/>
  <c r="F49" i="130" s="1"/>
  <c r="H49" i="130" s="1"/>
  <c r="F50" i="120"/>
  <c r="H50" i="120" s="1"/>
  <c r="K50" i="120"/>
  <c r="F50" i="130" s="1"/>
  <c r="H50" i="130" s="1"/>
  <c r="F26" i="120"/>
  <c r="H26" i="120" s="1"/>
  <c r="K26" i="120"/>
  <c r="F26" i="130" s="1"/>
  <c r="H26" i="130" s="1"/>
  <c r="F21" i="120"/>
  <c r="H21" i="120" s="1"/>
  <c r="K21" i="120"/>
  <c r="F21" i="130" s="1"/>
  <c r="H21" i="130" s="1"/>
  <c r="F56" i="120"/>
  <c r="H56" i="120" s="1"/>
  <c r="K56" i="120"/>
  <c r="F56" i="130" s="1"/>
  <c r="H56" i="130" s="1"/>
  <c r="F21" i="62"/>
  <c r="H21" i="62" s="1"/>
  <c r="F50" i="62"/>
  <c r="H50" i="62" s="1"/>
  <c r="K55" i="62"/>
  <c r="F58" i="60"/>
  <c r="K29" i="62"/>
  <c r="F29" i="62"/>
  <c r="H29" i="62" s="1"/>
  <c r="K44" i="62"/>
  <c r="F44" i="62"/>
  <c r="H44" i="62" s="1"/>
  <c r="K30" i="62"/>
  <c r="F30" i="62"/>
  <c r="H30" i="62" s="1"/>
  <c r="K23" i="62"/>
  <c r="F23" i="62"/>
  <c r="H23" i="62" s="1"/>
  <c r="K22" i="61"/>
  <c r="K58" i="61" s="1"/>
  <c r="F22" i="61"/>
  <c r="K27" i="62"/>
  <c r="F27" i="62"/>
  <c r="H27" i="62" s="1"/>
  <c r="K42" i="62"/>
  <c r="F42" i="62"/>
  <c r="H42" i="62" s="1"/>
  <c r="K58" i="60"/>
  <c r="K37" i="62"/>
  <c r="F37" i="62"/>
  <c r="H37" i="62" s="1"/>
  <c r="K31" i="62"/>
  <c r="F31" i="62"/>
  <c r="H31" i="62" s="1"/>
  <c r="K34" i="62"/>
  <c r="F34" i="62"/>
  <c r="H34" i="62" s="1"/>
  <c r="K38" i="62"/>
  <c r="F38" i="62"/>
  <c r="H38" i="62" s="1"/>
  <c r="K25" i="62"/>
  <c r="F25" i="62"/>
  <c r="H25" i="62" s="1"/>
  <c r="K43" i="62"/>
  <c r="F43" i="62"/>
  <c r="H43" i="62" s="1"/>
  <c r="AC34" i="54"/>
  <c r="AC40" i="54"/>
  <c r="AC43" i="54" s="1"/>
  <c r="AC45" i="54" s="1"/>
  <c r="Z34" i="54"/>
  <c r="Z40" i="54" s="1"/>
  <c r="Z43" i="54" s="1"/>
  <c r="Z45" i="54" s="1"/>
  <c r="AB34" i="54"/>
  <c r="AB40" i="54" s="1"/>
  <c r="Y34" i="54"/>
  <c r="Y40" i="54" s="1"/>
  <c r="F49" i="34"/>
  <c r="F26" i="62"/>
  <c r="H39" i="75"/>
  <c r="F43" i="120" l="1"/>
  <c r="H43" i="120" s="1"/>
  <c r="K43" i="120"/>
  <c r="F43" i="130" s="1"/>
  <c r="H43" i="130" s="1"/>
  <c r="F29" i="120"/>
  <c r="H29" i="120" s="1"/>
  <c r="K29" i="120"/>
  <c r="F29" i="130" s="1"/>
  <c r="H29" i="130" s="1"/>
  <c r="F23" i="120"/>
  <c r="H23" i="120" s="1"/>
  <c r="K23" i="120"/>
  <c r="F23" i="130" s="1"/>
  <c r="H23" i="130" s="1"/>
  <c r="F55" i="120"/>
  <c r="H55" i="120" s="1"/>
  <c r="K55" i="120"/>
  <c r="F55" i="130" s="1"/>
  <c r="H55" i="130" s="1"/>
  <c r="F38" i="120"/>
  <c r="H38" i="120" s="1"/>
  <c r="K38" i="120"/>
  <c r="F38" i="130" s="1"/>
  <c r="H38" i="130" s="1"/>
  <c r="F25" i="120"/>
  <c r="K25" i="120"/>
  <c r="F30" i="120"/>
  <c r="H30" i="120" s="1"/>
  <c r="K30" i="120"/>
  <c r="F30" i="130" s="1"/>
  <c r="H30" i="130" s="1"/>
  <c r="F34" i="120"/>
  <c r="H34" i="120" s="1"/>
  <c r="K34" i="120"/>
  <c r="F34" i="130" s="1"/>
  <c r="H34" i="130" s="1"/>
  <c r="F31" i="120"/>
  <c r="H31" i="120" s="1"/>
  <c r="K31" i="120"/>
  <c r="F31" i="130" s="1"/>
  <c r="H31" i="130" s="1"/>
  <c r="F37" i="120"/>
  <c r="H37" i="120" s="1"/>
  <c r="K37" i="120"/>
  <c r="F37" i="130" s="1"/>
  <c r="H37" i="130" s="1"/>
  <c r="F42" i="120"/>
  <c r="H42" i="120" s="1"/>
  <c r="K42" i="120"/>
  <c r="F42" i="130" s="1"/>
  <c r="H42" i="130" s="1"/>
  <c r="F27" i="120"/>
  <c r="H27" i="120" s="1"/>
  <c r="K27" i="120"/>
  <c r="F27" i="130" s="1"/>
  <c r="H27" i="130" s="1"/>
  <c r="F44" i="120"/>
  <c r="H44" i="120" s="1"/>
  <c r="K44" i="120"/>
  <c r="F44" i="130" s="1"/>
  <c r="H44" i="130" s="1"/>
  <c r="H22" i="61"/>
  <c r="H58" i="61" s="1"/>
  <c r="F58" i="61"/>
  <c r="F60" i="61" s="1"/>
  <c r="K22" i="62"/>
  <c r="K22" i="120" s="1"/>
  <c r="F22" i="130" s="1"/>
  <c r="H22" i="130" s="1"/>
  <c r="F22" i="62"/>
  <c r="H22" i="62" s="1"/>
  <c r="H26" i="62"/>
  <c r="D53" i="14"/>
  <c r="E53" i="14"/>
  <c r="F54" i="14"/>
  <c r="K58" i="120" l="1"/>
  <c r="F25" i="130"/>
  <c r="H25" i="120"/>
  <c r="F22" i="120"/>
  <c r="F58" i="120" s="1"/>
  <c r="K58" i="62"/>
  <c r="F58" i="62"/>
  <c r="F60" i="62" s="1"/>
  <c r="H58" i="62"/>
  <c r="H25" i="130" l="1"/>
  <c r="H58" i="130" s="1"/>
  <c r="F58" i="130"/>
  <c r="F60" i="130" s="1"/>
  <c r="H22" i="120"/>
  <c r="H58" i="120" s="1"/>
  <c r="F60" i="120"/>
  <c r="E20" i="87" l="1"/>
  <c r="G20" i="87" s="1"/>
  <c r="D67" i="87"/>
  <c r="G67" i="87" l="1"/>
  <c r="J20" i="87"/>
  <c r="E67" i="87"/>
  <c r="L20" i="87" l="1"/>
  <c r="L67" i="87" s="1"/>
  <c r="J67" i="87"/>
  <c r="J69" i="87" s="1"/>
</calcChain>
</file>

<file path=xl/comments1.xml><?xml version="1.0" encoding="utf-8"?>
<comments xmlns="http://schemas.openxmlformats.org/spreadsheetml/2006/main">
  <authors>
    <author>Keith Ritchie</author>
  </authors>
  <commentList>
    <comment ref="B20" authorId="0">
      <text>
        <r>
          <rPr>
            <b/>
            <sz val="9"/>
            <color indexed="81"/>
            <rFont val="Tahoma"/>
            <family val="2"/>
          </rPr>
          <t>OEB staff:</t>
        </r>
        <r>
          <rPr>
            <sz val="9"/>
            <color indexed="81"/>
            <rFont val="Tahoma"/>
            <family val="2"/>
          </rPr>
          <t xml:space="preserve">
The distributor should number the requested approvals beginning with 1.</t>
        </r>
      </text>
    </comment>
    <comment ref="D20" authorId="0">
      <text>
        <r>
          <rPr>
            <b/>
            <sz val="9"/>
            <color indexed="81"/>
            <rFont val="Tahoma"/>
            <family val="2"/>
          </rPr>
          <t>OEB staff:</t>
        </r>
        <r>
          <rPr>
            <sz val="9"/>
            <color indexed="81"/>
            <rFont val="Tahoma"/>
            <family val="2"/>
          </rPr>
          <t xml:space="preserve">
If sub-bullets are needed, the distributor can use the entries in this column to create appropriate sub-bulleting, as needed.</t>
        </r>
      </text>
    </comment>
    <comment ref="F20" authorId="0">
      <text>
        <r>
          <rPr>
            <b/>
            <sz val="9"/>
            <color indexed="81"/>
            <rFont val="Tahoma"/>
            <family val="2"/>
          </rPr>
          <t>OEB staff:</t>
        </r>
        <r>
          <rPr>
            <sz val="9"/>
            <color indexed="81"/>
            <rFont val="Tahoma"/>
            <family val="2"/>
          </rPr>
          <t xml:space="preserve">
This distributor should enter the requested approval in full text mode (i.e., same as in the Word document used for the test of the application evidence. Text boxes can be lengthened to show all text entered.</t>
        </r>
      </text>
    </comment>
    <comment ref="B40" authorId="0">
      <text>
        <r>
          <rPr>
            <b/>
            <sz val="9"/>
            <color indexed="81"/>
            <rFont val="Tahoma"/>
            <family val="2"/>
          </rPr>
          <t>OEB staff:</t>
        </r>
        <r>
          <rPr>
            <sz val="9"/>
            <color indexed="81"/>
            <rFont val="Tahoma"/>
            <family val="2"/>
          </rPr>
          <t xml:space="preserve">
As needed, additional approvals may be added to this sheet be copying row 42 and pasting every other row down, beginning with row 44. The print range will have to be altered with the addition of rows.</t>
        </r>
      </text>
    </comment>
    <comment ref="B42" authorId="0">
      <text>
        <r>
          <rPr>
            <b/>
            <sz val="9"/>
            <color indexed="81"/>
            <rFont val="Tahoma"/>
            <family val="2"/>
          </rPr>
          <t>OEB staff:</t>
        </r>
        <r>
          <rPr>
            <sz val="9"/>
            <color indexed="81"/>
            <rFont val="Tahoma"/>
            <family val="2"/>
          </rPr>
          <t xml:space="preserve">
As needed, additional approvals may be added to this sheet be copying row 42 and pasting every other row down, beginning with row 44. The print range will have to be altered with the addition of rows.</t>
        </r>
      </text>
    </comment>
    <comment ref="B44" authorId="0">
      <text>
        <r>
          <rPr>
            <b/>
            <sz val="9"/>
            <color indexed="81"/>
            <rFont val="Tahoma"/>
            <family val="2"/>
          </rPr>
          <t>OEB staff:</t>
        </r>
        <r>
          <rPr>
            <sz val="9"/>
            <color indexed="81"/>
            <rFont val="Tahoma"/>
            <family val="2"/>
          </rPr>
          <t xml:space="preserve">
As needed, additional approvals may be added to this sheet be copying row 42 and pasting every other row down, beginning with row 44. The print range will have to be altered with the addition of rows.</t>
        </r>
      </text>
    </comment>
  </commentList>
</comments>
</file>

<file path=xl/comments2.xml><?xml version="1.0" encoding="utf-8"?>
<comments xmlns="http://schemas.openxmlformats.org/spreadsheetml/2006/main">
  <authors>
    <author>Keith Ritchie</author>
  </authors>
  <commentList>
    <comment ref="F15" authorId="0">
      <text>
        <r>
          <rPr>
            <b/>
            <sz val="9"/>
            <color indexed="81"/>
            <rFont val="Tahoma"/>
            <family val="2"/>
          </rPr>
          <t>Keith Ritchie:</t>
        </r>
        <r>
          <rPr>
            <sz val="9"/>
            <color indexed="81"/>
            <rFont val="Tahoma"/>
            <family val="2"/>
          </rPr>
          <t xml:space="preserve">
Changes from fixed year dates to be
 driven from "TestYear" on sheet 1.</t>
        </r>
      </text>
    </comment>
  </commentList>
</comments>
</file>

<file path=xl/comments3.xml><?xml version="1.0" encoding="utf-8"?>
<comments xmlns="http://schemas.openxmlformats.org/spreadsheetml/2006/main">
  <authors>
    <author>Keith Ritchie</author>
  </authors>
  <commentList>
    <comment ref="F16" authorId="0">
      <text>
        <r>
          <rPr>
            <b/>
            <sz val="9"/>
            <color indexed="81"/>
            <rFont val="Tahoma"/>
            <family val="2"/>
          </rPr>
          <t>Keith Ritchie:</t>
        </r>
        <r>
          <rPr>
            <sz val="9"/>
            <color indexed="81"/>
            <rFont val="Tahoma"/>
            <family val="2"/>
          </rPr>
          <t xml:space="preserve">
Years changed to formulas driven from TestYear on Sheet 1.</t>
        </r>
      </text>
    </comment>
  </commentList>
</comments>
</file>

<file path=xl/comments4.xml><?xml version="1.0" encoding="utf-8"?>
<comments xmlns="http://schemas.openxmlformats.org/spreadsheetml/2006/main">
  <authors>
    <author>Keith Ritchie</author>
  </authors>
  <commentList>
    <comment ref="A23" authorId="0">
      <text>
        <r>
          <rPr>
            <b/>
            <sz val="9"/>
            <color indexed="81"/>
            <rFont val="Tahoma"/>
            <family val="2"/>
          </rPr>
          <t>OEB Staff:</t>
        </r>
        <r>
          <rPr>
            <sz val="9"/>
            <color indexed="81"/>
            <rFont val="Tahoma"/>
            <family val="2"/>
          </rPr>
          <t xml:space="preserve">
The distributor should enter its 2015-2020 kWh CDM target.</t>
        </r>
      </text>
    </comment>
    <comment ref="B93" authorId="0">
      <text>
        <r>
          <rPr>
            <b/>
            <sz val="9"/>
            <color indexed="81"/>
            <rFont val="Tahoma"/>
            <family val="2"/>
          </rPr>
          <t>OEB Staff:</t>
        </r>
        <r>
          <rPr>
            <sz val="9"/>
            <color indexed="81"/>
            <rFont val="Tahoma"/>
            <family val="2"/>
          </rPr>
          <t xml:space="preserve">
Enter proposed Total Loss Factor if manual adjustment is applied to base load forecast on system purchased basis, rather than as on a billed (delivered) basis.</t>
        </r>
      </text>
    </comment>
  </commentList>
</comments>
</file>

<file path=xl/sharedStrings.xml><?xml version="1.0" encoding="utf-8"?>
<sst xmlns="http://schemas.openxmlformats.org/spreadsheetml/2006/main" count="4992" uniqueCount="1530">
  <si>
    <t>Total Compensation (Salary, Wages, &amp; Benefits)</t>
  </si>
  <si>
    <t>Employee Costs</t>
  </si>
  <si>
    <t>Depreciation and Amortization Expense</t>
  </si>
  <si>
    <t>Account</t>
  </si>
  <si>
    <t>(a)</t>
  </si>
  <si>
    <t>(d)</t>
  </si>
  <si>
    <t>Years</t>
  </si>
  <si>
    <t>(f)</t>
  </si>
  <si>
    <t>(g) = 1 / (f)</t>
  </si>
  <si>
    <t>(h) = (e) / (f)</t>
  </si>
  <si>
    <t>(2)</t>
  </si>
  <si>
    <t>Notes:</t>
  </si>
  <si>
    <t>Proposed</t>
  </si>
  <si>
    <t>Rate</t>
  </si>
  <si>
    <t>Customer Class:</t>
  </si>
  <si>
    <t>Year</t>
  </si>
  <si>
    <t>Gross Asset Value</t>
  </si>
  <si>
    <t>Accumulated Amortization</t>
  </si>
  <si>
    <t>Net Asset</t>
  </si>
  <si>
    <t>Proceeds on Disposition</t>
  </si>
  <si>
    <t>Residual Net Book Value</t>
  </si>
  <si>
    <t>(A)</t>
  </si>
  <si>
    <t>(B)</t>
  </si>
  <si>
    <t>(D)</t>
  </si>
  <si>
    <t>(E)</t>
  </si>
  <si>
    <t>Capital Projects Table</t>
  </si>
  <si>
    <t>Year:</t>
  </si>
  <si>
    <t>USoA #</t>
  </si>
  <si>
    <t>Other Operating Revenue</t>
  </si>
  <si>
    <t>Specific Service Charges</t>
  </si>
  <si>
    <t>Late Payment Charges</t>
  </si>
  <si>
    <t>Retail Services Revenues</t>
  </si>
  <si>
    <t>Appendix 2-M</t>
  </si>
  <si>
    <t>Appendix 2-N</t>
  </si>
  <si>
    <t>(3)</t>
  </si>
  <si>
    <t>(4)</t>
  </si>
  <si>
    <t>(5)</t>
  </si>
  <si>
    <t>(6) = '(3) + (4)</t>
  </si>
  <si>
    <t>Asset Class</t>
  </si>
  <si>
    <t>Distribution Stations</t>
  </si>
  <si>
    <t>(7)</t>
  </si>
  <si>
    <t>(8)</t>
  </si>
  <si>
    <t>(9)</t>
  </si>
  <si>
    <t>(10)</t>
  </si>
  <si>
    <t>(11)</t>
  </si>
  <si>
    <t>Total line length or station capacity in asset class</t>
  </si>
  <si>
    <t>kW or kVa; km</t>
  </si>
  <si>
    <t>kW or kVA; km</t>
  </si>
  <si>
    <t>kW or kVA</t>
  </si>
  <si>
    <t>percent</t>
  </si>
  <si>
    <t>(12)</t>
  </si>
  <si>
    <t>(12a)</t>
  </si>
  <si>
    <t>(13)</t>
  </si>
  <si>
    <t>(14)</t>
  </si>
  <si>
    <t>(15)</t>
  </si>
  <si>
    <t>Return on Assets used to Provide LV services</t>
  </si>
  <si>
    <t>Taxes/PILs</t>
  </si>
  <si>
    <t>Annual amortization on assets used to provide LV services</t>
  </si>
  <si>
    <t>OM&amp;A costs with burden associated with assets used to provide LV services</t>
  </si>
  <si>
    <t>Total annual cost associated with assets used to provide LV services</t>
  </si>
  <si>
    <t>$/kW or $/kVA</t>
  </si>
  <si>
    <t>(17)</t>
  </si>
  <si>
    <t>(18)</t>
  </si>
  <si>
    <t>(19)</t>
  </si>
  <si>
    <t>(21)</t>
  </si>
  <si>
    <t>Capital Structure</t>
  </si>
  <si>
    <t>Long-Term Debt</t>
  </si>
  <si>
    <t>Weighted Average Cost of Capital</t>
  </si>
  <si>
    <t>Short-term Debt</t>
  </si>
  <si>
    <t>Common Equity</t>
  </si>
  <si>
    <t>Tax/PILs Rate</t>
  </si>
  <si>
    <t>Preferred Shares</t>
  </si>
  <si>
    <t>Working Capital Allowance Factor</t>
  </si>
  <si>
    <t>Difference</t>
  </si>
  <si>
    <t>kWh</t>
  </si>
  <si>
    <t>kW</t>
  </si>
  <si>
    <t>Residential</t>
  </si>
  <si>
    <t>GS &lt; 50 kW</t>
  </si>
  <si>
    <t>Streetlighting</t>
  </si>
  <si>
    <t>4305, 4310, 4315, 4320, 4325, 4330, 4335, 4340, 4345, 4350, 4355, 4360, 4365, 4370, 4375, 4380, 4385, 4390, 4395, 4398, 4405, 4415</t>
  </si>
  <si>
    <r>
      <t xml:space="preserve">Summary of </t>
    </r>
    <r>
      <rPr>
        <b/>
        <u/>
        <sz val="14"/>
        <color indexed="10"/>
        <rFont val="Arial"/>
        <family val="2"/>
      </rPr>
      <t>Recoverable</t>
    </r>
    <r>
      <rPr>
        <b/>
        <sz val="14"/>
        <rFont val="Arial"/>
        <family val="2"/>
      </rPr>
      <t xml:space="preserve"> OM&amp;A Expenses</t>
    </r>
  </si>
  <si>
    <t>OEB Section 30 Costs (Applicant-originated)</t>
  </si>
  <si>
    <t>If no depreciation expenses were recorded to reduce the net book value of stranded meter costs through accumulated depreciation, the total depreciation expense amount that would have been applicable from the time that the stranded meter costs were transferred to the sub-account of Account 1555 to December 31, 2010 should be provided.  In addition, the following information should be provided:</t>
  </si>
  <si>
    <t>A statement as to whether or not the recording of depreciation expenses continued in order to reduce the net book value through accumulated depreciation.  If so, provision of the total (cumulative) depreciation expense for the period from the time that the meters became stranded to December 31, 2010.</t>
  </si>
  <si>
    <t>The estimated amount of the pooled residual net book value of the removed from service meters, less any net proceeds from sales and contributed capital, at the time when smart meters will have been fully deployed.  If the smart meters have been fully deployed, please provide the actual amount.</t>
  </si>
  <si>
    <t>A description as to how the applicant intends to recover in rates the costs for stranded meters, including the proposed accounting treatment, the proposed disposition period and the associated bill impacts.</t>
  </si>
  <si>
    <t>Forecast</t>
  </si>
  <si>
    <t>USoA Description</t>
  </si>
  <si>
    <r>
      <t>etc.</t>
    </r>
    <r>
      <rPr>
        <vertAlign val="superscript"/>
        <sz val="10"/>
        <rFont val="Arial"/>
        <family val="2"/>
      </rPr>
      <t>1</t>
    </r>
  </si>
  <si>
    <t>1</t>
  </si>
  <si>
    <r>
      <t xml:space="preserve">Operating expenses associated with other resources allocated to regulatory matters </t>
    </r>
    <r>
      <rPr>
        <vertAlign val="superscript"/>
        <sz val="10"/>
        <rFont val="Arial"/>
        <family val="2"/>
      </rPr>
      <t>1</t>
    </r>
  </si>
  <si>
    <r>
      <t xml:space="preserve">Ongoing or One-time Cost? </t>
    </r>
    <r>
      <rPr>
        <b/>
        <vertAlign val="superscript"/>
        <sz val="10"/>
        <rFont val="Arial"/>
        <family val="2"/>
      </rPr>
      <t>2</t>
    </r>
  </si>
  <si>
    <r>
      <t xml:space="preserve">Sub-total - Ongoing Costs </t>
    </r>
    <r>
      <rPr>
        <vertAlign val="superscript"/>
        <sz val="10"/>
        <rFont val="Arial"/>
        <family val="2"/>
      </rPr>
      <t>3</t>
    </r>
  </si>
  <si>
    <r>
      <t xml:space="preserve">Sub-total - One-time Costs </t>
    </r>
    <r>
      <rPr>
        <vertAlign val="superscript"/>
        <sz val="10"/>
        <rFont val="Arial"/>
        <family val="2"/>
      </rPr>
      <t>4</t>
    </r>
  </si>
  <si>
    <t>2</t>
  </si>
  <si>
    <t>3</t>
  </si>
  <si>
    <t>4</t>
  </si>
  <si>
    <r>
      <t>Number of Employees (FTEs including Part-Time)</t>
    </r>
    <r>
      <rPr>
        <b/>
        <vertAlign val="superscript"/>
        <sz val="10"/>
        <rFont val="Arial"/>
        <family val="2"/>
      </rPr>
      <t>1</t>
    </r>
  </si>
  <si>
    <t xml:space="preserve">Note: </t>
  </si>
  <si>
    <t>(D ) = (A) - (B) - (C)</t>
  </si>
  <si>
    <t>Billing and Collecting</t>
  </si>
  <si>
    <t>Regulatory Cost Schedule</t>
  </si>
  <si>
    <t xml:space="preserve">Year </t>
  </si>
  <si>
    <t>Reporting Basis</t>
  </si>
  <si>
    <t>CGAAP</t>
  </si>
  <si>
    <t>MIFRS</t>
  </si>
  <si>
    <t>Loss Factors</t>
  </si>
  <si>
    <t>Cost of Service Rate Application Schematic</t>
  </si>
  <si>
    <t>Specific Service Charges:</t>
  </si>
  <si>
    <t>Account(s)</t>
  </si>
  <si>
    <t>Late Payment Charges:</t>
  </si>
  <si>
    <t>Other Distribution Revenues:</t>
  </si>
  <si>
    <t>Other Income and Expenses:</t>
  </si>
  <si>
    <t>Account 4405 - Interest and Dividend Income</t>
  </si>
  <si>
    <t>Operations</t>
  </si>
  <si>
    <t>Maintenance</t>
  </si>
  <si>
    <t>Community Relations</t>
  </si>
  <si>
    <t>Note:</t>
  </si>
  <si>
    <t>Appendix 2-G</t>
  </si>
  <si>
    <t>OM&amp;A</t>
  </si>
  <si>
    <t>Regulatory Cost Category</t>
  </si>
  <si>
    <t>USoA Account</t>
  </si>
  <si>
    <t>Annual % Change</t>
  </si>
  <si>
    <t>(C )</t>
  </si>
  <si>
    <t>USoA Account Balance</t>
  </si>
  <si>
    <t>(F)</t>
  </si>
  <si>
    <t>(G)</t>
  </si>
  <si>
    <t>(I)</t>
  </si>
  <si>
    <t>(H) = [(G)-(F)]/(F)</t>
  </si>
  <si>
    <t>(J) = [(I)-(G)]/(G)</t>
  </si>
  <si>
    <t>OEB Annual Assessment</t>
  </si>
  <si>
    <t>OEB Section 30 Costs (OEB-initiated)</t>
  </si>
  <si>
    <t>Expert Witness costs for regulatory matters</t>
  </si>
  <si>
    <t>Legal costs for regulatory matters</t>
  </si>
  <si>
    <t>Consultants' costs for regulatory matters</t>
  </si>
  <si>
    <t>Operating expenses associated with staff resources allocated to regulatory matters</t>
  </si>
  <si>
    <t>Other regulatory agency fees or assessments</t>
  </si>
  <si>
    <t>Any other costs for regulatory matters (please define)</t>
  </si>
  <si>
    <t>Intervenor costs</t>
  </si>
  <si>
    <t>Sum of all ongoing costs identified in rows 1 to 11 inclusive.</t>
  </si>
  <si>
    <t>Sum of all one-time costs identified in rows 1 to 11 inclusive.</t>
  </si>
  <si>
    <t>Please identify the resources involved.</t>
  </si>
  <si>
    <t>Where a category's costs include both one-time and ongoing costs, the applicant should prove a separate breakdown between one-time and ongoing costs.</t>
  </si>
  <si>
    <t>Historical Years</t>
  </si>
  <si>
    <t>5-Year Average</t>
  </si>
  <si>
    <t>Losses Within Distributor's System</t>
  </si>
  <si>
    <t>A(1)</t>
  </si>
  <si>
    <t>"Wholesale" kWh delivered to distributor (higher value)</t>
  </si>
  <si>
    <t>A(2)</t>
  </si>
  <si>
    <t>"Wholesale" kWh delivered to distributor (lower value)</t>
  </si>
  <si>
    <t>B</t>
  </si>
  <si>
    <t>Portion of "Wholesale" kWh delivered to distributor for its Large Use Customer(s)</t>
  </si>
  <si>
    <t>C</t>
  </si>
  <si>
    <t>D</t>
  </si>
  <si>
    <t>"Retail" kWh delivered by distributor</t>
  </si>
  <si>
    <t>E</t>
  </si>
  <si>
    <t>Portion of "Retail" kWh delivered by distributor to its Large Use Customer(s)</t>
  </si>
  <si>
    <t>F</t>
  </si>
  <si>
    <t>G</t>
  </si>
  <si>
    <t>H</t>
  </si>
  <si>
    <t>Losses Upstream of Distributor's System</t>
  </si>
  <si>
    <t>Supply Facilities Loss Factor</t>
  </si>
  <si>
    <t>Total Losses</t>
  </si>
  <si>
    <t>I</t>
  </si>
  <si>
    <r>
      <t xml:space="preserve">Net "Wholesale" kWh delivered to distributor  = </t>
    </r>
    <r>
      <rPr>
        <b/>
        <sz val="10"/>
        <rFont val="Arial"/>
        <family val="2"/>
      </rPr>
      <t>A(2) - B</t>
    </r>
  </si>
  <si>
    <r>
      <t xml:space="preserve">Net "Retail" kWh delivered by distributor = </t>
    </r>
    <r>
      <rPr>
        <b/>
        <sz val="10"/>
        <rFont val="Arial"/>
        <family val="2"/>
      </rPr>
      <t>D - E</t>
    </r>
  </si>
  <si>
    <r>
      <t xml:space="preserve">Loss Factor in Distributor's system = </t>
    </r>
    <r>
      <rPr>
        <b/>
        <sz val="10"/>
        <rFont val="Arial"/>
        <family val="2"/>
      </rPr>
      <t>C / F</t>
    </r>
  </si>
  <si>
    <r>
      <t xml:space="preserve">Total Loss Factor = </t>
    </r>
    <r>
      <rPr>
        <b/>
        <sz val="10"/>
        <rFont val="Arial"/>
        <family val="2"/>
      </rPr>
      <t>G x H</t>
    </r>
  </si>
  <si>
    <t>Administrative and General</t>
  </si>
  <si>
    <t>Simple average of % variance for all years</t>
  </si>
  <si>
    <t>$</t>
  </si>
  <si>
    <t>%</t>
  </si>
  <si>
    <t>Appendix 2-I</t>
  </si>
  <si>
    <t>OM&amp;A cost per customer</t>
  </si>
  <si>
    <t>Appendix 2-L</t>
  </si>
  <si>
    <t>Name of Company</t>
  </si>
  <si>
    <t>From</t>
  </si>
  <si>
    <t>To</t>
  </si>
  <si>
    <t>Service Offered</t>
  </si>
  <si>
    <t>Price for the Service</t>
  </si>
  <si>
    <t>Cost for the Service</t>
  </si>
  <si>
    <t>Stranded Meter Treatment</t>
  </si>
  <si>
    <t>Insert description of additional item(s) and new rows if needed.</t>
  </si>
  <si>
    <t>4080, 4082, 4084, 4090, 4205, 4210, 4215, 4220, 4240, 4245</t>
  </si>
  <si>
    <t>a)</t>
  </si>
  <si>
    <t>b)</t>
  </si>
  <si>
    <t>c)</t>
  </si>
  <si>
    <t>Some distributors have transferred the cost of stranded meters from Account 1860 - Meters to "Sub-account Stranded Meter Costs of Account 1555", while in some cases distributors have left these costs in Account 1860.  Depending on which treatment the applicant has chosen. please provide the information under either of the two scenarios (A and B below), as applicable.</t>
  </si>
  <si>
    <t>A description of the accounting treatment followed by the applicant on stranded meter costs for financial accounting and reporting purposes.</t>
  </si>
  <si>
    <t>A statement as to whether or not, since transferring the removed stranded meter costs to the sub-account, the recording of depreciation expenses was continued in order to reduce the net book value through accumulated depreciation.  If so, the total depreciation expense amount for the period from the time the costs for the stranded meters were transferred to the sub-account to December 31, 2010 should be provided.</t>
  </si>
  <si>
    <t>Applicants must provide a breakdown of depreciation and amortization expense in the above format for all relevant accounts.  Asset Retirement Obligations (AROs), depreciation and accretion expense should be disclosed separately consistent with the Notes of historical Audited Financial Statements.</t>
  </si>
  <si>
    <t>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</si>
  <si>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Whether or not carrying charges were recorded for the stranded meter cost balances in the sub-account, and if so, the total carrying charges recorded to December 31, 2010.</t>
  </si>
  <si>
    <t>The estimated amount of the pooled residual net book value of the removed from service meters, less any net proceeds from sales and contributed capital, at the time when the smart meters will have been fully deployed (e.g., as of December 31, 2010).  If the smart meters have been fully deployed, the actual amount should be provided.</t>
  </si>
  <si>
    <t>(16)</t>
  </si>
  <si>
    <t>(20)</t>
  </si>
  <si>
    <t>If no depreciation expenses were recorded to reduce the net book value of stranded meters through accumulated depreciation, the total (cumulative) depreciation expense amount that would have been applicable for the period from the time that the meters became stranded to December 31, 2010.</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</si>
  <si>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</si>
  <si>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Projects</t>
  </si>
  <si>
    <t>Miscellaneous</t>
  </si>
  <si>
    <t>Project Name #1</t>
  </si>
  <si>
    <t>Project Name #2</t>
  </si>
  <si>
    <t>Project Name #3</t>
  </si>
  <si>
    <t>Project Name #4</t>
  </si>
  <si>
    <t>Sub-Total</t>
  </si>
  <si>
    <t>The table may need to be customized for a utility's asset categories or for any new asset accounts announced or authorized by the Board.</t>
  </si>
  <si>
    <t>Pale green cells represent input cells.</t>
  </si>
  <si>
    <t>Distribution Station Equipment &lt;50 kV</t>
  </si>
  <si>
    <t>Overhead Conductors &amp; Devices</t>
  </si>
  <si>
    <t>Underground Conduit</t>
  </si>
  <si>
    <t>Underground Conductors &amp; Devices</t>
  </si>
  <si>
    <t>Services (Overhead &amp; Underground)</t>
  </si>
  <si>
    <t>Meters (Smart Meters)</t>
  </si>
  <si>
    <t>Office Furniture &amp; Equipment (10 years)</t>
  </si>
  <si>
    <t>Office Furniture &amp; Equipment (5 years)</t>
  </si>
  <si>
    <t>Computer Equipment - Hardware</t>
  </si>
  <si>
    <t>Computer Equip.-Hardware(Post Mar. 19/07)</t>
  </si>
  <si>
    <t>Computer Equip.-Hardware(Post Mar. 22/04)</t>
  </si>
  <si>
    <t>Power Operated Equipment</t>
  </si>
  <si>
    <t>Communication Equipment (Smart Meters)</t>
  </si>
  <si>
    <t xml:space="preserve">Miscellaneous Equipment </t>
  </si>
  <si>
    <t>Other Operating Revenues</t>
  </si>
  <si>
    <t>Other Income or Deductions</t>
  </si>
  <si>
    <t>Note: Add all applicable accounts listed above to the table and include all relevant information.</t>
  </si>
  <si>
    <t>Account Breakdown Details</t>
  </si>
  <si>
    <r>
      <t xml:space="preserve">For each </t>
    </r>
    <r>
      <rPr>
        <sz val="10"/>
        <rFont val="Arial"/>
        <family val="2"/>
      </rPr>
      <t>"Other Operating Revenue" and "Other Income or Deductions" Account, a detailed breakdown of the account components is required.  See the example below for Account 4405, Interest and Dividend Income.</t>
    </r>
  </si>
  <si>
    <t>General:</t>
  </si>
  <si>
    <t>Contributed Capital (Net of Amortization)</t>
  </si>
  <si>
    <t>(C)</t>
  </si>
  <si>
    <t>(F) = (D) - (E)</t>
  </si>
  <si>
    <t>The amount of the pooled residual net book value of the removed from service stranded meters, less any contributed capital (net of accumulated amortization), and less any net proceeds from sales, which were transferred to this sub-account as of December 31, 2010.</t>
  </si>
  <si>
    <t>The amount of the pooled residual net book value of the removed from service stranded meters, less any contributed capital (net of accumulated amortization), and less any net proceeds from sales, as of December 31, 2010.</t>
  </si>
  <si>
    <t>A description as to how the applicant intends to recover in rates the remaining costs for stranded meters, including the proposed accounting treatment, the proposed disposition period, and the associated bill impacts.</t>
  </si>
  <si>
    <t>If partially embedded, kWh pertains to the sum of the above.</t>
  </si>
  <si>
    <t>These loss factors pertain to secondary-metered customers with demand less than 5,000 kW.</t>
  </si>
  <si>
    <t>Description</t>
  </si>
  <si>
    <t>Opening Balance</t>
  </si>
  <si>
    <t>Additions</t>
  </si>
  <si>
    <t>Historical Year(s)</t>
  </si>
  <si>
    <t>Appendix 2-K</t>
  </si>
  <si>
    <t>% of Corporate Costs Allocated</t>
  </si>
  <si>
    <t>Corporate Cost Allocation</t>
  </si>
  <si>
    <t>Shared Services</t>
  </si>
  <si>
    <t>Amount Allocated</t>
  </si>
  <si>
    <t xml:space="preserve">Cost of Serving Embedded Distributor(s) </t>
  </si>
  <si>
    <t>Proposed Rate Class for Billing Embedded Distributor(s)</t>
  </si>
  <si>
    <t>Host's Distribution Facilities used by Embedded Distributor(s)</t>
  </si>
  <si>
    <t xml:space="preserve">Total OM&amp;A costs asociated with asset class </t>
  </si>
  <si>
    <t xml:space="preserve">Original cost of asset class </t>
  </si>
  <si>
    <t>Accumulated amortization of asset class</t>
  </si>
  <si>
    <t>Annual amortization of asset class</t>
  </si>
  <si>
    <t>Net Book Value of asset class</t>
  </si>
  <si>
    <t>Totals for Host Distributor:</t>
  </si>
  <si>
    <t>Low Voltage Line</t>
  </si>
  <si>
    <t>TS (owned by host)</t>
  </si>
  <si>
    <t xml:space="preserve">add rows if necessary... </t>
  </si>
  <si>
    <t>Line length or capacity required to provide LV service to Embedded Distributor(s)</t>
  </si>
  <si>
    <t>Annual total demand on station/line providing LV services (sum of 12 monthly peaks)</t>
  </si>
  <si>
    <t>Annual billed Embedded Distributor demand on station/line providing LV services</t>
  </si>
  <si>
    <t>Embedded Distributor's share:</t>
  </si>
  <si>
    <t xml:space="preserve">LV Line # 2 (if applicable) </t>
  </si>
  <si>
    <t xml:space="preserve">add rows if necessary </t>
  </si>
  <si>
    <t>Monthly cost associated with the delivery of LV services</t>
  </si>
  <si>
    <t>Closing Balance</t>
  </si>
  <si>
    <t>Cost</t>
  </si>
  <si>
    <t>Accumulated Depreciation</t>
  </si>
  <si>
    <t>N/A</t>
  </si>
  <si>
    <t>Land</t>
  </si>
  <si>
    <t>Buildings</t>
  </si>
  <si>
    <t>Transformer Station Equipment &gt;50 kV</t>
  </si>
  <si>
    <t>Storage Battery Equipment</t>
  </si>
  <si>
    <t>Poles, Towers &amp; Fixtures</t>
  </si>
  <si>
    <t>Line Transformers</t>
  </si>
  <si>
    <t>Meters</t>
  </si>
  <si>
    <t>CEC</t>
  </si>
  <si>
    <t>Buildings &amp; Fixtures</t>
  </si>
  <si>
    <t>If directly connected to the IESO-controlled grid, SFLF = 1.0045.</t>
  </si>
  <si>
    <t>If fully embedded within a host distributor, SFLF = loss factor re losses in transformer at grid interface X loss factor re losses in host distributor's system.  If the host distributor is Hydro One Networks Inc., SFLF = 1.0060 X 1.0278 = 1.0340. If partially embedded, SFLF should be calculated as the weighted average of above.</t>
  </si>
  <si>
    <r>
      <t xml:space="preserve">If directly connected to the IESO-controlled grid, kWh pertains to the virtual meter on the primary or high voltage side of the transformer at the interface with the transmission grid.  This corresponds to the "With Losses" kWh value provided by the IESO's MV-WEB.  It is the </t>
    </r>
    <r>
      <rPr>
        <u/>
        <sz val="10"/>
        <rFont val="Arial"/>
        <family val="2"/>
      </rPr>
      <t>higher</t>
    </r>
    <r>
      <rPr>
        <sz val="10"/>
        <rFont val="Arial"/>
        <family val="2"/>
      </rPr>
      <t xml:space="preserve"> of the two values provided by MV-WEB.</t>
    </r>
  </si>
  <si>
    <r>
      <t xml:space="preserve">If fully embedded within a host distributor, kWh pertains to the virtual meter on the primary or high voltage side of the transformer, at the interface between the host distributor and the transmission grid.  For example, if the host distributor is Hydro One Networks Inc., kWh from the Hydro One Networks' invoice corresponding to "Total kWh w Losses" should be reported.  This corresponds to the </t>
    </r>
    <r>
      <rPr>
        <u/>
        <sz val="10"/>
        <rFont val="Arial"/>
        <family val="2"/>
      </rPr>
      <t>higher</t>
    </r>
    <r>
      <rPr>
        <sz val="10"/>
        <rFont val="Arial"/>
        <family val="2"/>
      </rPr>
      <t xml:space="preserve"> of the two kWh values provided in Hydro One Networks' invoice.</t>
    </r>
  </si>
  <si>
    <r>
      <t xml:space="preserve">If directly connected to the IESO-controlled grid, kWh pertains to a metering installation on the secondary or low voltage side of the transformer at the interface with the transmission grid.  This corresponds to the "Without Losses" kWh value provided by the IESO's MV-WEB.  It is the </t>
    </r>
    <r>
      <rPr>
        <u/>
        <sz val="10"/>
        <rFont val="Arial"/>
        <family val="2"/>
      </rPr>
      <t>lower</t>
    </r>
    <r>
      <rPr>
        <sz val="10"/>
        <rFont val="Arial"/>
        <family val="2"/>
      </rPr>
      <t xml:space="preserve"> of the two kWh values provided by MV-WEB.</t>
    </r>
  </si>
  <si>
    <r>
      <t xml:space="preserve">Additionally, kWh pertaining to distributed generation directly connected to the distributor's own distribution network should be included in </t>
    </r>
    <r>
      <rPr>
        <b/>
        <sz val="10"/>
        <rFont val="Arial"/>
        <family val="2"/>
      </rPr>
      <t>A(2)</t>
    </r>
    <r>
      <rPr>
        <sz val="10"/>
        <rFont val="Arial"/>
        <family val="2"/>
      </rPr>
      <t>.</t>
    </r>
  </si>
  <si>
    <r>
      <t xml:space="preserve">If a Large Use Customer is metered on the secondary or low voltage side of the transformer, the default loss is 1%                         (i.e., </t>
    </r>
    <r>
      <rPr>
        <b/>
        <sz val="10"/>
        <rFont val="Arial"/>
        <family val="2"/>
      </rPr>
      <t>B</t>
    </r>
    <r>
      <rPr>
        <sz val="10"/>
        <rFont val="Arial"/>
        <family val="2"/>
      </rPr>
      <t xml:space="preserve"> = 1.01 X </t>
    </r>
    <r>
      <rPr>
        <b/>
        <sz val="10"/>
        <rFont val="Arial"/>
        <family val="2"/>
      </rPr>
      <t>E</t>
    </r>
    <r>
      <rPr>
        <sz val="10"/>
        <rFont val="Arial"/>
        <family val="2"/>
      </rPr>
      <t>).</t>
    </r>
  </si>
  <si>
    <r>
      <t>G</t>
    </r>
    <r>
      <rPr>
        <sz val="10"/>
        <rFont val="Arial"/>
        <family val="2"/>
      </rPr>
      <t xml:space="preserve"> and </t>
    </r>
    <r>
      <rPr>
        <b/>
        <sz val="10"/>
        <rFont val="Arial"/>
        <family val="2"/>
      </rPr>
      <t>I</t>
    </r>
  </si>
  <si>
    <t>Distributors that wish to propose a different SFLF should provide appropriate justification for any such proposal including supporting</t>
  </si>
  <si>
    <t>calculations and any other relevant material.</t>
  </si>
  <si>
    <t>Transportation Equipment</t>
  </si>
  <si>
    <t>Stores Equipment</t>
  </si>
  <si>
    <t>Tools, Shop &amp; Garage Equipment</t>
  </si>
  <si>
    <t>Measurement &amp; Testing Equipment</t>
  </si>
  <si>
    <t>Communications Equipment</t>
  </si>
  <si>
    <t>Load Management Controls Utility Premises</t>
  </si>
  <si>
    <t>System Supervisor Equipment</t>
  </si>
  <si>
    <t>Miscellaneous Fixed Assets</t>
  </si>
  <si>
    <t>Contributions &amp; Grants</t>
  </si>
  <si>
    <t>Total</t>
  </si>
  <si>
    <t>Transportation</t>
  </si>
  <si>
    <t>Net Depreciation</t>
  </si>
  <si>
    <t>Depreciation Rate</t>
  </si>
  <si>
    <t>Leasehold Improvements</t>
  </si>
  <si>
    <t>Net Book Value</t>
  </si>
  <si>
    <t>File Number:</t>
  </si>
  <si>
    <t>Exhibit:</t>
  </si>
  <si>
    <t>Tab:</t>
  </si>
  <si>
    <t>Schedule:</t>
  </si>
  <si>
    <t>Page:</t>
  </si>
  <si>
    <t>Date:</t>
  </si>
  <si>
    <t>Cost Rate</t>
  </si>
  <si>
    <t>(%)</t>
  </si>
  <si>
    <t>($)</t>
  </si>
  <si>
    <t>(1)</t>
  </si>
  <si>
    <t>Notes</t>
  </si>
  <si>
    <t>Last Rebasing Year</t>
  </si>
  <si>
    <t>Bridge Year</t>
  </si>
  <si>
    <t>Test Year</t>
  </si>
  <si>
    <t xml:space="preserve">Utility Name   </t>
  </si>
  <si>
    <t>Assigned EB Number</t>
  </si>
  <si>
    <t xml:space="preserve">Phone Number   </t>
  </si>
  <si>
    <t xml:space="preserve">Email Address   </t>
  </si>
  <si>
    <t>Algoma Power Inc.</t>
  </si>
  <si>
    <t>Atikokan Hydro Inc.</t>
  </si>
  <si>
    <t>Attawapiskat Power Corporation</t>
  </si>
  <si>
    <t>Brantford Power Inc.</t>
  </si>
  <si>
    <t>Burlington Hydro Inc.</t>
  </si>
  <si>
    <t>Centre Wellington Hydro Ltd.</t>
  </si>
  <si>
    <t>Chapleau Public Utilities Corporation</t>
  </si>
  <si>
    <t>Cooperative Hydro Embrun Inc.</t>
  </si>
  <si>
    <t>E.L.K. Energy Inc.</t>
  </si>
  <si>
    <t>Enersource Hydro Mississauga Inc.</t>
  </si>
  <si>
    <t>Entegrus Powerlines Inc.</t>
  </si>
  <si>
    <t>ENWIN Utilities Ltd.</t>
  </si>
  <si>
    <t>Espanola Regional Hydro Distribution Corporation</t>
  </si>
  <si>
    <t>Essex Powerlines Corporation</t>
  </si>
  <si>
    <t>Festival Hydro Inc.</t>
  </si>
  <si>
    <t>Fort Albany Power Corporation</t>
  </si>
  <si>
    <t>Fort Frances Power Corporation</t>
  </si>
  <si>
    <t>Greater Sudbury Hydro Inc.</t>
  </si>
  <si>
    <t>Grimsby Power Inc.</t>
  </si>
  <si>
    <t>Guelph Hydro Electric Systems Inc.</t>
  </si>
  <si>
    <t>Haldimand County Hydro Inc.</t>
  </si>
  <si>
    <t>Halton Hills Hydro Inc.</t>
  </si>
  <si>
    <t>Horizon Utilities Corporation</t>
  </si>
  <si>
    <t>Hydro 2000 Inc.</t>
  </si>
  <si>
    <t>Hydro Hawkesbury Inc.</t>
  </si>
  <si>
    <t>Hydro One Brampton Networks Inc.</t>
  </si>
  <si>
    <t>Hydro One Networks Inc.</t>
  </si>
  <si>
    <t>Hydro One Remote Communities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</si>
  <si>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</si>
  <si>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</si>
  <si>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</si>
  <si>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</si>
  <si>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</si>
  <si>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</si>
  <si>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</si>
  <si>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</si>
  <si>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</si>
  <si>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</si>
  <si>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</si>
  <si>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</si>
  <si>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</si>
  <si>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</si>
  <si>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Orangeville Hydro Limited</t>
  </si>
  <si>
    <t>Oshawa PUC Networks Inc.</t>
  </si>
  <si>
    <t>Ottawa River Power Corporation</t>
  </si>
  <si>
    <t>PowerStream Inc.</t>
  </si>
  <si>
    <t>PUC Distribution Inc.</t>
  </si>
  <si>
    <t>Renfrew Hydro Inc.</t>
  </si>
  <si>
    <t>Rideau St. Lawrence Distribution Inc.</t>
  </si>
  <si>
    <t>St. Thomas Energy Inc.</t>
  </si>
  <si>
    <t>Sioux Lookout Hydro Inc.</t>
  </si>
  <si>
    <t>Tillsonburg Hydro Inc.</t>
  </si>
  <si>
    <t>Toronto Hydro-Electric System Limited</t>
  </si>
  <si>
    <t>Veridian Connections Inc.</t>
  </si>
  <si>
    <t>Wasaga Distribution Inc.</t>
  </si>
  <si>
    <t>Waterloo North Hydro Inc.</t>
  </si>
  <si>
    <t>Wellington North Power Inc.</t>
  </si>
  <si>
    <t>West Coast Huron Energy Inc.</t>
  </si>
  <si>
    <t>Westario Power Inc.</t>
  </si>
  <si>
    <t>Whitby Hydro Electric Corporation</t>
  </si>
  <si>
    <t>Woodstock Hydro Services Inc.</t>
  </si>
  <si>
    <t>Pale blue cells represent drop-down lists.  The applicant should select the appropriate item from the drop-down list.</t>
  </si>
  <si>
    <t>Computer Software (Formally known as Account 1925)</t>
  </si>
  <si>
    <t>(m) = (h) - (l)</t>
  </si>
  <si>
    <r>
      <t xml:space="preserve">Average Remaining Life of Opening NBV </t>
    </r>
    <r>
      <rPr>
        <b/>
        <vertAlign val="superscript"/>
        <sz val="10"/>
        <rFont val="Arial"/>
        <family val="2"/>
      </rPr>
      <t>4</t>
    </r>
  </si>
  <si>
    <r>
      <t xml:space="preserve">Years (new additions only) </t>
    </r>
    <r>
      <rPr>
        <b/>
        <vertAlign val="superscript"/>
        <sz val="10"/>
        <rFont val="Arial"/>
        <family val="2"/>
      </rPr>
      <t>3</t>
    </r>
  </si>
  <si>
    <t>Depreciation Rate on New Additions</t>
  </si>
  <si>
    <t>Depreciation Expense on Opening NBV</t>
  </si>
  <si>
    <r>
      <t xml:space="preserve">Depreciation Expense on Additions </t>
    </r>
    <r>
      <rPr>
        <b/>
        <vertAlign val="superscript"/>
        <sz val="10"/>
        <rFont val="Arial"/>
        <family val="2"/>
      </rPr>
      <t>1</t>
    </r>
  </si>
  <si>
    <r>
      <t xml:space="preserve">Variance </t>
    </r>
    <r>
      <rPr>
        <b/>
        <vertAlign val="superscript"/>
        <sz val="10"/>
        <rFont val="Arial"/>
        <family val="2"/>
      </rPr>
      <t>2</t>
    </r>
  </si>
  <si>
    <t>(i)</t>
  </si>
  <si>
    <t>(j) = (a) / (i)</t>
  </si>
  <si>
    <t xml:space="preserve">(h)=((d)*0.5)/(f) </t>
  </si>
  <si>
    <t>(k) = (j) + (h)</t>
  </si>
  <si>
    <t>(m) = (k) - (l)</t>
  </si>
  <si>
    <t xml:space="preserve">(n) = (d)/(f) </t>
  </si>
  <si>
    <t>Years (new additions only)</t>
  </si>
  <si>
    <t xml:space="preserve">(n)=((d))/(f) </t>
  </si>
  <si>
    <t>Directly</t>
  </si>
  <si>
    <t>Attributable?</t>
  </si>
  <si>
    <t>employee benefits</t>
  </si>
  <si>
    <t>costs of site preparation</t>
  </si>
  <si>
    <t>initial delivery and handling costs</t>
  </si>
  <si>
    <t>costs of testing whether the asset is functioning properly</t>
  </si>
  <si>
    <t>professional fees</t>
  </si>
  <si>
    <t>costs of opening a new facility</t>
  </si>
  <si>
    <t>costs of introducing a new product or service (including costs of advertising and promotional activities)</t>
  </si>
  <si>
    <t>costs of conducting business in a new location or with a new class of customer (including costs of staff training)</t>
  </si>
  <si>
    <t>administration and other general overhead costs</t>
  </si>
  <si>
    <t>One-Time Incremental IFRS Transition Costs</t>
  </si>
  <si>
    <t>The following table should be completed based on the information requested below. An explanation should be provided for any blank entries.  The entries should include one-time incremental IFRS transition costs that are currently included in Account 1508, Other Regulatory Assets, sub-account Deferred IFRS Transition Costs Account, or Account 1508, Other Regulatory Assets, sub-account IFRS Transition Costs Variance Account.</t>
  </si>
  <si>
    <r>
      <t xml:space="preserve">Nature of One-Time Incremental IFRS Transition Costs </t>
    </r>
    <r>
      <rPr>
        <b/>
        <vertAlign val="superscript"/>
        <sz val="10"/>
        <rFont val="Arial"/>
        <family val="2"/>
      </rPr>
      <t>1</t>
    </r>
  </si>
  <si>
    <t>Reasons why the costs recorded meet the criteria of one-time IFRS administrative incremental costs</t>
  </si>
  <si>
    <t>The Deferred IFRS Transition Costs Account and the IFRS Transition Costs Variance Account are exclusively for necessary, incremental transition costs and shall not include ongoing IFRS compliance costs or impacts arising from adopting accounting policy changes that reflect changes in the timing of the recognition of income. The incremental costs in these accounts shall not include costs related to system upgrades, or replacements or changes where IFRS was not the major reason for conversion. In addition, incremental IFRS costs shall not include capital assets or expenditures.</t>
  </si>
  <si>
    <t>Actual</t>
  </si>
  <si>
    <t>PP&amp;E Values under CGAAP</t>
  </si>
  <si>
    <t xml:space="preserve">            Opening net PP&amp;E - Note 1</t>
  </si>
  <si>
    <t xml:space="preserve">            Closing net PP&amp;E (1)</t>
  </si>
  <si>
    <t xml:space="preserve">            Opening net PP&amp;E  - Note 1</t>
  </si>
  <si>
    <t xml:space="preserve">            Closing net PP&amp;E (2)</t>
  </si>
  <si>
    <t>Account 1575 - IFRS-CGAAP Transitional PP&amp;E Amounts</t>
  </si>
  <si>
    <t>WACC</t>
  </si>
  <si>
    <t xml:space="preserve">     * Please note that the calculation should be adjusted once WACC is updated and finalized in the rate application.</t>
  </si>
  <si>
    <r>
      <rPr>
        <b/>
        <sz val="10"/>
        <rFont val="Arial"/>
        <family val="2"/>
      </rPr>
      <t>Less:</t>
    </r>
    <r>
      <rPr>
        <sz val="10"/>
        <rFont val="Arial"/>
        <family val="2"/>
      </rPr>
      <t xml:space="preserve"> </t>
    </r>
    <r>
      <rPr>
        <i/>
        <sz val="10"/>
        <rFont val="Arial"/>
        <family val="2"/>
      </rPr>
      <t>Fully Allocated Depreciation</t>
    </r>
  </si>
  <si>
    <t>General</t>
  </si>
  <si>
    <t>Board policy of the "half-year" rule - the applicant must ensure that additions in the year attract a half-year depreciation expense in the first year.  Deviations from this standard practice must be supported in the application.</t>
  </si>
  <si>
    <r>
      <t xml:space="preserve"> </t>
    </r>
    <r>
      <rPr>
        <sz val="10"/>
        <rFont val="Arial"/>
        <family val="2"/>
      </rPr>
      <t>NBV must exclude assets still on the books but which have been fully amortized or depreciated.</t>
    </r>
  </si>
  <si>
    <t>Overhead Expense</t>
  </si>
  <si>
    <t>Appendix 2-H</t>
  </si>
  <si>
    <t>SubTotal</t>
  </si>
  <si>
    <t>%Change (year over year)</t>
  </si>
  <si>
    <t>%Change (Test Year vs 
Last Rebasing Year - Actual)</t>
  </si>
  <si>
    <t xml:space="preserve">Maintenance </t>
  </si>
  <si>
    <t xml:space="preserve">Billing and Collecting </t>
  </si>
  <si>
    <t xml:space="preserve">Community Relations </t>
  </si>
  <si>
    <t xml:space="preserve">Administrative and General </t>
  </si>
  <si>
    <t xml:space="preserve">Variance from previous year </t>
  </si>
  <si>
    <t xml:space="preserve">Percent change (year over year) </t>
  </si>
  <si>
    <t xml:space="preserve">Percent Change:                                                    Test year vs. Most Current Actual </t>
  </si>
  <si>
    <t>1     "BA" = Board-Approved</t>
  </si>
  <si>
    <t>2     If it has been more than three years since the applicant last filed a cost of service application, additional years of historical actuals should be incorporated into the table, as necessary, to go back to the last cost of service application.  If the applicant last filed a cost of service application less than three years ago, a minimum of three years of actual information is required.</t>
  </si>
  <si>
    <t>Appendix 2-R</t>
  </si>
  <si>
    <t>LV Line category # 2 (if applcable)</t>
  </si>
  <si>
    <t>Land Rights (Formally known as Account 1906)</t>
  </si>
  <si>
    <t>Index</t>
  </si>
  <si>
    <t>LDC Information Sheet</t>
  </si>
  <si>
    <t>Lender</t>
  </si>
  <si>
    <t>Affiliated or Third-Party Debt?</t>
  </si>
  <si>
    <t>Fixed or Variable-Rate?</t>
  </si>
  <si>
    <t>Start Date</t>
  </si>
  <si>
    <t>Add more lines above row 12 if necessary.</t>
  </si>
  <si>
    <t>Debt Instruments</t>
  </si>
  <si>
    <t>Row</t>
  </si>
  <si>
    <t>Principal                         ($)</t>
  </si>
  <si>
    <t>Term              (years)</t>
  </si>
  <si>
    <t>kWh corresponding to D should equal metered or estimated kWh at the customer’s delivery point.</t>
  </si>
  <si>
    <t>Compound Annual Growth Rate for all years</t>
  </si>
  <si>
    <t xml:space="preserve">Embedded Distributor(s)' Responsibility Share </t>
  </si>
  <si>
    <t>Opening Balance for "Last Rebasing Year" (cell B15) should be equal to the Board-Approved amount.</t>
  </si>
  <si>
    <t>Capital Structure and Cost of Capital</t>
  </si>
  <si>
    <t>Line No.</t>
  </si>
  <si>
    <t>Particulars</t>
  </si>
  <si>
    <t>Capitalization Ratio</t>
  </si>
  <si>
    <t>Return</t>
  </si>
  <si>
    <t>Debt</t>
  </si>
  <si>
    <t xml:space="preserve">  Long-term Debt</t>
  </si>
  <si>
    <t xml:space="preserve">  Short-term Debt</t>
  </si>
  <si>
    <t>Total Debt</t>
  </si>
  <si>
    <t>Equity</t>
  </si>
  <si>
    <t xml:space="preserve">  Common Equity</t>
  </si>
  <si>
    <t xml:space="preserve">  Preferred Shares</t>
  </si>
  <si>
    <t>Total Equity</t>
  </si>
  <si>
    <t>4.0% unless an applicant has proposed or been approved for a different amount.</t>
  </si>
  <si>
    <t>Appendix 2-OB</t>
  </si>
  <si>
    <t>Appendix 2-OA</t>
  </si>
  <si>
    <t>Name of Contact and Title</t>
  </si>
  <si>
    <t xml:space="preserve">White cells contain fixed values, automatically generated values or formulae. </t>
  </si>
  <si>
    <t>Less Fully Depreciated</t>
  </si>
  <si>
    <t>Net for Depreciation</t>
  </si>
  <si>
    <t>(b)</t>
  </si>
  <si>
    <t>(c)</t>
  </si>
  <si>
    <t>(p) = (j) + (n) - (o)</t>
  </si>
  <si>
    <t>This column refers to the calculated full year depreciation but excludes the depreciation expense on assets fully depreciated during the year.  This column is used for the purpose of calculating depreciation expense in the following year on the next worksheet.</t>
  </si>
  <si>
    <t>1   Please provide a breakdown of the major components of each capital project undertaken in each year.  Please ensure that all projects below the materiality threshold are included in the miscellaneous line.  Add more projects as required.</t>
  </si>
  <si>
    <t>Total in Year</t>
  </si>
  <si>
    <t>Net-to-Gross Conversion</t>
  </si>
  <si>
    <t>Weight Factor for each year's CDM program impact on 2014 load forecast</t>
  </si>
  <si>
    <t xml:space="preserve">Default Value selection rationale.  </t>
  </si>
  <si>
    <t>Identify the accounting standard used for the test year</t>
  </si>
  <si>
    <t>Are you applying for cost recovery for the test and/or future year(s) for Green Energy initiatives?</t>
  </si>
  <si>
    <t>Appendix 2-BA</t>
  </si>
  <si>
    <t>TUL</t>
  </si>
  <si>
    <t>Current</t>
  </si>
  <si>
    <t>"Gross"</t>
  </si>
  <si>
    <t>"Net"</t>
  </si>
  <si>
    <t>"Net-to-Gross" Conversion Factor</t>
  </si>
  <si>
    <t>('g')</t>
  </si>
  <si>
    <t>2006-2010 CDM programs</t>
  </si>
  <si>
    <t>2011 CDM program</t>
  </si>
  <si>
    <t>2012 CDM program</t>
  </si>
  <si>
    <t>Proposed Loss Factor (TLF)</t>
  </si>
  <si>
    <t xml:space="preserve"> Format: X.XX%</t>
  </si>
  <si>
    <t>Load Management Controls Customer Premises</t>
  </si>
  <si>
    <t>Other Tangible Property</t>
  </si>
  <si>
    <t>Total PP&amp;E</t>
  </si>
  <si>
    <t>Appendix 2-BB</t>
  </si>
  <si>
    <t>Service Life Comparison</t>
  </si>
  <si>
    <t>Depreciation exp. adj. from gain or loss on the retirement of assets (pool of like assets)</t>
  </si>
  <si>
    <t xml:space="preserve">SAIDI </t>
  </si>
  <si>
    <t>SAIFI</t>
  </si>
  <si>
    <t>SAIDI = System Average Interruption Duration Index</t>
  </si>
  <si>
    <t xml:space="preserve">SAIFI = System Average Interruption Frequency Index </t>
  </si>
  <si>
    <t>Appendix 2-FA</t>
  </si>
  <si>
    <t>Account 1576 - Accounting Changes under CGAAP</t>
  </si>
  <si>
    <t>2012 Changes in Accounting Policies under CGAAP</t>
  </si>
  <si>
    <t>PP&amp;E Values under former CGAAP</t>
  </si>
  <si>
    <t>PP&amp;E Values under revised CGAAP (Starts from 2012)</t>
  </si>
  <si>
    <t xml:space="preserve">1  For an applicant that made the capitalization and depreciation expense accounting policy changes on January 1, 2012, the PP&amp;E values as of January 1, 2012 under both former CGAAP and revised CGAAP should be the same. </t>
  </si>
  <si>
    <t>2013 Changes in Accounting Policies under CGAAP</t>
  </si>
  <si>
    <t xml:space="preserve">1  For an applicant that made the capitalization and depreciation expense accounting policy changes on January 1, 2013, the PP&amp;E values as of January 1, 2013 under both former CGAAP and revised CGAAP should be the same. </t>
  </si>
  <si>
    <t>General Instructions to MIFRS Appendices</t>
  </si>
  <si>
    <t>Types of Schedules to File</t>
  </si>
  <si>
    <t>Regulatory Gross Assets of Property, Plant and Equipment</t>
  </si>
  <si>
    <t>If there were any amounts approved in previous Board approved rates, please state the EB #:</t>
  </si>
  <si>
    <t>Summary of Impacts to Revenue Requirement</t>
  </si>
  <si>
    <t>from Transition to MIFRS</t>
  </si>
  <si>
    <t>Revenue Requirement Component</t>
  </si>
  <si>
    <t xml:space="preserve">Reasons why the revenue requirement </t>
  </si>
  <si>
    <t>Average NBV</t>
  </si>
  <si>
    <t>Working Capital</t>
  </si>
  <si>
    <t>Rate Base</t>
  </si>
  <si>
    <t>Return on Rate Base</t>
  </si>
  <si>
    <t>Depreciation</t>
  </si>
  <si>
    <t>PILs or Income Taxes</t>
  </si>
  <si>
    <t>Less: Revenue Offsets</t>
  </si>
  <si>
    <t>Total Base Revenue Requirement</t>
  </si>
  <si>
    <t>Load Management Controls - Customer Premises</t>
  </si>
  <si>
    <t>The applicant should ensure that the years for new additions of assets are the asset useful lives determined by management in accordance with the Board's regulatory accounting policies.   The capitalization and depreciation expense accounting changes should be implemented consistent with the Board’s regulatory accounting policies as set out for modified IFRS as contained in the Report of the Board, Transition to International Financial Reporting Standards, EB-2008-0408, the Kinectrics Report, and the Revised 2012 Accounting Procedures Handbook for Electricity Distributors (“APH”).</t>
  </si>
  <si>
    <t>LDC Info</t>
  </si>
  <si>
    <t>Appendix 2-BB Service Life Comp</t>
  </si>
  <si>
    <t>Instruction for App. 2-C MIFRS</t>
  </si>
  <si>
    <t>App.2-CA_CGAAP_DepExp_2011</t>
  </si>
  <si>
    <t>App.2-CB_MIFRS_DepExp_2011</t>
  </si>
  <si>
    <t>App.2-CC_MIFRS_DepExp_2012</t>
  </si>
  <si>
    <t>App.2-CD_MIFRS_DepExp_2013</t>
  </si>
  <si>
    <t>App.2-CE_MIFRS_DepExp_2014</t>
  </si>
  <si>
    <t>App.2-CF_CGAAP_DepExp_2012</t>
  </si>
  <si>
    <t>App.2-CG_MIFRS_DepExp_2012</t>
  </si>
  <si>
    <t>App.2-CH_MIFRS_DepExp_2013</t>
  </si>
  <si>
    <t>App.2-CI_MIFRS_DepExp_2014</t>
  </si>
  <si>
    <t>App.2-CJ_CGAAP_DepExp_2012</t>
  </si>
  <si>
    <t>App.2-CK_CGAAP_DepExp_2013</t>
  </si>
  <si>
    <t>App.2-CL_MIFRS_DepExp_2013</t>
  </si>
  <si>
    <t>App.2-CM_MIFRS_DepExp_2014</t>
  </si>
  <si>
    <t>Instruction for App. 2-C CGAAP</t>
  </si>
  <si>
    <t>App.2-CN_OldCGAAP_DepExp_2012</t>
  </si>
  <si>
    <t>App.2-CO_NewCGAAP_DepExp_2012</t>
  </si>
  <si>
    <t>App.2-CP_NewCGAAP_DepExp_2013</t>
  </si>
  <si>
    <t>App.2-CQ NewCGAAP_DepExp_2014</t>
  </si>
  <si>
    <t>App.2-CR_OldCGAAP_DepExp_2012</t>
  </si>
  <si>
    <t>App.2-CS_OldCGAAP_DepExp_2013</t>
  </si>
  <si>
    <t>App.2-CT_NewCGAAP_DepExp_2013</t>
  </si>
  <si>
    <t>App.2-CU_NewCGAAP_DepExp_2014</t>
  </si>
  <si>
    <t>App.2-DA_Overhead</t>
  </si>
  <si>
    <t>App.2-DB_Overhead</t>
  </si>
  <si>
    <t>App.2-EA_PP&amp;E Deferral Account</t>
  </si>
  <si>
    <t>App.2-EB_PP&amp;E Deferral Account</t>
  </si>
  <si>
    <t>App.2-EC_PP&amp;E Deferral Account</t>
  </si>
  <si>
    <t>App.2-ED_Account 1576 (2012)</t>
  </si>
  <si>
    <t>App.2-EE_Account 1576 (2013)</t>
  </si>
  <si>
    <t>App.2-FA Proposed REG Invest.</t>
  </si>
  <si>
    <t>App.2-G SQI</t>
  </si>
  <si>
    <t>App.2-H_Other_Oper_Rev</t>
  </si>
  <si>
    <t>App.2-I LF_CDM_WF</t>
  </si>
  <si>
    <t>App.2-K_Employee Costs</t>
  </si>
  <si>
    <t>App.2-L_OM&amp;A_per_Cust_FTEE</t>
  </si>
  <si>
    <t>App.2-M_Regulatory_Costs</t>
  </si>
  <si>
    <t>App.2-N_Corp_Cost_Allocation</t>
  </si>
  <si>
    <t>App.2-OA Capital Structure</t>
  </si>
  <si>
    <t>App.2-OB_Debt Instruments</t>
  </si>
  <si>
    <t>App.2-P_Cost_Allocation</t>
  </si>
  <si>
    <t>App.2-Q_Cost of Serv. Emb. Dx</t>
  </si>
  <si>
    <t>App.2-R_Loss Factors</t>
  </si>
  <si>
    <t>App.2-S_Stranded Meters</t>
  </si>
  <si>
    <t>App.2-TA_1592_Tax_Variance</t>
  </si>
  <si>
    <t>App.2-TB_1592_HST-OVAT</t>
  </si>
  <si>
    <t>App.2-U_IFRS Transition Costs</t>
  </si>
  <si>
    <t>App.2-V_Rev_Reconciliation</t>
  </si>
  <si>
    <t>App.2-W_Bill Impacts</t>
  </si>
  <si>
    <t>App.2-YA_MIFRS Summary Impacts</t>
  </si>
  <si>
    <t>App. 2-YB_CGAAP Summary Impacts</t>
  </si>
  <si>
    <t>Sheet19</t>
  </si>
  <si>
    <t>x</t>
  </si>
  <si>
    <t>o</t>
  </si>
  <si>
    <t>n</t>
  </si>
  <si>
    <t>USGAAP</t>
  </si>
  <si>
    <t>App.2-CV_USGAAP_DepExp</t>
  </si>
  <si>
    <r>
      <t xml:space="preserve">Less Other Non Rate-Regulated Utility Assets </t>
    </r>
    <r>
      <rPr>
        <b/>
        <i/>
        <sz val="9"/>
        <rFont val="Arial"/>
        <family val="2"/>
      </rPr>
      <t>(input as negative)</t>
    </r>
  </si>
  <si>
    <r>
      <t xml:space="preserve">Less Socialized Renewable Energy Generation Investments </t>
    </r>
    <r>
      <rPr>
        <b/>
        <sz val="9"/>
        <rFont val="Arial"/>
        <family val="2"/>
      </rPr>
      <t>(input as negative)</t>
    </r>
  </si>
  <si>
    <t xml:space="preserve">Total Recoverable OM&amp;A Expenses </t>
  </si>
  <si>
    <t>3     Recoverable OM&amp;A that is included on these tables should be identical to the recoverable OM&amp;A that is shown for the corresponding periods on Appendix 2-JB.</t>
  </si>
  <si>
    <t>For purposes of assessing incremental cost drivers, the closing balance for each year becomes the opening balance for the next year.</t>
  </si>
  <si>
    <t>Customers/FTEs</t>
  </si>
  <si>
    <t>The method of calculating the number of FTEs must be identified.  See also Appendix 2-K</t>
  </si>
  <si>
    <t>The number of customers and the number of FTEs should correspond to mid-year or average of January 1 and December 31 figures.</t>
  </si>
  <si>
    <t>Recoverable OM&amp;A Cost Driver Table</t>
  </si>
  <si>
    <r>
      <t xml:space="preserve">Please fill out the following table for all </t>
    </r>
    <r>
      <rPr>
        <b/>
        <u/>
        <sz val="10"/>
        <rFont val="Arial"/>
        <family val="2"/>
      </rPr>
      <t>one-time</t>
    </r>
    <r>
      <rPr>
        <b/>
        <sz val="10"/>
        <rFont val="Arial"/>
        <family val="2"/>
      </rPr>
      <t xml:space="preserve"> costs related to this cost of service application to be amortized over the test year plus the IRM period.</t>
    </r>
  </si>
  <si>
    <t>Incremental operating expenses associated with staff resources allocated to this application.</t>
  </si>
  <si>
    <r>
      <t xml:space="preserve">Incremental operating expenses associated with other resources allocated to this application. </t>
    </r>
    <r>
      <rPr>
        <vertAlign val="superscript"/>
        <sz val="10"/>
        <rFont val="Arial"/>
        <family val="2"/>
      </rPr>
      <t>1</t>
    </r>
  </si>
  <si>
    <t>Consultants' costs</t>
  </si>
  <si>
    <t>Expert Witness costs</t>
  </si>
  <si>
    <t>Legal costs</t>
  </si>
  <si>
    <t>Pricing Methodology</t>
  </si>
  <si>
    <t>Services such as billing, accounting, payroll, etc.  The applicant must identify any costs related to the Board of Directors of the parent company that are allocated to the applicant.</t>
  </si>
  <si>
    <t>Pricing Methodology includes approaches such as cost-base, market-base, tendering, etc.  The applicant must provide evidence demonstrating the pricing methodology used.  The applicant must also provide a description of why that pricing methodology was chosen, whether or not it is in conformity with ARC, and why it is appropriate.</t>
  </si>
  <si>
    <t>The applicant must provide the percentage of the costs allocated to the entity for the service being offered.  The Applicant must also provide a description of the allocator and why it is an appropriate allocator.</t>
  </si>
  <si>
    <t>Additional Comments, if any</t>
  </si>
  <si>
    <t>This table must be completed for all required historical years, the bridge year and the test year.</t>
  </si>
  <si>
    <r>
      <t>Scenario B:</t>
    </r>
    <r>
      <rPr>
        <i/>
        <sz val="10"/>
        <rFont val="Arial"/>
        <family val="2"/>
      </rPr>
      <t xml:space="preserve">  If the stranded meter costs remained recorded in Account 1860, the above table should be completed and the following information should be provided in Exhibit 9:</t>
    </r>
  </si>
  <si>
    <r>
      <t>Scenario A:</t>
    </r>
    <r>
      <rPr>
        <i/>
        <sz val="10"/>
        <rFont val="Arial"/>
        <family val="2"/>
      </rPr>
      <t xml:space="preserve">  If the stranded meter costs were transferred to "Sub-account Stranded Meter Costs" of Account 1555, the above table should be completed and the following information should be provided in Exhibit 9.</t>
    </r>
  </si>
  <si>
    <t>COS Flowchart</t>
  </si>
  <si>
    <t>List of Key References</t>
  </si>
  <si>
    <t>App. 2-Z_Tariff</t>
  </si>
  <si>
    <t>Is CDM adjustment being done on a "net" or "gross" basis?</t>
  </si>
  <si>
    <t>net</t>
  </si>
  <si>
    <r>
      <t xml:space="preserve">If fully embedded with the host distributor, kWh pertains to a metering installation on the secondary or low voltage side of the transformer at the interface between the embedded distributor and the host distributor.  For example, if the host distributor is Hydro One Networks Inc., kWh from the Hydro One Networks' invoice corresponding to "Total kWh" should be reported.  This corresponds to the </t>
    </r>
    <r>
      <rPr>
        <u/>
        <sz val="10"/>
        <rFont val="Arial"/>
        <family val="2"/>
      </rPr>
      <t>lower</t>
    </r>
    <r>
      <rPr>
        <sz val="10"/>
        <rFont val="Arial"/>
        <family val="2"/>
      </rPr>
      <t xml:space="preserve"> of the two kWh values provided in Hydro One Networks' invoice.</t>
    </r>
  </si>
  <si>
    <r>
      <t xml:space="preserve">·         </t>
    </r>
    <r>
      <rPr>
        <b/>
        <i/>
        <sz val="10"/>
        <rFont val="Arial"/>
        <family val="2"/>
      </rPr>
      <t>Type of Service:</t>
    </r>
  </si>
  <si>
    <r>
      <t xml:space="preserve">·         </t>
    </r>
    <r>
      <rPr>
        <b/>
        <i/>
        <sz val="10"/>
        <rFont val="Arial"/>
        <family val="2"/>
      </rPr>
      <t>Pricing Methodology:</t>
    </r>
  </si>
  <si>
    <r>
      <t xml:space="preserve">·         </t>
    </r>
    <r>
      <rPr>
        <b/>
        <i/>
        <sz val="10"/>
        <rFont val="Arial"/>
        <family val="2"/>
      </rPr>
      <t>% Allocation:</t>
    </r>
  </si>
  <si>
    <t>This appendix must be completed in relation to each service provided or received for the Historical (actuals), Bridge and Test years. The required information includes:</t>
  </si>
  <si>
    <t>Appendix 2-JC</t>
  </si>
  <si>
    <t>Cost of Service Application Flowchart</t>
  </si>
  <si>
    <t>Appendix 2-BB: Service Life Comparison</t>
  </si>
  <si>
    <t>Adjustments for Total non-recoverable items (from Appendices 2-JA and 2-JB)</t>
  </si>
  <si>
    <t xml:space="preserve">Total OM&amp;A Expenses </t>
  </si>
  <si>
    <t>5 Year Historical Average</t>
  </si>
  <si>
    <t>All costs entered on this page will be transferred to the appropriate cells in the appendices that follow.</t>
  </si>
  <si>
    <t>Part A</t>
  </si>
  <si>
    <t>REI Investments (Direct Benefit at 6%)</t>
  </si>
  <si>
    <t>Project 1</t>
  </si>
  <si>
    <t>Capital Costs</t>
  </si>
  <si>
    <t>OM&amp;A (Start-Up)</t>
  </si>
  <si>
    <t>OM&amp;A (Ongoing)</t>
  </si>
  <si>
    <t>Project 2</t>
  </si>
  <si>
    <t>Project 3</t>
  </si>
  <si>
    <t>Project 4</t>
  </si>
  <si>
    <t>Project 5</t>
  </si>
  <si>
    <t>Part B</t>
  </si>
  <si>
    <t>Expansion Investments (Direct Benefit at 17%)</t>
  </si>
  <si>
    <r>
      <rPr>
        <b/>
        <sz val="10"/>
        <rFont val="Arial"/>
        <family val="2"/>
      </rPr>
      <t>For Part A</t>
    </r>
    <r>
      <rPr>
        <sz val="10"/>
        <rFont val="Arial"/>
        <family val="2"/>
      </rPr>
      <t>, Renewable Enabling Improvements (REI), these amounts will be transferred to Appendix 2 - FB</t>
    </r>
  </si>
  <si>
    <r>
      <rPr>
        <b/>
        <sz val="10"/>
        <rFont val="Arial"/>
        <family val="2"/>
      </rPr>
      <t>For Part B</t>
    </r>
    <r>
      <rPr>
        <sz val="10"/>
        <rFont val="Arial"/>
        <family val="2"/>
      </rPr>
      <t>, Expansions, these amounts will be transferred to Appendix 2 - FC</t>
    </r>
  </si>
  <si>
    <t>Appendix 2-FB</t>
  </si>
  <si>
    <t>Calculation of Renewable Generation Connection Direct Benefits/Provincial Amount: Renewable Enabling Improvement Investments</t>
  </si>
  <si>
    <t>This table will calculate the distributor/provincial shares of the investments entered in Part A of Appendix 2-FA.</t>
  </si>
  <si>
    <t>Enter values in green shaded cells: WCA percentage, debt percentages, interest rates, kWh, tax rates, amortization period, CCA Class and percentage.</t>
  </si>
  <si>
    <t>Direct Benefit</t>
  </si>
  <si>
    <t>Provincial</t>
  </si>
  <si>
    <t>Net Fixed Assets (average)</t>
  </si>
  <si>
    <t>Incremental OM&amp;A (start-up, applicable for Provincial Recovery)</t>
  </si>
  <si>
    <t>WCA</t>
  </si>
  <si>
    <t>Deemed ST Debt</t>
  </si>
  <si>
    <t>Deemed LT Debt</t>
  </si>
  <si>
    <t>Deemed Equity</t>
  </si>
  <si>
    <t>ST Interest</t>
  </si>
  <si>
    <t>LT Interest</t>
  </si>
  <si>
    <t>ROE</t>
  </si>
  <si>
    <t>Cost of Capital Total</t>
  </si>
  <si>
    <t>Amortization</t>
  </si>
  <si>
    <t>Grossed-up PILs</t>
  </si>
  <si>
    <t>Revenue Requirement</t>
  </si>
  <si>
    <t>Provincial Rate Protection</t>
  </si>
  <si>
    <t>PILs Calculation</t>
  </si>
  <si>
    <t>Income Tax</t>
  </si>
  <si>
    <t>Net Income - ROE on Rate Base</t>
  </si>
  <si>
    <r>
      <t>Amortization</t>
    </r>
    <r>
      <rPr>
        <i/>
        <sz val="10"/>
        <rFont val="Arial"/>
        <family val="2"/>
      </rPr>
      <t xml:space="preserve"> </t>
    </r>
    <r>
      <rPr>
        <sz val="10"/>
        <rFont val="Arial"/>
        <family val="2"/>
      </rPr>
      <t>(6% DB and 94% P)</t>
    </r>
  </si>
  <si>
    <t>CCA (6% DB and 94% P)</t>
  </si>
  <si>
    <t>Taxable income</t>
  </si>
  <si>
    <t>Tax Rate  (to be entered)</t>
  </si>
  <si>
    <t>Income Taxes Payable</t>
  </si>
  <si>
    <t>Gross Up</t>
  </si>
  <si>
    <t>Grossed Up PILs</t>
  </si>
  <si>
    <t>Net Fixed Assets</t>
  </si>
  <si>
    <t>Enter applicable amortization in years:</t>
  </si>
  <si>
    <t>Opening Gross Fixed Assets</t>
  </si>
  <si>
    <t>Gross Capital Additions</t>
  </si>
  <si>
    <t>Closing Gross Fixed Assets</t>
  </si>
  <si>
    <t>Opening Accumulated Amortization</t>
  </si>
  <si>
    <t>Current Year Amortization (before additions)</t>
  </si>
  <si>
    <t>Additions (half year)</t>
  </si>
  <si>
    <t>Closing Accumulated Amortization</t>
  </si>
  <si>
    <t>Opening Net Fixed Assets</t>
  </si>
  <si>
    <t>Closing Net Fixed Assets</t>
  </si>
  <si>
    <t>Average Net Fixed Assets</t>
  </si>
  <si>
    <t>UCC for PILs Calculation</t>
  </si>
  <si>
    <t>Opening UCC</t>
  </si>
  <si>
    <t>Capital Additions (from Appendix 2-FA)</t>
  </si>
  <si>
    <t>UCC Before Half Year Rule</t>
  </si>
  <si>
    <t>Half Year Rule (1/2 Additions - Disposals)</t>
  </si>
  <si>
    <t>Reduced UCC</t>
  </si>
  <si>
    <t>CCA Rate Class (to be entered)</t>
  </si>
  <si>
    <t>CCA Rate  (to be entered)</t>
  </si>
  <si>
    <t>CCA</t>
  </si>
  <si>
    <t>Closing UCC</t>
  </si>
  <si>
    <t>Incremental OM&amp;A (on-going, N/A for Provincial Recovery)</t>
  </si>
  <si>
    <t>Appendix 2-FC</t>
  </si>
  <si>
    <t>Calculation of Renewable Generation Connection Direct Benefits/Provincial Amount: Renewable Expansion Investments</t>
  </si>
  <si>
    <t>This table will calculate the distributor/provincial shares of the investments entered in Part B of Appendix 2-FA.</t>
  </si>
  <si>
    <t>Appendix 2-AA</t>
  </si>
  <si>
    <t>First year of Forecast Period:</t>
  </si>
  <si>
    <t>CATEGORY</t>
  </si>
  <si>
    <t>Plan</t>
  </si>
  <si>
    <t>Var</t>
  </si>
  <si>
    <t>$ '000</t>
  </si>
  <si>
    <t>System Access</t>
  </si>
  <si>
    <t>System Renewal</t>
  </si>
  <si>
    <t>System Service</t>
  </si>
  <si>
    <t>General Plant</t>
  </si>
  <si>
    <t>TOTAL EXPENDITURE</t>
  </si>
  <si>
    <t>System O&amp;M</t>
  </si>
  <si>
    <t>Notes to the Table:</t>
  </si>
  <si>
    <t>Explanatory Notes on Variances (complete only if applicable)</t>
  </si>
  <si>
    <t>Notes on year over year Plan vs. Actual variances for Total Expenditures</t>
  </si>
  <si>
    <t>Notes on Plan vs. Actual variance trends for individual expenditure categories</t>
  </si>
  <si>
    <t>Appendix 2-AB</t>
  </si>
  <si>
    <t>Table 2 - Capital Expenditure Summary from Chapter 5 Consolidated
Distribution System Plan Filing Requirements</t>
  </si>
  <si>
    <r>
      <t xml:space="preserve">Historical Period </t>
    </r>
    <r>
      <rPr>
        <sz val="10"/>
        <rFont val="Arial"/>
        <family val="2"/>
      </rPr>
      <t>(previous plan</t>
    </r>
    <r>
      <rPr>
        <vertAlign val="superscript"/>
        <sz val="10"/>
        <rFont val="Arial"/>
        <family val="2"/>
      </rPr>
      <t>1</t>
    </r>
    <r>
      <rPr>
        <sz val="10"/>
        <rFont val="Arial"/>
        <family val="2"/>
      </rPr>
      <t xml:space="preserve"> &amp; actual)</t>
    </r>
  </si>
  <si>
    <r>
      <t xml:space="preserve">Forecast Period </t>
    </r>
    <r>
      <rPr>
        <sz val="10"/>
        <rFont val="Arial"/>
        <family val="2"/>
      </rPr>
      <t>(planned)</t>
    </r>
  </si>
  <si>
    <r>
      <t>Actual</t>
    </r>
    <r>
      <rPr>
        <b/>
        <vertAlign val="superscript"/>
        <sz val="10"/>
        <rFont val="Arial"/>
        <family val="2"/>
      </rPr>
      <t>2</t>
    </r>
  </si>
  <si>
    <t>Table of Contents</t>
  </si>
  <si>
    <t>App.2-AA_Capital Projects</t>
  </si>
  <si>
    <t>App.2-AB_Capital Expenditures</t>
  </si>
  <si>
    <t xml:space="preserve">            Net Additions - Note 4</t>
  </si>
  <si>
    <r>
      <t xml:space="preserve">            Net Depreciation</t>
    </r>
    <r>
      <rPr>
        <sz val="9"/>
        <color indexed="8"/>
        <rFont val="Arial"/>
        <family val="2"/>
      </rPr>
      <t xml:space="preserve"> (amounts should be negative) - Note 4</t>
    </r>
  </si>
  <si>
    <t>Effect on Deferral and Variance Account Rate Riders</t>
  </si>
  <si>
    <t># of years of rate rider disposition period</t>
  </si>
  <si>
    <t xml:space="preserve">     Amount included in Deferral and Variance Account Rate Rider Calculation</t>
  </si>
  <si>
    <t>2 Return on rate base associated with deferred balance is calculated as:</t>
  </si>
  <si>
    <r>
      <t xml:space="preserve">3  </t>
    </r>
    <r>
      <rPr>
        <sz val="10"/>
        <rFont val="Arial"/>
        <family val="2"/>
      </rPr>
      <t>T</t>
    </r>
    <r>
      <rPr>
        <sz val="10"/>
        <color indexed="8"/>
        <rFont val="Arial"/>
        <family val="2"/>
      </rPr>
      <t>he  PP&amp;E deferral account is cleared by including the total balance in the deferral and variance account rate rider calculation.</t>
    </r>
  </si>
  <si>
    <t xml:space="preserve">Difference in Closing net PP&amp;E, former CGAAP vs. revised CGAAP </t>
  </si>
  <si>
    <t>Closing balance in Account 1576</t>
  </si>
  <si>
    <t>Return on Rate Base Associated with Account 1576 balance at WACC  - Note 2</t>
  </si>
  <si>
    <t>2 Return on rate base associated with Account 1576 balance is calculated as:</t>
  </si>
  <si>
    <t>3  Account 1576 is cleared by including the total balance in the deferral and variance account rate rider calculation.</t>
  </si>
  <si>
    <t>App.2-BA1_Fix Asset Cont.CGAAP</t>
  </si>
  <si>
    <t>App.2-BA2_Fix Asset Cont.MIFRS</t>
  </si>
  <si>
    <t>Management (including executive)</t>
  </si>
  <si>
    <t>Total Salary and Wages including ovetime and incentive pay</t>
  </si>
  <si>
    <t>ASPE</t>
  </si>
  <si>
    <t>App.2-FC Calc of REG Expansion</t>
  </si>
  <si>
    <t>App.2-FB Calc of REG Improvemnt</t>
  </si>
  <si>
    <t>OM&amp;A Programs Table</t>
  </si>
  <si>
    <t>Programs</t>
  </si>
  <si>
    <t>Bluewater Power Distribution Corporation</t>
  </si>
  <si>
    <t>Canadian Niagara Power Inc.</t>
  </si>
  <si>
    <t>Erie Thames Powerlines Corporation</t>
  </si>
  <si>
    <t>Hearst Power Distribution Company Limited</t>
  </si>
  <si>
    <t>Oakville Hydro Electricity Distribution Inc.</t>
  </si>
  <si>
    <t>Orillia Power Distribution Corporation</t>
  </si>
  <si>
    <t>Thunder Bay Hydro Electricity Distribution Inc.</t>
  </si>
  <si>
    <t>Welland Hydro-Electric System Corp.</t>
  </si>
  <si>
    <t>lists</t>
  </si>
  <si>
    <t>App.2-JA_OM&amp;A_Summary_Analys</t>
  </si>
  <si>
    <t>App.2-JB_OM&amp;A_Cost _Drivers</t>
  </si>
  <si>
    <t>App.2-JC_OMA Programs</t>
  </si>
  <si>
    <t>lists2</t>
  </si>
  <si>
    <t>e</t>
  </si>
  <si>
    <t>1   Please provide a breakdown of the major components of each OM&amp;A Program undertaken in each year.  Please ensure that all Programs below the materiality threshold are included in the miscellaneous line.  Add more Programs as required.</t>
  </si>
  <si>
    <t>OH</t>
  </si>
  <si>
    <t>Cross Arm</t>
  </si>
  <si>
    <t>TS &amp; MS</t>
  </si>
  <si>
    <t>Fully Dressed Steel Poles</t>
  </si>
  <si>
    <t>Overall</t>
  </si>
  <si>
    <t>Wood</t>
  </si>
  <si>
    <t>Steel</t>
  </si>
  <si>
    <t>Station Service Transformer</t>
  </si>
  <si>
    <t>Station DC System</t>
  </si>
  <si>
    <t>Charger</t>
  </si>
  <si>
    <t>Fully Dressed Wood Poles</t>
  </si>
  <si>
    <t>#</t>
  </si>
  <si>
    <t>Category| Component | Type</t>
  </si>
  <si>
    <t>Fully Dressed Concrete Poles</t>
  </si>
  <si>
    <t>MIN UL</t>
  </si>
  <si>
    <t>MAX UL</t>
  </si>
  <si>
    <t>OH Line Switch</t>
  </si>
  <si>
    <t>OH Line Switch Motor</t>
  </si>
  <si>
    <t>OH Line Switch RTU</t>
  </si>
  <si>
    <t>OH Integral Switches</t>
  </si>
  <si>
    <t>OH Conductors</t>
  </si>
  <si>
    <t>OH Transformers &amp; Voltage Regulators</t>
  </si>
  <si>
    <t>OH Shunt Capacitor Banks</t>
  </si>
  <si>
    <t>Reclosers</t>
  </si>
  <si>
    <t>Power Transformers</t>
  </si>
  <si>
    <t>Bushing</t>
  </si>
  <si>
    <t>Tap Changer</t>
  </si>
  <si>
    <t>Station Grounding Transformer</t>
  </si>
  <si>
    <t>Battery Bank</t>
  </si>
  <si>
    <t>Station Metal Clad Switchgear</t>
  </si>
  <si>
    <t>Removable Breaker</t>
  </si>
  <si>
    <t>Station Independent Breakers</t>
  </si>
  <si>
    <t>Station Switch</t>
  </si>
  <si>
    <t>Asset Details</t>
  </si>
  <si>
    <t>Useful Life</t>
  </si>
  <si>
    <t>USoA Account Number</t>
  </si>
  <si>
    <t>USoA Account Description</t>
  </si>
  <si>
    <t>Note 1:</t>
  </si>
  <si>
    <t>Parent*</t>
  </si>
  <si>
    <t>Electromechanical Relays</t>
  </si>
  <si>
    <t>Solid State Relays</t>
  </si>
  <si>
    <t>Digital &amp; Numeric Relays</t>
  </si>
  <si>
    <t>Rigid Busbars</t>
  </si>
  <si>
    <t>Steel Structure</t>
  </si>
  <si>
    <t>Primary Paper Insulated Lead Covered (PILC) Cables</t>
  </si>
  <si>
    <t>Primary Ethylene-Propylene Rubber (EPR) Cables</t>
  </si>
  <si>
    <t>Primary Non-TR XLPE Cables in Duct</t>
  </si>
  <si>
    <t>Secondary PILC Cables</t>
  </si>
  <si>
    <t>Secondary Cables Direct Buried</t>
  </si>
  <si>
    <t>Secondary Cables in Duct</t>
  </si>
  <si>
    <t>Network Tranformers</t>
  </si>
  <si>
    <t>Protector</t>
  </si>
  <si>
    <t>Pad-Mounted Transformers</t>
  </si>
  <si>
    <t>Submersible/Vault Transformers</t>
  </si>
  <si>
    <t>UG Foundation</t>
  </si>
  <si>
    <t>UG Vaults</t>
  </si>
  <si>
    <t>Roof</t>
  </si>
  <si>
    <t>Pad-Mounted Switchgear</t>
  </si>
  <si>
    <t>Ducts</t>
  </si>
  <si>
    <t>Concrete Encased Duct Banks</t>
  </si>
  <si>
    <t>Cable Chambers</t>
  </si>
  <si>
    <t>Remote SCADA</t>
  </si>
  <si>
    <t>UG Vault Switches</t>
  </si>
  <si>
    <t>Primary Non-Tree Retardant (TR) Cross Linked 
Polyethylene (XLPE) Cables Direct Buried</t>
  </si>
  <si>
    <t>UG</t>
  </si>
  <si>
    <t>S</t>
  </si>
  <si>
    <t>* TS &amp; MS = Transformer and Municipal Stations UG = Underground Systems S = Monitoring and Control Systems</t>
  </si>
  <si>
    <t>Office Equipment</t>
  </si>
  <si>
    <t>Useful Life Range</t>
  </si>
  <si>
    <t>Vehicles</t>
  </si>
  <si>
    <t>Trucks &amp; Buckets</t>
  </si>
  <si>
    <t>Trailers</t>
  </si>
  <si>
    <t>Vans</t>
  </si>
  <si>
    <t>Administrative Buildings</t>
  </si>
  <si>
    <t>Station Buildings</t>
  </si>
  <si>
    <t>Parking</t>
  </si>
  <si>
    <t>Fence</t>
  </si>
  <si>
    <t>Hardware</t>
  </si>
  <si>
    <t>Software</t>
  </si>
  <si>
    <t>Computer Equipment</t>
  </si>
  <si>
    <t>Power Operated</t>
  </si>
  <si>
    <t>Stores</t>
  </si>
  <si>
    <t>Tools, Shop, Garage Equipment</t>
  </si>
  <si>
    <t>Towers</t>
  </si>
  <si>
    <t>Wireless</t>
  </si>
  <si>
    <t>Communication</t>
  </si>
  <si>
    <t>Equipment</t>
  </si>
  <si>
    <t>Residential Energy Meters</t>
  </si>
  <si>
    <t>Industrial/Commercial Energy Meters</t>
  </si>
  <si>
    <t>Wholesale Energy Meters</t>
  </si>
  <si>
    <t>Current &amp; Potential Transformer (CT &amp; PT)</t>
  </si>
  <si>
    <t>Smart Meters</t>
  </si>
  <si>
    <t>Repeaters - Smart Metering</t>
  </si>
  <si>
    <t>Data Collectors - Smart Metering</t>
  </si>
  <si>
    <t>Lease dependent</t>
  </si>
  <si>
    <r>
      <t>Table F-1 from Kinetrics Report</t>
    </r>
    <r>
      <rPr>
        <b/>
        <vertAlign val="superscript"/>
        <sz val="14"/>
        <rFont val="Arial"/>
        <family val="2"/>
      </rPr>
      <t>1</t>
    </r>
  </si>
  <si>
    <r>
      <t>Table F-2 from Kinetrics Report</t>
    </r>
    <r>
      <rPr>
        <b/>
        <vertAlign val="superscript"/>
        <sz val="14"/>
        <rFont val="Arial"/>
        <family val="2"/>
      </rPr>
      <t>1</t>
    </r>
  </si>
  <si>
    <t>See pages 17-19 of Kinetrics Report</t>
  </si>
  <si>
    <t>Tables F-1 and F-2 above are to be used as a reference in order to complete columns J, K, L and N.</t>
  </si>
  <si>
    <t>The applicant must provide an explanation of material variances in evidence.</t>
  </si>
  <si>
    <t>4  Net additions are additions net of disposals; Net depreciation is additions to depreciation net of disposals.</t>
  </si>
  <si>
    <t>List and specify any other interest revenue.</t>
  </si>
  <si>
    <t>2   The applicant should group projects appropriately and avoid presentations that result in classification of significant components of the OM&amp;A budget in the miscellaneous category</t>
  </si>
  <si>
    <t>Monthly Amount Paid by IESO</t>
  </si>
  <si>
    <t>Appendix 2-JA</t>
  </si>
  <si>
    <t>Appendix 2-JB</t>
  </si>
  <si>
    <t>Total Capital Costs</t>
  </si>
  <si>
    <t>Total OM&amp;A (Start-Up)</t>
  </si>
  <si>
    <t>Total OM&amp;A (Ongoing)</t>
  </si>
  <si>
    <t>Name: Expansion Connection Project</t>
  </si>
  <si>
    <t>Name: REI Connection Project</t>
  </si>
  <si>
    <r>
      <t xml:space="preserve">If there are more than </t>
    </r>
    <r>
      <rPr>
        <b/>
        <sz val="10"/>
        <rFont val="Arial"/>
        <family val="2"/>
      </rPr>
      <t>five</t>
    </r>
    <r>
      <rPr>
        <sz val="10"/>
        <rFont val="Arial"/>
        <family val="2"/>
      </rPr>
      <t xml:space="preserve"> projects proposed to be in-service in a certain year, please amend the tables below and ensure that the formulae for the Total Amounts in any given rate year are updated.</t>
    </r>
  </si>
  <si>
    <r>
      <rPr>
        <b/>
        <sz val="10"/>
        <color indexed="8"/>
        <rFont val="Arial"/>
        <family val="2"/>
      </rPr>
      <t>Note 1:</t>
    </r>
    <r>
      <rPr>
        <sz val="10"/>
        <color indexed="8"/>
        <rFont val="Arial"/>
        <family val="2"/>
      </rPr>
      <t xml:space="preserve"> The difference between the actual costs of approved eligible investments and revenue received from the IESO should be recorded in a variance account.  The Board may provide </t>
    </r>
  </si>
  <si>
    <t>regulatory accounting guidance regarding a variance account either in an individual proceeding or on a generic basis.</t>
  </si>
  <si>
    <r>
      <t>Amortization</t>
    </r>
    <r>
      <rPr>
        <i/>
        <sz val="10"/>
        <rFont val="Arial"/>
        <family val="2"/>
      </rPr>
      <t xml:space="preserve"> </t>
    </r>
    <r>
      <rPr>
        <sz val="10"/>
        <rFont val="Arial"/>
        <family val="2"/>
      </rPr>
      <t>(17% DB and 83% P)</t>
    </r>
  </si>
  <si>
    <t>CCA (17% DB and 83% P)</t>
  </si>
  <si>
    <t>Accounting Standard</t>
  </si>
  <si>
    <t>Outside Range of Min, Max TUL?</t>
  </si>
  <si>
    <t>Below Min TUL</t>
  </si>
  <si>
    <t>Above Max TUL</t>
  </si>
  <si>
    <t>Below Min Range</t>
  </si>
  <si>
    <t>Above Max Range</t>
  </si>
  <si>
    <t>Test</t>
  </si>
  <si>
    <t>Bridge</t>
  </si>
  <si>
    <t>Historical</t>
  </si>
  <si>
    <t>Revised CGAAP</t>
  </si>
  <si>
    <r>
      <t>·</t>
    </r>
    <r>
      <rPr>
        <sz val="10"/>
        <rFont val="Times New Roman"/>
        <family val="1"/>
      </rPr>
      <t xml:space="preserve">         </t>
    </r>
    <r>
      <rPr>
        <sz val="10"/>
        <rFont val="Arial"/>
        <family val="2"/>
      </rPr>
      <t>December 31, 2013 regulatory accumulated depreciation, by asset class; and</t>
    </r>
  </si>
  <si>
    <r>
      <t>·</t>
    </r>
    <r>
      <rPr>
        <sz val="10"/>
        <rFont val="Times New Roman"/>
        <family val="1"/>
      </rPr>
      <t xml:space="preserve">         </t>
    </r>
    <r>
      <rPr>
        <sz val="10"/>
        <rFont val="Arial"/>
        <family val="2"/>
      </rPr>
      <t>January 1, 2014 regulatory accumulated depreciation, by asset class.</t>
    </r>
  </si>
  <si>
    <r>
      <t>·</t>
    </r>
    <r>
      <rPr>
        <sz val="10"/>
        <rFont val="Times New Roman"/>
        <family val="1"/>
      </rPr>
      <t xml:space="preserve">         </t>
    </r>
    <r>
      <rPr>
        <sz val="10"/>
        <rFont val="Arial"/>
        <family val="2"/>
      </rPr>
      <t>December 31, 2013 regulatory gross assets of property, plant and equipment, by asset class; and</t>
    </r>
  </si>
  <si>
    <r>
      <t>·</t>
    </r>
    <r>
      <rPr>
        <sz val="10"/>
        <rFont val="Times New Roman"/>
        <family val="1"/>
      </rPr>
      <t xml:space="preserve">         </t>
    </r>
    <r>
      <rPr>
        <sz val="10"/>
        <rFont val="Arial"/>
        <family val="2"/>
      </rPr>
      <t>January 1, 2014 regulatory gross assets of property, plant and equipment, by asset class.</t>
    </r>
  </si>
  <si>
    <t>2015 Adopters of IFRS for Financial Reporting Purposes</t>
  </si>
  <si>
    <t xml:space="preserve">Appendix 2-BA - Fixed Asset Schedule </t>
  </si>
  <si>
    <t>Appendix 2-E - Account 1575, IFRS-CGAAP Transitional PP&amp;E Amounts (2-EA), Account 1576, Accounting Changes Under CGAAP (2-EB, 2-EC)</t>
  </si>
  <si>
    <t>Please refer to section 2.12.4 and 2.12.5 of the Filing Requirements for further details.</t>
  </si>
  <si>
    <t>Capitalized OM&amp;A</t>
  </si>
  <si>
    <t xml:space="preserve"> OM&amp;A Before Capitalization</t>
  </si>
  <si>
    <t>Insert description of additional item(s) and new rows if needed</t>
  </si>
  <si>
    <t>Explanation for Change in Overhead Capitalized</t>
  </si>
  <si>
    <t>Total Capitalized OM&amp;A (A)</t>
  </si>
  <si>
    <t>Total OM&amp;A Before Capitalization (B)</t>
  </si>
  <si>
    <t>% of Capitalized OM&amp;A (=A/B)</t>
  </si>
  <si>
    <t>Applicants are to provide a breakdown of OM&amp;A before capitalization in the below table.  OM&amp;A before capitalization may be broken down by cost center, program, drivers or another format best suited to focus on capitalized vs. uncapitalized OM&amp;A.</t>
  </si>
  <si>
    <t>Applicants are to provide a breakdown of capitalized OM&amp;A in the below table.  Capitalized OM&amp;A may be broken down using the categories listed in the table below if possible.  Otherwise, applicants are to provide its own break down of capitalized OM&amp;A.</t>
  </si>
  <si>
    <t>2   The applicant should group projects appropriately and avoid presentations that result in classification of significant components of the capital budget in the miscellaneous category.</t>
  </si>
  <si>
    <t>Notes on shifts in forecast vs. historical budgets by category</t>
  </si>
  <si>
    <r>
      <t xml:space="preserve">Input actual or deemed long-term debt rate in accordance with the guidelines in </t>
    </r>
    <r>
      <rPr>
        <i/>
        <sz val="10"/>
        <rFont val="Arial"/>
        <family val="2"/>
      </rPr>
      <t>The Report of the Board on the Cost of Capital for Ontario's Regulated Utilities</t>
    </r>
    <r>
      <rPr>
        <sz val="10"/>
        <rFont val="Arial"/>
        <family val="2"/>
      </rPr>
      <t>, issued December 11, 2009, or with any subsequent update issued by the Board.</t>
    </r>
  </si>
  <si>
    <r>
      <t>Depreciation Expense adj. from gain or loss on the retirement of assets (pool of like assets), if applicable</t>
    </r>
    <r>
      <rPr>
        <b/>
        <vertAlign val="superscript"/>
        <sz val="10"/>
        <rFont val="Arial"/>
        <family val="2"/>
      </rPr>
      <t>6</t>
    </r>
  </si>
  <si>
    <t>OEB Minimum Standard</t>
  </si>
  <si>
    <t>Indicator</t>
  </si>
  <si>
    <t>Low Voltage Connections</t>
  </si>
  <si>
    <t>High Voltage Connections</t>
  </si>
  <si>
    <t>Telephone Accessibility</t>
  </si>
  <si>
    <t>Appointments Met</t>
  </si>
  <si>
    <t>Written Response to Enquires</t>
  </si>
  <si>
    <t>Emergency Urban Response</t>
  </si>
  <si>
    <t>Emergency Rural Response</t>
  </si>
  <si>
    <t>Telephone Call Abandon Rate</t>
  </si>
  <si>
    <t>Appointment Scheduling</t>
  </si>
  <si>
    <t>Rescheduling a Missed Appointment</t>
  </si>
  <si>
    <t>Reconnection Performance Standard</t>
  </si>
  <si>
    <t>Provide a list of customer engagement activities</t>
  </si>
  <si>
    <t>Actions taken to respond to identified needs and preferences.  If no action was taken, explain why.</t>
  </si>
  <si>
    <t>Appendix 2-AC</t>
  </si>
  <si>
    <t>Customer Engagement Activities Summary</t>
  </si>
  <si>
    <t>Provide a list of customer needs and preferences identified through each engagement activity</t>
  </si>
  <si>
    <t>Former CGAAP</t>
  </si>
  <si>
    <t>PP&amp;E Values under MIFRS (Starts from 2014, the transition year)</t>
  </si>
  <si>
    <t>Applicants are to provide Appendix 2-BA in accordance with the years and corresponding accounting standards noted in the above table to provide a year over year continuity in fixed assets.</t>
  </si>
  <si>
    <t>Customers / Connections</t>
  </si>
  <si>
    <t xml:space="preserve">Effective on the date of IFRS adoption, customer contributions will no longer be recorded in Account 1995 Contributions &amp; Grants, but will be recorded in Account 2440, Deferred Revenues.  </t>
  </si>
  <si>
    <t>The purpose of this tab is to provide general instructions.  The specific instructions to each appendix are listed in footnotes of each appendix.</t>
  </si>
  <si>
    <t>Total Depreciation Expense</t>
  </si>
  <si>
    <t>Historical Year</t>
  </si>
  <si>
    <t>6 Year (2015-2020) kWh Target:</t>
  </si>
  <si>
    <t>2015 CDM Programs</t>
  </si>
  <si>
    <t>2016 CDM Programs</t>
  </si>
  <si>
    <t>2017 CDM Programs</t>
  </si>
  <si>
    <t>2018 CDM Programs</t>
  </si>
  <si>
    <t>2019 CDM Programs</t>
  </si>
  <si>
    <t>2020 CDM Programs</t>
  </si>
  <si>
    <t>2013 CDM program</t>
  </si>
  <si>
    <t>Distributor can select "0", "0.5", or "1" from drop-down list</t>
  </si>
  <si>
    <t xml:space="preserve">Forecasted Costs </t>
  </si>
  <si>
    <t>Total Costs and Carrying Charges</t>
  </si>
  <si>
    <r>
      <t>Deferred Revenue</t>
    </r>
    <r>
      <rPr>
        <vertAlign val="superscript"/>
        <sz val="10"/>
        <rFont val="Arial"/>
        <family val="2"/>
      </rPr>
      <t>5</t>
    </r>
  </si>
  <si>
    <t>For each year, a detailed explanation for each cost driver and associated amount is requied in Exhibit 4.</t>
  </si>
  <si>
    <t>Variance Analysis</t>
  </si>
  <si>
    <t>Note:  Use "ALT-ENTER" to go to the next line within a cell</t>
  </si>
  <si>
    <t>Appendix 2-IA</t>
  </si>
  <si>
    <t>App.2-Y: Transition to MIFRS Summary Impact</t>
  </si>
  <si>
    <t>App.2-S: Stranded Meter Treatment</t>
  </si>
  <si>
    <t>App.2-R: Loss Factors</t>
  </si>
  <si>
    <t>App.2-Q: Cost of Serving Embedded Distributor(s)</t>
  </si>
  <si>
    <t>App.2-OB: Debt Instruments</t>
  </si>
  <si>
    <t>App.2-OA: Capital Structure and Cost of Capital</t>
  </si>
  <si>
    <t>App.2-AA: Capital Projects Table</t>
  </si>
  <si>
    <t>App.2-AB: Capital Expenditures</t>
  </si>
  <si>
    <t>App. 2-AC: Customer Engagement Worksheet</t>
  </si>
  <si>
    <t>App.2-B: General Accounting Instructions</t>
  </si>
  <si>
    <t>App.2-BA: Fixed Asset Continuity Schedule</t>
  </si>
  <si>
    <t>App.2-D: Overhead Expenses</t>
  </si>
  <si>
    <t>App.2-EA: Account 1575 PP&amp;E Deferral Account (2015 IFRS Adopters)</t>
  </si>
  <si>
    <t>App.2-EB: Account 1576 - Accounting Changes Under CGAAP (2012 Changes)</t>
  </si>
  <si>
    <t>App.2-EC: Account 1576 - Accounting Changes Under CGAAP (2013 Changes)</t>
  </si>
  <si>
    <t>App.2-FA: Renewable Generation Connection Investment Summary</t>
  </si>
  <si>
    <t>App.2-FB: Calculation of Renewable Generation Connection Direct Benefits/Provincial Amount: Renewable Enabling Improvement Investments</t>
  </si>
  <si>
    <t>App.2-FC: Calculation of Renewable Generation Connection Direct Benefits/Provincial Amount: Renewable Expansion Investments</t>
  </si>
  <si>
    <t>App.2-H: Other Operating Revenue</t>
  </si>
  <si>
    <t>App.2-G: Service Reliability Indicators</t>
  </si>
  <si>
    <t>App.2-I: Load Forecast CDM Adjustment Workform</t>
  </si>
  <si>
    <t>App.2-JA: OM&amp;A Summary Analysis</t>
  </si>
  <si>
    <t>App.2-JB: Recoverable OM&amp;A Cost Driver Table</t>
  </si>
  <si>
    <t>App.2-K: Employee Costs</t>
  </si>
  <si>
    <t>App.2-L: Recoverable OM&amp;A Cost per Customer and per FTE</t>
  </si>
  <si>
    <t>App.2-M: Regulatory Costs Schedule</t>
  </si>
  <si>
    <t>Renewable Generation Connection Investment Summary (past investments or over the future rate setting period)</t>
  </si>
  <si>
    <r>
      <t>Enter the details of the Renewable Generation Connection projects as described in the appropriate section</t>
    </r>
    <r>
      <rPr>
        <sz val="10"/>
        <color rgb="FF00B050"/>
        <rFont val="Arial"/>
        <family val="2"/>
      </rPr>
      <t xml:space="preserve"> </t>
    </r>
    <r>
      <rPr>
        <sz val="10"/>
        <rFont val="Arial"/>
        <family val="2"/>
      </rPr>
      <t>of the Filing Requirements.</t>
    </r>
  </si>
  <si>
    <t>There are two scenarios described below.  Separate sets of spreadsheets (2-FA, 2-FB, 2-FC) should be submited for each scenario as required.</t>
  </si>
  <si>
    <r>
      <rPr>
        <sz val="11"/>
        <color rgb="FF00B0F0"/>
        <rFont val="Calibri"/>
        <family val="2"/>
        <scheme val="minor"/>
      </rPr>
      <t>Scenario 1</t>
    </r>
    <r>
      <rPr>
        <sz val="11"/>
        <color theme="1"/>
        <rFont val="Calibri"/>
        <family val="2"/>
        <scheme val="minor"/>
      </rPr>
      <t xml:space="preserve">:  </t>
    </r>
    <r>
      <rPr>
        <b/>
        <sz val="11"/>
        <color theme="1"/>
        <rFont val="Calibri"/>
        <family val="2"/>
        <scheme val="minor"/>
      </rPr>
      <t>Past Investments with No Recovery.</t>
    </r>
    <r>
      <rPr>
        <sz val="11"/>
        <color theme="1"/>
        <rFont val="Calibri"/>
        <family val="2"/>
        <scheme val="minor"/>
      </rPr>
      <t xml:space="preserve">  The distributor has made investments in the past (during the IRM Years), but has not received approval for these projects and therefore did not receive</t>
    </r>
  </si>
  <si>
    <t>revenue from the IESO under Regulation 330/09 and did not receive ratepayer revenue for the direct benefit portion of the investment.</t>
  </si>
  <si>
    <t xml:space="preserve">The WCA percentage, debt percentages, interest rates, kWh, tax rates, amortization period, CCA Class and percentage should correspond to the distributor's last Cost of Service approval. </t>
  </si>
  <si>
    <t>The Direct Benefit portion of the calculated Revenue Requirement for each year should be summed and can be applied for recovery from the distributor's ratepayers through a rate rider.</t>
  </si>
  <si>
    <t>The Provincial Recovery portion of the calculated Revenue Requirement for each year should be summed and can be applied for recovery from the IESO through a separate order.</t>
  </si>
  <si>
    <t xml:space="preserve">The WCA percentage, debt percentages, interest rates, kWh, tax rates, amortization period, CCA Class and percentage should correspond to the distributor's current application. </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</si>
  <si>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</si>
  <si>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additions in column (E) must not include construction work in progress (CWIP).</t>
  </si>
  <si>
    <t>Accounting Policy Changes in 2012 and Adopted IFRS in 2015</t>
  </si>
  <si>
    <t>Accounting Policy Changes in 2013 and Adopted IFRS in 2015</t>
  </si>
  <si>
    <t xml:space="preserve">For an applicant that adopted IFRS on January 1, 2015 for financial reporting purposes, the applicant must establish the continuity of historic cost by using the December 31, 2013 regulatory gross assets of property, plant and equipment as the opening January 1, 2014 regulatory gross assets.  The applicant must provide schedules (including Appendix 2-BA, Fixed Asset Continuity Schedule) which must identify the following details to substantiate the continuity of historic cost for regulatory purposes: </t>
  </si>
  <si>
    <t xml:space="preserve">For an applicant that adopted IFRS on January 1, 2015 for financial reporting purposes, the applicant must establish the continuity of historic cost by using the December 31, 2013 regulatory accumulated depreciation as the opening January 1, 2014 regulatory accumulated depreciation.  The applicant must provide schedules (including Appendix 2-BA, Fixed Asset Continuity Schedule) which must identify the following details to substantiate the continuity of historic cost for regulatory purposes: </t>
  </si>
  <si>
    <r>
      <t xml:space="preserve">Total for Depreciation </t>
    </r>
    <r>
      <rPr>
        <b/>
        <vertAlign val="superscript"/>
        <sz val="10"/>
        <rFont val="Arial"/>
        <family val="2"/>
      </rPr>
      <t>1</t>
    </r>
  </si>
  <si>
    <t xml:space="preserve">(e) = (c) + ½ x (d) </t>
  </si>
  <si>
    <r>
      <t xml:space="preserve">Less Renewable Generation Facility Assets and Other Non-Rate-Regulated Utility Assets </t>
    </r>
    <r>
      <rPr>
        <b/>
        <i/>
        <sz val="10"/>
        <color rgb="FFFF0000"/>
        <rFont val="Arial"/>
        <family val="2"/>
      </rPr>
      <t>(input as negative)</t>
    </r>
  </si>
  <si>
    <r>
      <t xml:space="preserve">Fixed Asset Continuity Schedule </t>
    </r>
    <r>
      <rPr>
        <b/>
        <vertAlign val="superscript"/>
        <sz val="14"/>
        <rFont val="Arial"/>
        <family val="2"/>
      </rPr>
      <t>1</t>
    </r>
    <r>
      <rPr>
        <b/>
        <sz val="14"/>
        <rFont val="Arial"/>
        <family val="2"/>
      </rPr>
      <t xml:space="preserve"> </t>
    </r>
  </si>
  <si>
    <r>
      <t xml:space="preserve">CCA Class </t>
    </r>
    <r>
      <rPr>
        <b/>
        <vertAlign val="superscript"/>
        <sz val="10"/>
        <rFont val="Arial"/>
        <family val="2"/>
      </rPr>
      <t>2</t>
    </r>
  </si>
  <si>
    <r>
      <t xml:space="preserve">Additions </t>
    </r>
    <r>
      <rPr>
        <b/>
        <vertAlign val="superscript"/>
        <sz val="10"/>
        <rFont val="Arial"/>
        <family val="2"/>
      </rPr>
      <t>4</t>
    </r>
  </si>
  <si>
    <r>
      <t xml:space="preserve">OEB Account </t>
    </r>
    <r>
      <rPr>
        <b/>
        <vertAlign val="superscript"/>
        <sz val="10"/>
        <rFont val="Arial"/>
        <family val="2"/>
      </rPr>
      <t>3</t>
    </r>
  </si>
  <si>
    <r>
      <t xml:space="preserve">Description </t>
    </r>
    <r>
      <rPr>
        <b/>
        <vertAlign val="superscript"/>
        <sz val="10"/>
        <rFont val="Arial"/>
        <family val="2"/>
      </rPr>
      <t>3</t>
    </r>
  </si>
  <si>
    <t>Including outages caused by loss of supply</t>
  </si>
  <si>
    <t>Excluding outages caused by loss of supply</t>
  </si>
  <si>
    <t>In the transition year to IFRS, the applicant is to present information in both MIFRS and CGAAP.  For the typical applicant that adopted IFRS on January 1, 2015, 2014 must be presented in both a CGAAP and MIFRS basis.</t>
  </si>
  <si>
    <r>
      <t xml:space="preserve">Number of Customers </t>
    </r>
    <r>
      <rPr>
        <b/>
        <vertAlign val="superscript"/>
        <sz val="10"/>
        <rFont val="Arial"/>
        <family val="2"/>
      </rPr>
      <t>2,4</t>
    </r>
  </si>
  <si>
    <r>
      <t xml:space="preserve">Number of FTEs </t>
    </r>
    <r>
      <rPr>
        <b/>
        <vertAlign val="superscript"/>
        <sz val="10"/>
        <rFont val="Arial"/>
        <family val="2"/>
      </rPr>
      <t>3,4</t>
    </r>
  </si>
  <si>
    <r>
      <t xml:space="preserve">Recoverable OM&amp;A Cost per Customer and per FTE </t>
    </r>
    <r>
      <rPr>
        <b/>
        <vertAlign val="superscript"/>
        <sz val="14"/>
        <rFont val="Arial"/>
        <family val="2"/>
      </rPr>
      <t>1</t>
    </r>
  </si>
  <si>
    <r>
      <t xml:space="preserve">Shared Services and Corporate Cost Allocation </t>
    </r>
    <r>
      <rPr>
        <b/>
        <vertAlign val="superscript"/>
        <sz val="14"/>
        <rFont val="Arial"/>
        <family val="2"/>
      </rPr>
      <t>1</t>
    </r>
  </si>
  <si>
    <r>
      <t xml:space="preserve">Rate (%) </t>
    </r>
    <r>
      <rPr>
        <vertAlign val="superscript"/>
        <sz val="10"/>
        <rFont val="Arial"/>
        <family val="2"/>
      </rPr>
      <t>2</t>
    </r>
  </si>
  <si>
    <r>
      <t xml:space="preserve">Interest ($) </t>
    </r>
    <r>
      <rPr>
        <vertAlign val="superscript"/>
        <sz val="10"/>
        <rFont val="Arial"/>
        <family val="2"/>
      </rPr>
      <t>1</t>
    </r>
  </si>
  <si>
    <t>If financing is in place only part of the year, separately calculate the pro-rated interest in the year and input in the cell.</t>
  </si>
  <si>
    <t>To be completed by Host Distributors ONLY</t>
  </si>
  <si>
    <r>
      <t xml:space="preserve">Distributors should also provide the Net Book Value per class of meter as of December 31, 2010 as well as the number of meters that were removed / stranded.  In preparing this information, distributors should review the Board's letter of January 16, 2007 </t>
    </r>
    <r>
      <rPr>
        <i/>
        <sz val="10"/>
        <rFont val="Arial"/>
        <family val="2"/>
      </rPr>
      <t>Stranded Meter Costs Related to the Installation of Smart Meters</t>
    </r>
    <r>
      <rPr>
        <sz val="10"/>
        <rFont val="Arial"/>
        <family val="2"/>
      </rPr>
      <t xml:space="preserve"> which stated that records were to be kept of the type and number of each meter to support the stranded meter costs.</t>
    </r>
  </si>
  <si>
    <r>
      <t xml:space="preserve">For applicants that adopted IFRS on </t>
    </r>
    <r>
      <rPr>
        <b/>
        <sz val="10"/>
        <color rgb="FFFF0000"/>
        <rFont val="Arial"/>
        <family val="2"/>
      </rPr>
      <t>January 1, 2015</t>
    </r>
    <r>
      <rPr>
        <b/>
        <sz val="10"/>
        <color indexed="8"/>
        <rFont val="Arial"/>
        <family val="2"/>
      </rPr>
      <t xml:space="preserve"> for financial reporting purposes</t>
    </r>
  </si>
  <si>
    <t xml:space="preserve">1  For an applicant that adopted IFRS on January 1, 2015, the PP&amp;E values as of January 1, 2014 under both CGAAP and MIFRS should be the same. </t>
  </si>
  <si>
    <t>Any forecasted One-time costs past 2015 should be fully explained in the application, since distributors were required to adopt IFRS or an alternative accounting standard by January 1, 2015.</t>
  </si>
  <si>
    <t>Consumption (kWh)</t>
  </si>
  <si>
    <t>A</t>
  </si>
  <si>
    <t>Only 50% of 2016 CDM programs are assumed to impact the 2016 load forecast based on the "half-year" rule.</t>
  </si>
  <si>
    <t>Full year impact of persistence of 2015 programs on 2015 load forecast.  2015 CDM program impacts are not in the base forecast.</t>
  </si>
  <si>
    <t>2014 CDM program</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</si>
  <si>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</si>
  <si>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COLLUS PowerStream Corp.</t>
  </si>
  <si>
    <t>Innpower Corporation</t>
  </si>
  <si>
    <t>Newmarket-Tay Power Distribution Ltd.</t>
  </si>
  <si>
    <t>Based on the current methodology and allocation, amounts allocated represent 6% for REI Connection Investments and 17% for Expansion Investments. (EB-2009-0349, 6-10-2010, p. 15, note 9)</t>
  </si>
  <si>
    <r>
      <rPr>
        <b/>
        <sz val="10"/>
        <color indexed="8"/>
        <rFont val="Arial"/>
        <family val="2"/>
      </rPr>
      <t>Note 2:</t>
    </r>
    <r>
      <rPr>
        <sz val="10"/>
        <color indexed="8"/>
        <rFont val="Arial"/>
        <family val="2"/>
      </rPr>
      <t xml:space="preserve"> For the 2016 Test Year, Costs and Revenues of the Direct Benefit are to be included in the test year applicant Rate Base and Revenues.  </t>
    </r>
  </si>
  <si>
    <t>For historical investments, enter these variables for your last cost of service test year.  For 2016 and beyond, enter variables as in the application.</t>
  </si>
  <si>
    <r>
      <rPr>
        <b/>
        <sz val="10"/>
        <rFont val="Arial"/>
        <family val="2"/>
      </rPr>
      <t>Note 2:</t>
    </r>
    <r>
      <rPr>
        <sz val="10"/>
        <rFont val="Arial"/>
        <family val="2"/>
      </rPr>
      <t xml:space="preserve"> For the 2016 Test Year, Costs and Revenues of the Direct Benefit are to be included in the test year applicant Rate Base and Revenues.</t>
    </r>
  </si>
  <si>
    <t>Closing NBV 2016</t>
  </si>
  <si>
    <t>App.2-JC: OM&amp;A Programs Table</t>
  </si>
  <si>
    <t>Customers</t>
  </si>
  <si>
    <t>A list of key references for understanding the Filing Requirements has been embedded in the document below. To access the list of references and associated hyperlinks double-click the icon below.</t>
  </si>
  <si>
    <t>Service Reliability and Quality Indicators</t>
  </si>
  <si>
    <t>Service Reliability</t>
  </si>
  <si>
    <t>Service Quality</t>
  </si>
  <si>
    <t>This table must be completed for the last Board-approved year and the test year.</t>
  </si>
  <si>
    <t>For 2016, please indicate whether the amounts provided are on a forecast or actual basis.</t>
  </si>
  <si>
    <t>Appendix 2-Y - Summary of Impacts to Revenue Requirement from Transition to MIFRS</t>
  </si>
  <si>
    <t>Select the set of appendices that apply</t>
  </si>
  <si>
    <t>Opening Regulatory Gross PP&amp;E as at Jan. 1</t>
  </si>
  <si>
    <t>Depreciation Expense per Appendix 2-BA Fixed Assets, Column J 
 (l)</t>
  </si>
  <si>
    <t>Revised CGAAP (Year 1)</t>
  </si>
  <si>
    <r>
      <t>Opening NBV as at Jan 1</t>
    </r>
    <r>
      <rPr>
        <b/>
        <vertAlign val="superscript"/>
        <sz val="10"/>
        <rFont val="Arial"/>
        <family val="2"/>
      </rPr>
      <t>5</t>
    </r>
  </si>
  <si>
    <t>Depreciation Expense on Current Full Year Additions</t>
  </si>
  <si>
    <r>
      <t xml:space="preserve">Current Full Year Depreciation </t>
    </r>
    <r>
      <rPr>
        <b/>
        <vertAlign val="superscript"/>
        <sz val="10"/>
        <rFont val="Arial"/>
        <family val="2"/>
      </rPr>
      <t>6</t>
    </r>
  </si>
  <si>
    <t>A recalculation should be performed to determine the average remaining life of opening balance of assets (i.e. excluding current year's additions) under the change in policies under CGAAP.  For example, Asset A had a useful life of 20 years under CGAAP without the change in policies.  On January 1 of the year of policy changes, Asset A was 3 years depreciated. As a result, Asset A would have a remaining service life of 17 years (20 years less 3 years) as at January 1 of the year of policy changes.  Due to making the change in policies under CGAAP, management re-assessed the asset useful lives and concluded that the revised useful life of Asset A is now 30 years. Therefore, the average remaining useful life of the opening balance of Asset A is determined to be 27 years (30 years less 3 years) under the revised CGAAP as at January 1 of the year of policy changes.</t>
  </si>
  <si>
    <t>Former CGAAP (Year 1)</t>
  </si>
  <si>
    <t>Revised CGAAP (Year 2)</t>
  </si>
  <si>
    <r>
      <t xml:space="preserve">Current Year Depreciation Expense </t>
    </r>
    <r>
      <rPr>
        <b/>
        <vertAlign val="superscript"/>
        <sz val="10"/>
        <rFont val="Arial"/>
        <family val="2"/>
      </rPr>
      <t>1</t>
    </r>
  </si>
  <si>
    <t xml:space="preserve">(h)= Prior Full Year Deprecation + ((d)*0.5)/(f) </t>
  </si>
  <si>
    <t xml:space="preserve"> Depreciation Expense per Apppendix 2-BA Fixed Assets, Column J
 (l)</t>
  </si>
  <si>
    <r>
      <t xml:space="preserve">Current Full Year Depreciation </t>
    </r>
    <r>
      <rPr>
        <b/>
        <vertAlign val="superscript"/>
        <sz val="10"/>
        <rFont val="Arial"/>
        <family val="2"/>
      </rPr>
      <t>3</t>
    </r>
  </si>
  <si>
    <t>(p) = Prior Full Year Depreciation  + (n) - (o)</t>
  </si>
  <si>
    <t>Year Reflected in Schedule Below</t>
  </si>
  <si>
    <t>Revised CGAAP or MIFRS (Year 3)</t>
  </si>
  <si>
    <t>MIFRS (Year 4)</t>
  </si>
  <si>
    <t>Depreciation Expense per Appendix 2-BA Fixed Assets, Column J
 (l)</t>
  </si>
  <si>
    <t>MIFRS (Year 5)</t>
  </si>
  <si>
    <t xml:space="preserve"> Depreciation Expense per Appendix 2-BA Fixed Assets, Column J
 (l)</t>
  </si>
  <si>
    <t>Reflecting Accounting Policy Changes in Current Application</t>
  </si>
  <si>
    <t>Rebased under Revised CGAAP</t>
  </si>
  <si>
    <r>
      <t xml:space="preserve"> MIFRS and Revised CGAAP</t>
    </r>
    <r>
      <rPr>
        <vertAlign val="superscript"/>
        <sz val="11"/>
        <color indexed="17"/>
        <rFont val="Calibri"/>
        <family val="2"/>
      </rPr>
      <t>1</t>
    </r>
  </si>
  <si>
    <r>
      <t>CGAAP and Revised CGAAP</t>
    </r>
    <r>
      <rPr>
        <vertAlign val="superscript"/>
        <sz val="11"/>
        <color indexed="17"/>
        <rFont val="Calibri"/>
        <family val="2"/>
      </rPr>
      <t>2</t>
    </r>
  </si>
  <si>
    <t>1)  For the transition year (2014), the applicant may file two appendices, one under Revised CGAAP and one under MIFRS, depending on the materiality of impacts.  See the specific instructions under each appendix below for further details.</t>
  </si>
  <si>
    <t>For the transition year (2014), the applicant should file two appendices, one under Revised CGAAP and one under MIFRS if the change between Revised CGAAP and MIFRS is material.  If the change from the accounting standards is not material, the applicant may choose to only provide one appendix under MIFRS.  However, the applicant must also indicate the fixed asset net book value balance under Revised CGAAP, the total dollar value of the change and explain why it is not material.</t>
  </si>
  <si>
    <t>The applicant must provide an explanation of material variances.</t>
  </si>
  <si>
    <t>Assumes the applicant changed capitalization and depreciation policies and reflected these changes in a prior rebasing application</t>
  </si>
  <si>
    <t>Revised CGAAP or MIFRS</t>
  </si>
  <si>
    <r>
      <t>Appendix 2-CH</t>
    </r>
    <r>
      <rPr>
        <b/>
        <vertAlign val="superscript"/>
        <sz val="14"/>
        <rFont val="Arial"/>
        <family val="2"/>
      </rPr>
      <t>1</t>
    </r>
  </si>
  <si>
    <r>
      <t xml:space="preserve">Total for Depreciation </t>
    </r>
    <r>
      <rPr>
        <b/>
        <vertAlign val="superscript"/>
        <sz val="10"/>
        <rFont val="Arial"/>
        <family val="2"/>
      </rPr>
      <t>2</t>
    </r>
  </si>
  <si>
    <r>
      <t xml:space="preserve">Variance </t>
    </r>
    <r>
      <rPr>
        <b/>
        <vertAlign val="superscript"/>
        <sz val="10"/>
        <rFont val="Arial"/>
        <family val="2"/>
      </rPr>
      <t>3</t>
    </r>
  </si>
  <si>
    <t>The appendix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</si>
  <si>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Assumes the applicant made capitalization and depreciation expense accounting policy changes under CGAAP effective January 1, 2012 and has adopted IFRS for financial reporting purposes effective January 1, 2015.  Assumes that the applicant is reflecting these changes in a rebasing application for the first time.</t>
  </si>
  <si>
    <t>Assumes the applicant made capitalization and depreciation expense accounting policy changes under CGAAP effective January 1, 2013 and has adopted IFRS for financial reporting purposes effective January 1, 2015.  Assumes that the applicant is reflecting these changes in a rebasing application for the first time.</t>
  </si>
  <si>
    <t xml:space="preserve">Depreciation exp. adj. from gain or loss on the retirement of assets (pool of like assets) (under MIFRS) </t>
  </si>
  <si>
    <t xml:space="preserve">Total Depreciation Expense </t>
  </si>
  <si>
    <r>
      <t>Current Year Depreciation Expense</t>
    </r>
    <r>
      <rPr>
        <b/>
        <vertAlign val="superscript"/>
        <sz val="10"/>
        <rFont val="Arial"/>
        <family val="2"/>
      </rPr>
      <t>1</t>
    </r>
  </si>
  <si>
    <t>Depreciation Expense per Apppendix 2-BA Fixed Assets, Column J
 (l)</t>
  </si>
  <si>
    <t>Current Year Depreciation Expense</t>
  </si>
  <si>
    <t xml:space="preserve">Current Year Depreciation Expense </t>
  </si>
  <si>
    <t xml:space="preserve">(h)=Prior Full Year Depreciation + ((d)*0.5)/(f) </t>
  </si>
  <si>
    <t xml:space="preserve">(h) = Prior Full Year Deprecation + ((d)*0.5)/(f) </t>
  </si>
  <si>
    <r>
      <t>Current Depreciation Expense</t>
    </r>
    <r>
      <rPr>
        <b/>
        <vertAlign val="superscript"/>
        <sz val="10"/>
        <rFont val="Arial"/>
        <family val="2"/>
      </rPr>
      <t>1</t>
    </r>
  </si>
  <si>
    <t xml:space="preserve">(h)= Prior Full Year Depreciation + ((d)*0.5)/(f) </t>
  </si>
  <si>
    <t>Less Depreciation Expense on Assets Fully Depreciated During the Year
(o)</t>
  </si>
  <si>
    <t>2011 Rebasing Year</t>
  </si>
  <si>
    <t>2017 Rebasing Year</t>
  </si>
  <si>
    <t>2012 Rebasing Year</t>
  </si>
  <si>
    <t xml:space="preserve">     the deferral account closing balance as of 2016 x WACC X # of years of rate rider disposition period</t>
  </si>
  <si>
    <t xml:space="preserve">     the variance account ending balance as of 2016 x WACC X # of years of rate rider disposition period</t>
  </si>
  <si>
    <t>MIFRS (Year 6)</t>
  </si>
  <si>
    <t xml:space="preserve">         2013 Set of Appendices</t>
  </si>
  <si>
    <t>Not applicable as the test year depreciation is already calculated in Appendix 2-CF.  Note that this appendix is not to be used even though depreciation expense calculations will flow through from previous years to this appendix.</t>
  </si>
  <si>
    <t>Rebased under CGAAP</t>
  </si>
  <si>
    <t>Prior</t>
  </si>
  <si>
    <t>Historicals</t>
  </si>
  <si>
    <r>
      <t>·</t>
    </r>
    <r>
      <rPr>
        <sz val="10"/>
        <rFont val="Times New Roman"/>
        <family val="1"/>
      </rPr>
      <t>       </t>
    </r>
  </si>
  <si>
    <t>2012 Set of Appendices (2-CA to 2-CG)</t>
  </si>
  <si>
    <t>2013 Set of Appendices (2-CA to 2-CF)</t>
  </si>
  <si>
    <t>*Depreciation accounting policy changes were mandated by the Board by January 1, 2013. In general, no further changes to an applicant's depreciation policy (i.e.  assets' service lives) are expected after the Board mandated changes by January 1, 2013.  The set of Appendix 2-CA to 2-CG assumes this to be the case.  If the applicant has made any changes to its depreciation policy subsequent to the Board mandated changes,  applicants must identify the change, explain the nature of the change, the reason for the change, quantify the impact of the change, and quantify the depreciation expense before and after the change.</t>
  </si>
  <si>
    <r>
      <t xml:space="preserve">MIFRS </t>
    </r>
    <r>
      <rPr>
        <sz val="10"/>
        <color indexed="8"/>
        <rFont val="Arial"/>
        <family val="2"/>
      </rPr>
      <t>- Note 5</t>
    </r>
  </si>
  <si>
    <r>
      <t xml:space="preserve">MIFRS - </t>
    </r>
    <r>
      <rPr>
        <sz val="10"/>
        <color indexed="8"/>
        <rFont val="Arial"/>
        <family val="2"/>
      </rPr>
      <t>Note 5</t>
    </r>
  </si>
  <si>
    <t>5 Differences due to the adoption of MIFRS are to be shown separately in Account 1575 in Appendix 2-EA as Accounts 1575 and 1576 cannot be used interchangably.</t>
  </si>
  <si>
    <t>Audited Actual Costs Incurred</t>
  </si>
  <si>
    <t xml:space="preserve">Audited Carrying Charges </t>
  </si>
  <si>
    <t>To December 31, 2015</t>
  </si>
  <si>
    <r>
      <t xml:space="preserve">2017 </t>
    </r>
    <r>
      <rPr>
        <b/>
        <vertAlign val="superscript"/>
        <sz val="10"/>
        <rFont val="Arial"/>
        <family val="2"/>
      </rPr>
      <t>3</t>
    </r>
  </si>
  <si>
    <t>Carrying Charges January 1, 2016 to December 31,2016/April 30, 2017 (As appropriate)</t>
  </si>
  <si>
    <r>
      <t xml:space="preserve">Amounts, if any, included in previous Board approved rates (amounts should be negative) </t>
    </r>
    <r>
      <rPr>
        <vertAlign val="superscript"/>
        <sz val="10"/>
        <rFont val="Arial"/>
        <family val="2"/>
      </rPr>
      <t>2</t>
    </r>
  </si>
  <si>
    <t>Closing NBV 2017</t>
  </si>
  <si>
    <r>
      <t>Reflected Accounting Policy Changes in Prior Application</t>
    </r>
    <r>
      <rPr>
        <b/>
        <vertAlign val="superscript"/>
        <sz val="10"/>
        <rFont val="Arial"/>
        <family val="2"/>
      </rPr>
      <t>3</t>
    </r>
  </si>
  <si>
    <t>3) Applicants should provide CGGAP and Revised CGAAP schedules (i.e. as indicated in the first two columns of the above table) to support balances in Account 1576 if the account has yet to be disposed of.</t>
  </si>
  <si>
    <r>
      <rPr>
        <sz val="10"/>
        <rFont val="Symbol"/>
        <family val="1"/>
        <charset val="2"/>
      </rPr>
      <t xml:space="preserve"> </t>
    </r>
    <r>
      <rPr>
        <sz val="10"/>
        <rFont val="Arial"/>
        <family val="2"/>
      </rPr>
      <t>If an applicant changed depreciation policies and reflected these changes in a prior rebasing application, the applicant should complete Appendix 2-CH. The applicant must provide data starting from the earlier of 1) all historical years back to its last rebasing; or 2) at least three years of historical actuals, in addition to Bridge Year and Test Year forecasts.</t>
    </r>
  </si>
  <si>
    <t>1) For an applicant that has a balance in Account 1576 to dispose:</t>
  </si>
  <si>
    <r>
      <t xml:space="preserve">For applicants with a balance in Account 1576 and made capitalization and depreciation expense accounting policy changes under CGAAP effective January 1, </t>
    </r>
    <r>
      <rPr>
        <b/>
        <sz val="10"/>
        <color indexed="10"/>
        <rFont val="Arial"/>
        <family val="2"/>
      </rPr>
      <t xml:space="preserve">2012 </t>
    </r>
  </si>
  <si>
    <r>
      <t xml:space="preserve">For applicants with a balance in Account 1576 and made capitalization and depreciation expense accounting policy changes under CGAAP effective January 1, </t>
    </r>
    <r>
      <rPr>
        <b/>
        <sz val="10"/>
        <color indexed="10"/>
        <rFont val="Arial"/>
        <family val="2"/>
      </rPr>
      <t>2013</t>
    </r>
  </si>
  <si>
    <t>5-year Distribution System Plan Period</t>
  </si>
  <si>
    <r>
      <t>Total Recoverable OM&amp;A from Appendix 2-JB</t>
    </r>
    <r>
      <rPr>
        <b/>
        <vertAlign val="superscript"/>
        <sz val="10"/>
        <rFont val="Arial"/>
        <family val="2"/>
      </rPr>
      <t xml:space="preserve"> 5</t>
    </r>
  </si>
  <si>
    <t>Load Forecast CDM Adjustment Work Form (2017)</t>
  </si>
  <si>
    <t>2015-2020 CDM Program - 2017, third year of the current CDM plan</t>
  </si>
  <si>
    <t>Determination of 2017 Load Forecast Adjustment</t>
  </si>
  <si>
    <t>From each of the 2006-2010 CDM Final Report,  and the 2011, 2012, 2013, 2014 and 2015 CDM Final Reports, issued by the OPA/IESO for the distributor, the distributor should input the "gross" and "net" results of the cumulative CDM savings for 2014 into cells D84 to E88.  The model will calculate the cumulative savings for all programs from 2006 to 2012 and determine the "net" to "gross" factor "g".</t>
  </si>
  <si>
    <t>Persistence of Historical CDM programs to 2015</t>
  </si>
  <si>
    <t>2015 CDM program</t>
  </si>
  <si>
    <t>2006 to 2015 OPA CDM programs:  Persistence to 2017</t>
  </si>
  <si>
    <t>Weight Factor for Inclusion in CDM Adjustment to 2017 Load Forecast</t>
  </si>
  <si>
    <t>Default is 0, but one option is for full year impact of persistence of 2015 CDM programs on 2017 load forecast, but 50% impact in base forecast (first year impact of 2014 CDM programs on 2014 actuals, which is part of the data for the load forecast.</t>
  </si>
  <si>
    <t>2018, 2019 and 2020 are future years beyond the 2017 test year. No impacts of CDM programs beyond the 2017 test year are factored into the test year load forecast.</t>
  </si>
  <si>
    <t>2015-2020 LRAMVA and 2017 CDM adjustment to Load Forecast</t>
  </si>
  <si>
    <t>One manual adjustment for CDM impacts to the 2017 load forecast is made.  There is a different but related threshold amount that is used for the 2017 LRAMVA amount for Account 1568.</t>
  </si>
  <si>
    <t xml:space="preserve">If used to determine the manual CDM adjustment for the system purchased kWh, the proposed loss factor should correspond with the proposed total loss factor calculated in Appendix 2-R </t>
  </si>
  <si>
    <t xml:space="preserve">The Manual Adjustment for the 2017 Load Forecast is the amount manually subtracted from the system-wide load forecast (either based on a purchased or billed basis) derived from the base forecast from historical data. </t>
  </si>
  <si>
    <t>Total for 2017</t>
  </si>
  <si>
    <t>Amount used for CDM threshold for LRAMVA (2017)</t>
  </si>
  <si>
    <t>Manual Adjustment for 2017 Load Forecast (billed basis)</t>
  </si>
  <si>
    <t>Manual Adjustment for 2017 Load Forecast (system purchased basis)</t>
  </si>
  <si>
    <t>The distributor should determine the allocation of the savings to all customer classes in a reasonable manner (e.g. taking into account what programs and what IESO-measured impacts were directed at specific customer classes), for both the LRAMVA and for the load forecast adjustment.</t>
  </si>
  <si>
    <r>
      <t xml:space="preserve">Total Benefits (Current + Accrued) </t>
    </r>
    <r>
      <rPr>
        <b/>
        <vertAlign val="superscript"/>
        <sz val="10"/>
        <rFont val="Arial"/>
        <family val="2"/>
      </rPr>
      <t>2</t>
    </r>
  </si>
  <si>
    <t>Information to be filed in 2017 CoS Application</t>
  </si>
  <si>
    <t>Appendix 2-KA</t>
  </si>
  <si>
    <t>(Not required if Host Distributor has an Embedded Distributor rate class, i.e. a separate row on Sheet 11 of the RRWF.)</t>
  </si>
  <si>
    <t>Please indicate if OPEBs were recovered on a cash or accrual accounting basis for each year since the distributor started to recover OPEBs in distribution rates from customers:</t>
  </si>
  <si>
    <t xml:space="preserve">Notes: </t>
  </si>
  <si>
    <t>(Please add any information to explain the accounting basis used for OPEBs cost recovery in rate setting. If basis is other than Cash or Accrual, an explanation is required.)</t>
  </si>
  <si>
    <t>Please complete the following table:</t>
  </si>
  <si>
    <t>OPEBs (Other Post-Employment Benefits) Costs</t>
  </si>
  <si>
    <t>OPEBS</t>
  </si>
  <si>
    <t>Amounts included in Rates</t>
  </si>
  <si>
    <t xml:space="preserve">     OM&amp;A</t>
  </si>
  <si>
    <t xml:space="preserve">     Capital</t>
  </si>
  <si>
    <t xml:space="preserve">     Total</t>
  </si>
  <si>
    <t>Paid benefit amounts</t>
  </si>
  <si>
    <t>Net excess amount included in rates relative to amounts actually paid.</t>
  </si>
  <si>
    <t>Please describe what the distributor has done with the recoveries in excess of cash payments:</t>
  </si>
  <si>
    <t>App.2-KA: OPEBs (Other Post-Employment Benefits) Costs</t>
  </si>
  <si>
    <t xml:space="preserve">     O&amp;M per customer</t>
  </si>
  <si>
    <t xml:space="preserve">     Admin per customer</t>
  </si>
  <si>
    <t xml:space="preserve">     Total OM&amp;A per customer</t>
  </si>
  <si>
    <t>OM&amp;A cost per FTE</t>
  </si>
  <si>
    <t xml:space="preserve">     O&amp;M per FTE</t>
  </si>
  <si>
    <t xml:space="preserve">     Admin per FTE</t>
  </si>
  <si>
    <t xml:space="preserve">     Total OM&amp;A per FTE</t>
  </si>
  <si>
    <t xml:space="preserve">     O&amp;M</t>
  </si>
  <si>
    <t xml:space="preserve">     Admin Expenses</t>
  </si>
  <si>
    <t>OM&amp;A Costs</t>
  </si>
  <si>
    <t>The method of calculating the number of customers must be identified. Should be linked back to Appendix 2-IA</t>
  </si>
  <si>
    <t>For the test year and in the subsequent four years of the DSP period, the applicant should take into account the system O&amp;M (line X of Appendix 2-AB) in developing its forecasted OM&amp;A. Admin expenses beyond the test year also need to be forecasted (separately).</t>
  </si>
  <si>
    <t>App.2-CA: Year 1 Depreciation and Amortization Expense (Old CGAAP)</t>
  </si>
  <si>
    <t>App.2-CB: Year 1 Depreciation and Amortization Expense (New CGAAP)</t>
  </si>
  <si>
    <t>App.2-CC: Year 2 Depreciation and Amortization Expense (New CGAAP)</t>
  </si>
  <si>
    <t>App.2-CD: Year 3 Depreciation and Amortization Expense (New CGAAP or MIFRS)</t>
  </si>
  <si>
    <t>App.2-CE: Year 4 Depreciation and Amortization Expense (MIFRS)</t>
  </si>
  <si>
    <t>App.2-CF: Year 5 Depreciation and Amortization Expense (MIFRS)</t>
  </si>
  <si>
    <t>App.2-CG: Year 6 Depreciation and Amortization Expense (Old CGAAP)</t>
  </si>
  <si>
    <t>App.2-CH: Depreciation and Amortization Expense (MIFRS)</t>
  </si>
  <si>
    <r>
      <rPr>
        <sz val="11"/>
        <color rgb="FF00B0F0"/>
        <rFont val="Calibri"/>
        <family val="2"/>
        <scheme val="minor"/>
      </rPr>
      <t>Scenario 2</t>
    </r>
    <r>
      <rPr>
        <sz val="11"/>
        <color theme="1"/>
        <rFont val="Calibri"/>
        <family val="2"/>
        <scheme val="minor"/>
      </rPr>
      <t xml:space="preserve">:  </t>
    </r>
    <r>
      <rPr>
        <b/>
        <sz val="11"/>
        <color theme="1"/>
        <rFont val="Calibri"/>
        <family val="2"/>
        <scheme val="minor"/>
      </rPr>
      <t>Investments in the Test Year and Beyond.</t>
    </r>
    <r>
      <rPr>
        <sz val="11"/>
        <color theme="1"/>
        <rFont val="Calibri"/>
        <family val="2"/>
        <scheme val="minor"/>
      </rPr>
      <t xml:space="preserve">  Distributor plans to make investments in 2017 and/or beyond.  These investments should be added to 2-FA in the appropriate year.</t>
    </r>
  </si>
  <si>
    <t>For historical investments, enter these variables for your last cost of service test year.  For 2017 and beyond, enter variables as in the application.</t>
  </si>
  <si>
    <t>Rate Riders are not calculated for the Test Year as these assets and costs are already in the distributor's rate base.</t>
  </si>
  <si>
    <t>Rate Riders are not calculated for the Test Year as these assets and costs are already in the distributor's rate base/revenue requirement.</t>
  </si>
  <si>
    <t>Energy + Inc.</t>
  </si>
  <si>
    <t>Hydro One Networks Inc. - Norfolk</t>
  </si>
  <si>
    <t>Peterborough Distribution Inc.</t>
  </si>
  <si>
    <r>
      <t xml:space="preserve">CGAAP </t>
    </r>
    <r>
      <rPr>
        <b/>
        <vertAlign val="superscript"/>
        <sz val="10"/>
        <rFont val="Arial"/>
        <family val="2"/>
      </rPr>
      <t>1</t>
    </r>
  </si>
  <si>
    <t xml:space="preserve">An applicant must provide a summary of the dollar impacts of MIFRS to each component of the revenue requirement (e.g. rate base, operating costs, etc.), including the overall impact on the proposed revenue requirement.  Accordingly,  the applicant must identify financial differences and resulting revenue requirement impacts arising from the adoption of  MIFRS as compared to CGAAP.  If the applicant is reflecting the changes in capitalization and depreciation policies for the first time in a rebasing application, then a comparison between MIFRS and CGAAP before the change in accounting policies should be completed.  If the applicant changed capitalization and depreciation policies and  reflected these changes in a prior rebasing application, then a comparison between MIFRS and CGAAP after the change in accounting policies should be completed.  </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</si>
  <si>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</si>
  <si>
    <r>
      <t xml:space="preserve">Disposals </t>
    </r>
    <r>
      <rPr>
        <b/>
        <vertAlign val="superscript"/>
        <sz val="10"/>
        <rFont val="Arial"/>
        <family val="2"/>
      </rPr>
      <t>6</t>
    </r>
  </si>
  <si>
    <t>Instructions on Customer, Connections, Load Forecast and Revenues Data and Analysis</t>
  </si>
  <si>
    <t>This sheet requires no inputs, but serves as a summary of the hiostorical and forecasted data to be provided with respect to:</t>
  </si>
  <si>
    <t>1)</t>
  </si>
  <si>
    <t>Customers and connections</t>
  </si>
  <si>
    <t>2)</t>
  </si>
  <si>
    <t>3)</t>
  </si>
  <si>
    <t>Demand (kW or kCA) for applicable demand-billed customer classes</t>
  </si>
  <si>
    <t>4)</t>
  </si>
  <si>
    <t>Revenues</t>
  </si>
  <si>
    <t>Appendix 2-IB (formerly 2-IA) is the appendix spreadsheet that the distributor populates, and the spreadsheet is laid out for inputting the necessary data. The spreadsheet also calculates necessary statistics such as average consumption per customer/connection per year, and variances and % annual changes, as necessary.</t>
  </si>
  <si>
    <t>The distributor is required to provide suitable documentation in Exhibit 3 of its Application, in accordance with section 2.3.2 of Chaoter 2 of the Filing Requirements. This would include explanations for material variations or of trends in the data.</t>
  </si>
  <si>
    <t>The distributor is also required to input its test year customer/connection and load forecast in Sheet 10 - Load Forecast of the Revenue Requirement Work Form. This sheet should also be updated to reflect changes in the load forecast made through the stages of processing of the rates application.</t>
  </si>
  <si>
    <t>The applicant must demonstrate the historical accuracy of its load forecast approach for at least the past 5 years. Such analysis will cover both customer/connections and consumption (kWh) and demand (kW or kVA) by providing the following, as shown in the following table:</t>
  </si>
  <si>
    <t>Bridge Year (Forecast)</t>
  </si>
  <si>
    <t>Test Year (Forecast)</t>
  </si>
  <si>
    <t>Calendar Year</t>
  </si>
  <si>
    <t>(for 2017 Cost of Service)</t>
  </si>
  <si>
    <r>
      <t xml:space="preserve">Board-approved </t>
    </r>
    <r>
      <rPr>
        <vertAlign val="superscript"/>
        <sz val="10"/>
        <rFont val="Arial"/>
        <family val="2"/>
      </rPr>
      <t>(2)</t>
    </r>
  </si>
  <si>
    <t>The spreadsheet summarizes the data provided and the analyses (variance or year-over-year) that are required. Data are required to be provided on a customer class level. Consumption (kWh) must also be provided on a total distribution system level.</t>
  </si>
  <si>
    <t>Weather-actual</t>
  </si>
  <si>
    <t>Weather-normalized</t>
  </si>
  <si>
    <r>
      <t xml:space="preserve">Actual </t>
    </r>
    <r>
      <rPr>
        <vertAlign val="superscript"/>
        <sz val="10"/>
        <rFont val="Arial"/>
        <family val="2"/>
      </rPr>
      <t>(1)</t>
    </r>
  </si>
  <si>
    <t>Demand (kW or kVA)</t>
  </si>
  <si>
    <r>
      <t xml:space="preserve">Consumption (kWh) </t>
    </r>
    <r>
      <rPr>
        <b/>
        <vertAlign val="superscript"/>
        <sz val="10"/>
        <rFont val="Arial"/>
        <family val="2"/>
      </rPr>
      <t>(3)</t>
    </r>
  </si>
  <si>
    <t>Appendix 2-IB</t>
  </si>
  <si>
    <t>App.2-IA: Load Forecast Data Instructions</t>
  </si>
  <si>
    <t>App.2-IB:  Actual and Forecast Load and Customer Data</t>
  </si>
  <si>
    <t>“Weather-normalized actuals” are estimated by replacing the actual weather-related values (typically Heating Degree Days (HDD) and Cooling Degree Days (CDD)) by the “typical” or “weather-normalized” values. These “weather-normalized HDD and CDD values would be the same as used to estimate the Bridge Year and Test Year forecasts.</t>
  </si>
  <si>
    <t>For 2017 Cost of Service rebasers, the typical situation is that 2013 would have been the most recent cost of service rebasing application. If the most recent rebasing application was for a rate year other than 2013, that year should be used. An applicant must provide historical information back to the greater of: a) at least five (5) historical actual years; or b) to its last cost of service application.</t>
  </si>
  <si>
    <t>Consumption must be provided on a total distribution system basis as well as at a customer class level.</t>
  </si>
  <si>
    <t>Revenues exclude commodity charges.</t>
  </si>
  <si>
    <t>Geometric Mean</t>
  </si>
  <si>
    <t>Year-over-year</t>
  </si>
  <si>
    <t>Versus Board-approved</t>
  </si>
  <si>
    <t>Is the customer class billed on consumption (kWh) or demand (kW or kVA)?</t>
  </si>
  <si>
    <t>Customer, Connections, Load Forecast and Revenues Data and Analysis</t>
  </si>
  <si>
    <t>Actual (Weather actual)</t>
  </si>
  <si>
    <t>This sheet is to be filled in accordance with the instructions documented in section 2.3.2 of Chapter 2 of the Filing Requirements for Distribution Rate Applications, in terms of one set of tables per customer class.</t>
  </si>
  <si>
    <t>Color coding for Cells:</t>
  </si>
  <si>
    <t>Data input</t>
  </si>
  <si>
    <t>Drop-down List</t>
  </si>
  <si>
    <t>No data entry required</t>
  </si>
  <si>
    <t>Blank or calculated value</t>
  </si>
  <si>
    <t>Distribution System (Total)</t>
  </si>
  <si>
    <t>Customer Class Analysis (one for each Customer Class, excluding MicroFIT and Standby)</t>
  </si>
  <si>
    <t>Test Year Versus Board-approved</t>
  </si>
  <si>
    <t>GS &gt; 50 kW</t>
  </si>
  <si>
    <t>App.2-YA: One-Time Incremental IFRS Transition Costs</t>
  </si>
  <si>
    <t>App.2-N: Shared Services and Corporate Cost Allocation</t>
  </si>
  <si>
    <t>Adopted IFRS in 2015</t>
  </si>
  <si>
    <t>If an applicant is reflecting changes to its depreciation policies for the first time in a rebasing application, the applicant should complete Appendix 2-CA to 2-CG (changes made in 2012) or Appendix 2-CA to 2-CF (changes made in 2013).   In this set of appendices, the applicant will need to indicate the year it made the accounting policy changes.  The applicant must provide data starting from the year it made changes to its capitalization and depreciation policies.</t>
  </si>
  <si>
    <t xml:space="preserve">Appendix 2-Cx - Depreciation and Amortization </t>
  </si>
  <si>
    <t xml:space="preserve">Applicants are to provide Appendix 2-Cx in accordance with the years and corresponding accounting standards listed in the above table.  </t>
  </si>
  <si>
    <t>Appendix 2-YA</t>
  </si>
  <si>
    <t>component is different under MIFRS</t>
  </si>
  <si>
    <t>App.2-A: List of Requested Approvals</t>
  </si>
  <si>
    <t>List of Requested Approvals</t>
  </si>
  <si>
    <t>Additional requests may be added by copying and pasting blank input rows, as needed.</t>
  </si>
  <si>
    <t>If additional requests arise, or requested approvals are removed, during the processing of the application, the distributor should update this list.</t>
  </si>
  <si>
    <t>Appendix 2-A</t>
  </si>
  <si>
    <t>The method of calculating the number of customers must be identified. Should correspond with data provided in Appendix 2-IB</t>
  </si>
  <si>
    <t>Professional accounting fees</t>
  </si>
  <si>
    <t>Professional legal fees</t>
  </si>
  <si>
    <t>Salaries, wages and benefits of staff added to support the transition to IFRS</t>
  </si>
  <si>
    <t>Associated staff training and development costs</t>
  </si>
  <si>
    <t>Costs related to system upgrades, or replacements or changes where IFRS was the major reason for conversion</t>
  </si>
  <si>
    <t>Appendices for the Tariff of Rates and Charges at Current and Proposed Rates, and for the Bill Impacts are now in a separate spreadsheet model. These appendices were formerly 2-Z and 2-W.</t>
  </si>
  <si>
    <t>2) For applicants that are reflecting accounting policy changes for the first time in a rebasing application, the applicant must file two appendices in the year that the applicant implemented changes to its capitalization and depreciation policies (2012 or 2013), one before and one after the policy changes.</t>
  </si>
  <si>
    <t xml:space="preserve">The typical applicant is expected to have made capitalization and depreciation policy changes under CGAAP as permitted by the Board on January 1, 2012 or mandated by the Board by January 1, 2013, and adopted IFRS for reporting purposes on January 1, 2015 (transition date January 1, 2014).  Some distributors filing for 2017 rates have rebased with these accounting changes reflected in a prior rebasing application.  If that is the case, information relating to pre-accounting policy changes is not generally required.  The information to be provided by applicants will depend on when the accounting policy changes were made and when they last rebased.  In general, applicants should provide the following information in the appendices: </t>
  </si>
  <si>
    <t>If an applicant changed capitalization and depreciation policies effective January 1, 2013, the applicant must complete Appendix 2-EC</t>
  </si>
  <si>
    <t>2) For an applicant that has a balance in Account 1575 to dispose:</t>
  </si>
  <si>
    <t>The applicant must complete 2-EA</t>
  </si>
  <si>
    <t xml:space="preserve">If an applicant changed capitalization and depreciation policies effective January 1, 2012, the applicant must complete Appendix 2-EB </t>
  </si>
  <si>
    <t xml:space="preserve"> If the applicant did not make any further PP&amp;E accounting policy changes beyond the capitalization and depreciation policy changes as mandated by the Board by January 1, 2013 (i.e. no further changes made on transition to IFRS), the applicant must indicate this and does not need to complete Appendix 2-EA.</t>
  </si>
  <si>
    <t xml:space="preserve">1.  Applicants must provide a summary of the dollar impacts of MIFRS to each component of the revenue requirement (e.g. rate base, operating costs, etc.), including the overall impact on the proposed revenue requirement.  Accordingly, the applicants must identify financial differences and resulting revenue requirement impacts arising from the adoption of  MIFRS as compared to CGAAP.  If the applicant is reflecting the changes in capitalization and depreciation policies for the first time in a rebasing application, then the comparison in the above table should be between MIFRS and CGAAP before the change in accounting policies. If the applicant changed capitalization and depreciation policies and reflected these changes in a previous rebasing application, the comparison in the above table should be between MIFRS and CGAAP after the change in accounting policies.  </t>
  </si>
  <si>
    <t>Did you update your depreciation and capitalization policies and reflect the changes in policies in a prior rebasing application?</t>
  </si>
  <si>
    <t>When did you update your actual depreciation and capitalization policies?</t>
  </si>
  <si>
    <t>Identify the year the applicant adopted IFRS for financial reporting purposes</t>
  </si>
  <si>
    <t>The Cost of Service Rate Application Schematic is a flowchart that is included as a guide for the components of an application. The schematic demonstrates how demand and costs interrelate to derive the revenue requirement and how the revenue requirement is allocated between classes and through fixed/variable splits to derive rates that will be compensatory for the annual revenue requirement, based on the the forecasted demand.  There is no form to be filled out; therefore, this Schedule is not required to be filed.</t>
  </si>
  <si>
    <t>1. Historical “previous plan” data is not required unless a plan has previously been filed. However, use the last Board-approved, at least on a Total (Capital) Expenditure basis for the last cost of service rebasing year, and the applicant should include their planned budget in each subsequent historical year up to and including the Bridge Year.</t>
  </si>
  <si>
    <t>2. Indicate the number of months of 'actual' data included in the last year of the Historical Period (normally a 'bridge' year):</t>
  </si>
  <si>
    <t>For the test year, the applicant should take into account the system O&amp;M (line 22 of Appendix 2-AB) in developing its forecasted OM&amp;A.</t>
  </si>
  <si>
    <t>2011 CDM Programs</t>
  </si>
  <si>
    <t>2012 CDM Programs</t>
  </si>
  <si>
    <t>2013 CDM Programs</t>
  </si>
  <si>
    <t>2014 CDM Programs</t>
  </si>
  <si>
    <t>Excluding Major Event Days</t>
  </si>
  <si>
    <t>2011 - 2015</t>
  </si>
  <si>
    <t>Appendix 2-I was initially developed to help determine what would be the amount of CDM savings needed in each year to cumulatively achieve the four year 2011-2014 CDM target.  This then determined the amount of kWh (and with translation, kW of demand) savings that were converted into dollar balances for the LRAMVA, and also to determine the related adjustment to the load forecast to account for OPA-reported savings.  Beginning for the 2015 year, it has been adjusted because the persistence of 2011-2014 CDM programs will be an adjustment to the load forecast in addition to the estimated savings for the first year (2015) for the new 2015-2020 CDM plan.</t>
  </si>
  <si>
    <r>
      <t>2017 is the third year of the six-year (2015-2020) Conservation First program. Final results for the 2011-14 program were issued in the fall of 2015, and the program in completed, although in some instances disposition of the amounts has been deferred. For the purposes of the 2015-2020 LRAMVA, and the impact of CDM on the load forecast, CDM programs in 2014 and earlier are implicit in the historical data on which the base load forecast is developed. Only impacts of 2015 to 2017 CDM programs need to be reflected in the manual load forecast adjustment and for the LRAMVA threshold amount in 2017 and carrying forward, although the half-year impact of 2015 CDM programs on the 2015 historical data is also assumed to be reflected in the base load forecast.</t>
    </r>
    <r>
      <rPr>
        <sz val="10"/>
        <rFont val="Arial"/>
        <family val="2"/>
      </rPr>
      <t xml:space="preserve">  </t>
    </r>
  </si>
  <si>
    <t>The new six year (2015-2020) CDM program works similarly to the previous 2011-2014 CDM program, meaning that distributors will offer programs each year that, over the six years (from January 1, 2015 to December 31, 2020) will strive to cumulatively achieve savings meeting the new six year CDM target. In other words, distributors will be able to offer and execute programs on a basis so that cumulatively over the period, the measured impacts, including persistence, of the CDM programs will accumulate towards achieving each distributor's 2015-2020 CDM target.</t>
  </si>
  <si>
    <r>
      <t xml:space="preserve">Note: </t>
    </r>
    <r>
      <rPr>
        <sz val="10"/>
        <rFont val="Arial"/>
        <family val="2"/>
      </rPr>
      <t>The default formulae in the above table assume that 1/21 of the 2015-2020 kWh CDM target is required each year so that, including persistence, 100% of the kWh target is achieved by the end of 2020.  The distributor can input the 2015 CDM savings, including persistence from 2016 to 2020, once the reports become available. The distributor can also input estimates or forecasts of the 2016 and 2017 CDM programs if it believes that these are more realistic; such information would typically be derived from the CDM plans that the distributor has filed with the IESO. Similarly, CDM savings and persistence into future years can be estimated for 2018, 2019 and 2020 CDM programs. However, the distributor will have to support its proposals for estimated or forecasted savings, particularly beyond the 2017 test year. The sum of cumulative savings, including persistence, should equal the target entered into cell A25.</t>
    </r>
  </si>
  <si>
    <t>The Board determined that the "net" number should be used in its Decision and Order with respect to Centre Wellington Hydro Ltd.'s 2013 Cost of Service rates (EB-2012-0113).  This approach has also been used in Settlement Agreements accepted by the Board in other 2013 and 2014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</si>
  <si>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The default values below represent the factor used for how each year's CDM program is factored into the manual CDM adjustment.  Distributors can choose alternative weights of "0", "0.5" or "1" from the drop-down menu for each cell, but must support its alternatives.</t>
  </si>
  <si>
    <t>These factors do not mean that CDM programs are excluded, but the assumption that impacts of previous year CDM programs are already implicitly reflected in the actual data for historical years that are used to derive the load forecast prior to any manual CDM adjustment for the 2017 test year.</t>
  </si>
  <si>
    <t>The Amount used for the CDM threshold of the LRAMVA is the kWh that will be used to determine the base amount for the LRAMVA balance for 2017, for assessing performance against the five-year target.</t>
  </si>
  <si>
    <t>If the distributor has developed their load forecast on a system purchased basis, then the manual adjustment should be on a system purchased basis, including the adjustment for losses.  If the load forecast has been developed on a billed basis, either on a system basis or on a class-specific basis, the manual adjustment should be on a billed basis, excluding losses.</t>
  </si>
  <si>
    <t>Manual adjustment uses "gross" versus "net" (i.e. numbers multiplied by (1 + g).  The Weight factor is also used to calculate the impact of each year's program on the CDM adjustment to the 2017 load forecast.</t>
  </si>
  <si>
    <t>(Yes/No)</t>
  </si>
  <si>
    <r>
      <t>1</t>
    </r>
    <r>
      <rPr>
        <b/>
        <sz val="10"/>
        <rFont val="Arial"/>
        <family val="2"/>
      </rPr>
      <t xml:space="preserve"> </t>
    </r>
    <r>
      <rPr>
        <sz val="10"/>
        <rFont val="Arial"/>
        <family val="2"/>
      </rPr>
      <t>If an applicant wishes to use headcount, it must also file the same schedule on an FTE basis.</t>
    </r>
  </si>
  <si>
    <r>
      <rPr>
        <b/>
        <vertAlign val="superscript"/>
        <sz val="10"/>
        <rFont val="Arial"/>
        <family val="2"/>
      </rPr>
      <t>2</t>
    </r>
    <r>
      <rPr>
        <sz val="10"/>
        <rFont val="Arial"/>
        <family val="2"/>
      </rPr>
      <t xml:space="preserve"> Current employee benefits, plus Pension and Other Post-Employment Benefits costs, as recorded for recovery in distribution rates. Should be consistent with OPEBs costs as documented in Appendix 2-KA.</t>
    </r>
  </si>
  <si>
    <t>The distributor must fill out the following sheet with the complete list of specific approvals requested and relevant section(s) of the legislation must be provided. All approvals, including accounting orders (deferral and variance accounts) new rate classes, revised specific service charges or retail service charges which the applicant is seeking, must be separately identified, as well being clearly documented in the appropriate sections of the application.</t>
  </si>
  <si>
    <t>Unmetered Scattered Load</t>
  </si>
  <si>
    <r>
      <rPr>
        <b/>
        <sz val="10"/>
        <rFont val="Arial"/>
        <family val="2"/>
      </rPr>
      <t>Note:</t>
    </r>
    <r>
      <rPr>
        <sz val="10"/>
        <rFont val="Arial"/>
        <family val="2"/>
      </rPr>
      <t xml:space="preserve"> If there are more than ten (10) customer classes, please contact OEB Staff to add tables for additional customer classes.</t>
    </r>
  </si>
  <si>
    <t>On-Going</t>
  </si>
  <si>
    <t>One-Time</t>
  </si>
  <si>
    <t>Mark Danelon, Director, Finance &amp; Regulatory Affairs</t>
  </si>
  <si>
    <t>519-776-5291 ext 204</t>
  </si>
  <si>
    <t>mdanelon@elkenergy.com</t>
  </si>
  <si>
    <t>Yes</t>
  </si>
  <si>
    <t>E.L.K. Solutions Inc.</t>
  </si>
  <si>
    <t>Town of Essex</t>
  </si>
  <si>
    <t>Streetlighting, Sentinel Lighting and Water Heaters</t>
  </si>
  <si>
    <t>Cost Base plus mark-up</t>
  </si>
  <si>
    <t>Billing Function for Water Department</t>
  </si>
  <si>
    <t>Non-Management (union and non-union, directors and retirees)</t>
  </si>
  <si>
    <t>2013 Actuals</t>
  </si>
  <si>
    <t>Approval of the Distribution System Plan as outlined in Exhibit 2.</t>
  </si>
  <si>
    <t>Approval of revised low voltage rates as proposed and described in Exhibit 8.</t>
  </si>
  <si>
    <t>Approval to adjust the Retail Transmission Rates - Network and Connection as detailed in Exhibit 8.</t>
  </si>
  <si>
    <t>Approval to continue to charge Wholesale Market and Rural Rate Protection Charges approved in the Board Decision and Order in the matter of E.L.K.`s 2016 Distribution Rates (EB-2015-0064).</t>
  </si>
  <si>
    <t>Approval to continue the Specific Service Charges and Transformer Allowance approved in the Board Decision and Order in the matter of E.L.K.`s 2016 Distribution Rates (EB-2015-0064).</t>
  </si>
  <si>
    <t>Approval of the proposed loss factors as detailed in Exhibit 8.</t>
  </si>
  <si>
    <t>Customer Letters, E-Blast, Bill Inserts</t>
  </si>
  <si>
    <t>Conservation and Usage Reduction for Small Business and Residential and Low Income.  Programs available to manage peak demand.</t>
  </si>
  <si>
    <t>General Awareness is being promoted.  Increase awareness, reduce consumption and cost.</t>
  </si>
  <si>
    <t>Outreach to Essex Chamber of Commerce, Local B.I.A.</t>
  </si>
  <si>
    <t>Outreach to Local Area Foodbanks, Local Social Service Agency</t>
  </si>
  <si>
    <t>Conservation and Usage Reduction for Small Business and Residential and Low Income</t>
  </si>
  <si>
    <t>Complete Re-design of E.L.K. Energy Website</t>
  </si>
  <si>
    <t>Rate changes and impacts, great ability to reseach and gain greater understanding and awareness of industry and bill.</t>
  </si>
  <si>
    <t xml:space="preserve">e-Services portal enables future enhancement </t>
  </si>
  <si>
    <t>Customer Education Literature</t>
  </si>
  <si>
    <t>E.L.K. has created a Customer Education Section at the front of the office that has brochures, bill inserts, TOU info , Conservation info etc and staff are always willing and ready to answer questions.</t>
  </si>
  <si>
    <t>E-Billing/Customer Connect - Online Account Services</t>
  </si>
  <si>
    <t>E.L.K. provides access to customer bills and consumption data</t>
  </si>
  <si>
    <t>E.L.K. has offering to customers based on input received from customers.  This also reduces E.L.K.'s carbon footprint.</t>
  </si>
  <si>
    <t>Financial Assistance Program</t>
  </si>
  <si>
    <t>E.L.K. provides support through partnerships with the provinces Low Income Energy Assistance Program.  This emergency financial assistance program are designed to help low income customers who have difficulty making their electricity bill payments</t>
  </si>
  <si>
    <t>E.L.K. promotes and continues to promote verbally and in writing on a monthly basis about the financial assistance programs available.</t>
  </si>
  <si>
    <t>Regional Planning Engagements</t>
  </si>
  <si>
    <t>E.L.K. has partipated in all Regional Planning Initiatives with Government and Municipalities.</t>
  </si>
  <si>
    <t>Increased Functionality with Phone System</t>
  </si>
  <si>
    <t>Greater communication ability</t>
  </si>
  <si>
    <t>Notification of rate changes, new e billing features</t>
  </si>
  <si>
    <t>Oraclepoll Research Group Telephone Survey</t>
  </si>
  <si>
    <t>E.L.K. has since engaged Greensaver to assist in the development of an entire Social Media Stream to allow for further option for customers to connect with E.L.K.</t>
  </si>
  <si>
    <t>Affordability</t>
  </si>
  <si>
    <t>Power quality and reliability</t>
  </si>
  <si>
    <t>Line Capacitors,
Automatic Reclose Switches</t>
  </si>
  <si>
    <t>Customer service quality</t>
  </si>
  <si>
    <t xml:space="preserve">Satisfaction surveys </t>
  </si>
  <si>
    <t>Value and affordability of service</t>
  </si>
  <si>
    <t>Technological and self-service enhancements</t>
  </si>
  <si>
    <t>E-Service Ontario's Green Button Policy</t>
  </si>
  <si>
    <t>Communicate unplanned outage information</t>
  </si>
  <si>
    <t xml:space="preserve">Initial stages of a possible outage management system </t>
  </si>
  <si>
    <t>Consumption information</t>
  </si>
  <si>
    <t xml:space="preserve">E-Services portal enables future enhancement </t>
  </si>
  <si>
    <t>OEL meetings and Channel Partner/Contractor events/Geospatial analysis</t>
  </si>
  <si>
    <t>Educate re: CDM programs and incentives</t>
  </si>
  <si>
    <t>Spend what is needed to maintain the current level of outages</t>
  </si>
  <si>
    <t>Spend what is needed to maintain the current length of unexpected outages</t>
  </si>
  <si>
    <t>Invest what it takes to replace the system’s aging infrastructure to maintain system reliability</t>
  </si>
  <si>
    <t>Rebuilds - Pole Replacements, Transformer Replacements, Vault Replacements and General Rebuilds</t>
  </si>
  <si>
    <t>2015 Actual</t>
  </si>
  <si>
    <t>Payroll &amp; Benefits</t>
  </si>
  <si>
    <t>O/H &amp; U/G Maintenance Expenses</t>
  </si>
  <si>
    <t>Meter Reading/Customer Billing</t>
  </si>
  <si>
    <t>Third Party Professional Services</t>
  </si>
  <si>
    <t>Bad Debt Write-Offs</t>
  </si>
  <si>
    <t>Energy Conservation</t>
  </si>
  <si>
    <t>Customer Service, Billing &amp; Collecting</t>
  </si>
  <si>
    <t>Bad Debts</t>
  </si>
  <si>
    <t>Customer Engagement</t>
  </si>
  <si>
    <t>Regulatory Reporting and Assessments</t>
  </si>
  <si>
    <t>Office Information &amp; Technology</t>
  </si>
  <si>
    <t>Meter Maintenance &amp; Readings</t>
  </si>
  <si>
    <t>Overhead Operations/Maintenance</t>
  </si>
  <si>
    <t>Underground Operations/Maintenance</t>
  </si>
  <si>
    <t>Distribution System Maintenance</t>
  </si>
  <si>
    <t>Education, Health &amp; Safety</t>
  </si>
  <si>
    <t>Building &amp; Maintenance/Fleet</t>
  </si>
  <si>
    <t>The recoveries in excess of cash payments have been held in the bank account to be used to fund the expense when paid.</t>
  </si>
  <si>
    <t>TD Term Loan</t>
  </si>
  <si>
    <t>TD Bank</t>
  </si>
  <si>
    <t>Third-Party</t>
  </si>
  <si>
    <t>Fixed Rate</t>
  </si>
  <si>
    <t>Shareholder Debt</t>
  </si>
  <si>
    <t>Affiliated</t>
  </si>
  <si>
    <t>2000</t>
  </si>
  <si>
    <t>Serv Tx Requests</t>
  </si>
  <si>
    <t>Rent from Electric Property</t>
  </si>
  <si>
    <t>Other Utility Operating Income</t>
  </si>
  <si>
    <t>Other Electric Revenues</t>
  </si>
  <si>
    <t>Miscellaneous Service Charges</t>
  </si>
  <si>
    <t>Revenues from merchandise, Jobbing</t>
  </si>
  <si>
    <t>Costs &amp; expenses of merchandising, jobbing</t>
  </si>
  <si>
    <t>Gain on Disposition of utility &amp; other property</t>
  </si>
  <si>
    <t>Revenues from non-utility operations</t>
  </si>
  <si>
    <t>Expenses of non-utility operations</t>
  </si>
  <si>
    <t>Miscellaneous non-operating income</t>
  </si>
  <si>
    <t>Unrealized Gain (Loss) on Investment</t>
  </si>
  <si>
    <t>Regulatory Debits</t>
  </si>
  <si>
    <t>Interest &amp; Dividend Income</t>
  </si>
  <si>
    <t>Interest and Dividend Income</t>
  </si>
  <si>
    <t>Meters- Residential SM Including Repeaters and Data Collectors</t>
  </si>
  <si>
    <t>Meters- Industrial/Commercial</t>
  </si>
  <si>
    <t>Meters- Wholesale</t>
  </si>
  <si>
    <t>Meters- CT's &amp; PT's</t>
  </si>
  <si>
    <t>Other Installations on Customer's Premises</t>
  </si>
  <si>
    <t>Transportation Equipment- Heavy Vehicle</t>
  </si>
  <si>
    <t>Transportation Equipment- Light Vehicle</t>
  </si>
  <si>
    <t>Transportation Equipment- Underground</t>
  </si>
  <si>
    <t>Sentinel Lighting Rentals</t>
  </si>
  <si>
    <t>Line Transformers- Pad Mount Switchgear</t>
  </si>
  <si>
    <t>Line Transformers- UG Found &amp; UG Vaults</t>
  </si>
  <si>
    <t>Building &amp; Fixtures</t>
  </si>
  <si>
    <t>Office Furniture &amp; Equipment</t>
  </si>
  <si>
    <t>Computer Equipment - Software</t>
  </si>
  <si>
    <t>Transportation Equipment- Heavy</t>
  </si>
  <si>
    <t>Transportation Equipment- Light</t>
  </si>
  <si>
    <t>Transportation Equipment - Underground</t>
  </si>
  <si>
    <t>Communication Equipment</t>
  </si>
  <si>
    <t>Meters- Residential SM</t>
  </si>
  <si>
    <t>Line Transformers- UG Foundations &amp; UG Vaults</t>
  </si>
  <si>
    <t>Line Transformers- Pad Mounted Switchgear</t>
  </si>
  <si>
    <t>Line Transformers- OH &amp; UG Transformers</t>
  </si>
  <si>
    <t>Station Equipment</t>
  </si>
  <si>
    <t>Overhead Poles, Tower &amp; Fixtures</t>
  </si>
  <si>
    <t>Overhead Line Switches, Conductors &amp; Devices</t>
  </si>
  <si>
    <t>Undereground Conduit- Ducts &amp; Concrete Encased Duct Banks</t>
  </si>
  <si>
    <t>Line Transformers- Underground Foundations &amp; UG Vaults</t>
  </si>
  <si>
    <t>Meters- Residential SM (Including Repeaters &amp; Data Collectors)</t>
  </si>
  <si>
    <t>Meters- CT's /PT's</t>
  </si>
  <si>
    <t>Transportation Equipment- Heavy Vehicles</t>
  </si>
  <si>
    <t>Transportation Equipment- Light vehicles</t>
  </si>
  <si>
    <t>Underground Conductors &amp; devices</t>
  </si>
  <si>
    <t>Sentinel Lights Open</t>
  </si>
  <si>
    <t>Executive, Financial,  Professional &amp; Insurance</t>
  </si>
  <si>
    <t>Table 3-40</t>
  </si>
  <si>
    <t>Locates/Underground</t>
  </si>
  <si>
    <t>13. E.L.K. is applying to increase the specific service charge for service call – customer owned equipment and service call – after regular hours to a more reasonable and actual cost amount for the work performed</t>
  </si>
  <si>
    <t>Approval under Section 78 of the Ontario Energy Board Act, 1998 to charge distribution rates effective May 1, 2017 to recover a service revenue requirement of $4,513,093 which includes a revenue deficiency of $627,952 as detailed in Exhibit 6.  The schedule of proposed rates is set out in Exhibit 8.</t>
  </si>
  <si>
    <t>Accrual</t>
  </si>
  <si>
    <t>Approval of the rate riders for a one year disposition of the Group 1 and Other Deferral and Variance Accounts as detailed in Exhibit 9.</t>
  </si>
  <si>
    <t>Approval of the rate riders for a one year disposition of the Lost Revenue Adjustment Mechanism Variance Account (`LRAMVA``) for lost revenue from 2011 to 2015 resulting from 2011 to 2015 IESO (formally OPA) programs as detailed in Exhibit 4.</t>
  </si>
  <si>
    <t>Appendix 2-Q - Not Applicable</t>
  </si>
  <si>
    <t>Appendix 2-S- Not Applicable</t>
  </si>
  <si>
    <t>Appendix 2-Y - Not Applicable</t>
  </si>
  <si>
    <t>Appendix 2-CA - Not Applicable</t>
  </si>
  <si>
    <t>Appendix 2-CB - Not Applicable</t>
  </si>
  <si>
    <t>Appendix 2-CC - Not Applicable</t>
  </si>
  <si>
    <t>Appendix 2-CD - Not Applicable</t>
  </si>
  <si>
    <t>Appendix 2-CE - Not Applicable</t>
  </si>
  <si>
    <t>Appendix 2-CF - Not Applicable</t>
  </si>
  <si>
    <t>Appendix 2-CG - Not Applicable</t>
  </si>
  <si>
    <t>Appendix 2-D - Not Applicable</t>
  </si>
  <si>
    <t>Appendix 2-EA - Not Applicable</t>
  </si>
  <si>
    <t>Appendix 2-EB - Not Applicable</t>
  </si>
  <si>
    <t>Appendix 2-EC - Not Applicable</t>
  </si>
  <si>
    <t>Sentinel Lighting</t>
  </si>
  <si>
    <t>Embedded Distributor</t>
  </si>
  <si>
    <t>Underground Asset Renewal</t>
  </si>
  <si>
    <t>FIT Contributions</t>
  </si>
  <si>
    <t>Fleet - UG Truck Replacement</t>
  </si>
  <si>
    <t>Project Name #5</t>
  </si>
  <si>
    <t>Comber Solar</t>
  </si>
  <si>
    <t>Project Name #6</t>
  </si>
  <si>
    <t>Cooper Estates Ph 4B</t>
  </si>
  <si>
    <t>Project Name #7</t>
  </si>
  <si>
    <t>Cottam Woods Solar</t>
  </si>
  <si>
    <t>Project Name #8</t>
  </si>
  <si>
    <t>Townsview Ph 3</t>
  </si>
  <si>
    <t>Project Name #9</t>
  </si>
  <si>
    <t>Timbercreek Estates Ph 1</t>
  </si>
  <si>
    <t>3 Phase Pump Feed</t>
  </si>
  <si>
    <t>Project Name #10</t>
  </si>
  <si>
    <t>Jakana Phase 4</t>
  </si>
  <si>
    <t>Project Name #11</t>
  </si>
  <si>
    <t>ROATC Phase 7</t>
  </si>
  <si>
    <t>Project Name #12</t>
  </si>
  <si>
    <t>Tim Horton's Harrow</t>
  </si>
  <si>
    <t>Project Name #13</t>
  </si>
  <si>
    <t>FIT 200 Clark Street</t>
  </si>
  <si>
    <t>Project Name #14</t>
  </si>
  <si>
    <t>Kingsville Commercial Development</t>
  </si>
  <si>
    <t>Project Name #15</t>
  </si>
  <si>
    <t>Notre Dame Street Project Phase 2</t>
  </si>
  <si>
    <t>Project Name #16</t>
  </si>
  <si>
    <t>Kimball Estates Phase 4</t>
  </si>
  <si>
    <t>Project Name #17</t>
  </si>
  <si>
    <t>Woodview Phase 2</t>
  </si>
  <si>
    <t>Project Name #18</t>
  </si>
  <si>
    <t>Bacon Development Phase 4E</t>
  </si>
  <si>
    <t>Project Name #19</t>
  </si>
  <si>
    <t>Woodslee Solar Garden</t>
  </si>
  <si>
    <t>Project Name #20</t>
  </si>
  <si>
    <t>JV Energy</t>
  </si>
  <si>
    <t>Project Name #21</t>
  </si>
  <si>
    <t>Notre Dame Street Phase 3</t>
  </si>
  <si>
    <t>Project Name #22</t>
  </si>
  <si>
    <t>ROATC Phase 8A</t>
  </si>
  <si>
    <t>Project Name #23</t>
  </si>
  <si>
    <t>Truax FIT</t>
  </si>
  <si>
    <t>Project Name #24</t>
  </si>
  <si>
    <t>Shoppers Harrow</t>
  </si>
  <si>
    <t>Project Name #25</t>
  </si>
  <si>
    <t>Agris</t>
  </si>
  <si>
    <t>Project Name #26</t>
  </si>
  <si>
    <t>Tesla</t>
  </si>
  <si>
    <t>Project Name #27</t>
  </si>
  <si>
    <t>225 Prince Albert</t>
  </si>
  <si>
    <t>Project Name #28</t>
  </si>
  <si>
    <t>319 Talbot</t>
  </si>
  <si>
    <t>Project Name #29</t>
  </si>
  <si>
    <t>Bernath</t>
  </si>
  <si>
    <t>Project Name #30</t>
  </si>
  <si>
    <t>Cottam Woods Phase 3A</t>
  </si>
  <si>
    <t>Project Name #31</t>
  </si>
  <si>
    <t>285 Division</t>
  </si>
  <si>
    <t>Project Name #32</t>
  </si>
  <si>
    <t>ROATC Phase 5</t>
  </si>
  <si>
    <t>Project Name #33</t>
  </si>
  <si>
    <t>Pumping Station #3</t>
  </si>
  <si>
    <t>Project Name #34</t>
  </si>
  <si>
    <t>Smart Meter KPMG Reclass</t>
  </si>
  <si>
    <t>Project Name #35</t>
  </si>
  <si>
    <t>Service Connections</t>
  </si>
  <si>
    <t>Project Name #36</t>
  </si>
  <si>
    <t>Fleet Replacement Unit #303</t>
  </si>
  <si>
    <t>Project Name #37</t>
  </si>
  <si>
    <t>186 Talbot</t>
  </si>
  <si>
    <t>Project Name #38</t>
  </si>
  <si>
    <t>Unknown Access Projects</t>
  </si>
  <si>
    <t>2012 OEB
 Approved</t>
  </si>
  <si>
    <t>To change the wording under Specific charge for access to the power poles - $/pole/year (with the exception of wireless attachments).  E.L.K. is not proposing a change to the dollar value, simply the wording as a general housekeeping item to make it more specific, and all inclusive.  E.L.K.’s proposal is to rename this specific charge to Specific charge for all attachments to the power poles (including streetlighting attachments) $/pole/year (with the exception of wireless attachments).</t>
  </si>
  <si>
    <t>Approval to continue to charge Hydro One Networks Inc. (‘HONI’), the Embedded Distributor Rate class. HONI has been consulted. And Hydro One has stated that “it has reviewed the 2017 cost allocation model with respect to ELK’s proposed Embedded Distributor rate class and has no concerns with the determination of costs allocated to the embedded distributor class.”</t>
  </si>
  <si>
    <t>To change the wording under specific service charges from Returned Cheque (plus bank charges) to Returned Item (plus bank charges).</t>
  </si>
  <si>
    <t>EB-2016-0066</t>
  </si>
</sst>
</file>

<file path=xl/styles.xml><?xml version="1.0" encoding="utf-8"?>
<styleSheet xmlns="http://schemas.openxmlformats.org/spreadsheetml/2006/main" xmlns:mc="http://schemas.openxmlformats.org/markup-compatibility/2006" xmlns:x14ac="http://schemas.microsoft.com/office/spreadsheetml/2009/9/ac" mc:Ignorable="x14ac">
  <numFmts count="30">
    <numFmt numFmtId="6" formatCode="&quot;$&quot;#,##0;[Red]\-&quot;$&quot;#,##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quot;$&quot;#,##0\)"/>
    <numFmt numFmtId="165" formatCode="0.0%"/>
    <numFmt numFmtId="166" formatCode="_-&quot;$&quot;* #,##0_-;\-&quot;$&quot;* #,##0_-;_-&quot;$&quot;* &quot;-&quot;??_-;_-@_-"/>
    <numFmt numFmtId="167" formatCode="_-* #,##0_-;\-* #,##0_-;_-* &quot;-&quot;??_-;_-@_-"/>
    <numFmt numFmtId="168" formatCode="_-&quot;$&quot;* #,##0.0000_-;\-&quot;$&quot;* #,##0.0000_-;_-&quot;$&quot;* &quot;-&quot;??_-;_-@_-"/>
    <numFmt numFmtId="169" formatCode="[$-1009]mmmm\ d\,\ yyyy;@"/>
    <numFmt numFmtId="170" formatCode="0_ ;\-0\ "/>
    <numFmt numFmtId="171" formatCode="[$-1009]d\-mmm\-yy;@"/>
    <numFmt numFmtId="172" formatCode="\(#\)"/>
    <numFmt numFmtId="173" formatCode="&quot;$&quot;#,##0_);[Red]\(&quot;$&quot;#,##0\);&quot;$&quot;\ \-"/>
    <numFmt numFmtId="174" formatCode="#,##0_ ;\-#,##0\ "/>
    <numFmt numFmtId="175" formatCode="0.000"/>
    <numFmt numFmtId="176" formatCode="&quot;$&quot;#,##0"/>
    <numFmt numFmtId="177" formatCode="&quot;$&quot;#,##0.0000_);[Red]\(&quot;$&quot;#,##0.0000\)"/>
    <numFmt numFmtId="178" formatCode="&quot;$&quot;#,##0.00"/>
    <numFmt numFmtId="179" formatCode="0.0000"/>
    <numFmt numFmtId="180" formatCode="_(* #,##0.0_);_(* \(#,##0.0\);_(* &quot;-&quot;??_);_(@_)"/>
    <numFmt numFmtId="181" formatCode="#,##0.0"/>
    <numFmt numFmtId="182" formatCode="mm/dd/yyyy"/>
    <numFmt numFmtId="183" formatCode="0\-0"/>
    <numFmt numFmtId="184" formatCode="##\-#"/>
    <numFmt numFmtId="185" formatCode="_(* #,##0_);_(* \(#,##0\);_(* &quot;-&quot;??_);_(@_)"/>
    <numFmt numFmtId="186" formatCode="&quot;£ &quot;#,##0.00;[Red]\-&quot;£ &quot;#,##0.00"/>
    <numFmt numFmtId="187" formatCode="mmmm\ d"/>
    <numFmt numFmtId="188" formatCode="_-&quot;$&quot;* #,##0.0_-;\-&quot;$&quot;* #,##0.0_-;_-&quot;$&quot;* &quot;-&quot;??_-;_-@_-"/>
  </numFmts>
  <fonts count="1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8"/>
      <name val="Arial"/>
      <family val="2"/>
    </font>
    <font>
      <b/>
      <sz val="10"/>
      <name val="Arial"/>
      <family val="2"/>
    </font>
    <font>
      <b/>
      <u/>
      <sz val="11"/>
      <name val="Arial"/>
      <family val="2"/>
    </font>
    <font>
      <b/>
      <sz val="12"/>
      <name val="Arial"/>
      <family val="2"/>
    </font>
    <font>
      <b/>
      <u/>
      <sz val="10"/>
      <name val="Arial"/>
      <family val="2"/>
    </font>
    <font>
      <b/>
      <sz val="14"/>
      <name val="Arial"/>
      <family val="2"/>
    </font>
    <font>
      <b/>
      <vertAlign val="superscript"/>
      <sz val="10"/>
      <name val="Arial"/>
      <family val="2"/>
    </font>
    <font>
      <sz val="10"/>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10"/>
      <name val="Arial"/>
      <family val="2"/>
    </font>
    <font>
      <b/>
      <i/>
      <sz val="10"/>
      <name val="Arial"/>
      <family val="2"/>
    </font>
    <font>
      <b/>
      <u/>
      <sz val="10"/>
      <color indexed="12"/>
      <name val="Arial"/>
      <family val="2"/>
    </font>
    <font>
      <u/>
      <sz val="10"/>
      <name val="Arial"/>
      <family val="2"/>
    </font>
    <font>
      <b/>
      <sz val="10"/>
      <name val="Arial"/>
      <family val="2"/>
    </font>
    <font>
      <sz val="10"/>
      <name val="Arial"/>
      <family val="2"/>
    </font>
    <font>
      <b/>
      <sz val="11"/>
      <name val="Arial"/>
      <family val="2"/>
    </font>
    <font>
      <vertAlign val="superscript"/>
      <sz val="10"/>
      <name val="Arial"/>
      <family val="2"/>
    </font>
    <font>
      <b/>
      <sz val="10"/>
      <color indexed="10"/>
      <name val="Arial"/>
      <family val="2"/>
    </font>
    <font>
      <b/>
      <u/>
      <sz val="14"/>
      <name val="Arial"/>
      <family val="2"/>
    </font>
    <font>
      <b/>
      <u/>
      <sz val="14"/>
      <color indexed="10"/>
      <name val="Arial"/>
      <family val="2"/>
    </font>
    <font>
      <strike/>
      <sz val="10"/>
      <name val="Arial"/>
      <family val="2"/>
    </font>
    <font>
      <sz val="10"/>
      <color indexed="8"/>
      <name val="Arial"/>
      <family val="2"/>
    </font>
    <font>
      <sz val="10"/>
      <color rgb="FF000000"/>
      <name val="Arial"/>
      <family val="2"/>
    </font>
    <font>
      <b/>
      <sz val="11"/>
      <color theme="1"/>
      <name val="Arial"/>
      <family val="2"/>
    </font>
    <font>
      <sz val="20"/>
      <name val="Arial"/>
      <family val="2"/>
    </font>
    <font>
      <b/>
      <sz val="10"/>
      <color indexed="8"/>
      <name val="Arial"/>
      <family val="2"/>
    </font>
    <font>
      <sz val="10"/>
      <color indexed="8"/>
      <name val="Calibri"/>
      <family val="2"/>
    </font>
    <font>
      <sz val="10"/>
      <color indexed="55"/>
      <name val="Arial"/>
      <family val="2"/>
    </font>
    <font>
      <sz val="9"/>
      <name val="Arial"/>
      <family val="2"/>
    </font>
    <font>
      <b/>
      <sz val="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trike/>
      <sz val="10"/>
      <name val="Arial"/>
      <family val="2"/>
    </font>
    <font>
      <sz val="9"/>
      <color theme="1"/>
      <name val="Arial"/>
      <family val="2"/>
    </font>
    <font>
      <b/>
      <sz val="9"/>
      <color theme="1"/>
      <name val="Arial"/>
      <family val="2"/>
    </font>
    <font>
      <b/>
      <sz val="14"/>
      <color rgb="FFFF0000"/>
      <name val="Arial"/>
      <family val="2"/>
    </font>
    <font>
      <b/>
      <sz val="10"/>
      <color rgb="FFFF0000"/>
      <name val="Arial"/>
      <family val="2"/>
    </font>
    <font>
      <b/>
      <i/>
      <sz val="9"/>
      <color rgb="FFFF0000"/>
      <name val="Arial"/>
      <family val="2"/>
    </font>
    <font>
      <sz val="10"/>
      <color rgb="FFFF0000"/>
      <name val="Arial"/>
      <family val="2"/>
    </font>
    <font>
      <b/>
      <sz val="10"/>
      <color theme="3"/>
      <name val="Arial"/>
      <family val="2"/>
    </font>
    <font>
      <b/>
      <i/>
      <sz val="11"/>
      <color theme="1"/>
      <name val="Calibri"/>
      <family val="2"/>
      <scheme val="minor"/>
    </font>
    <font>
      <i/>
      <sz val="11"/>
      <color theme="1"/>
      <name val="Calibri"/>
      <family val="2"/>
      <scheme val="minor"/>
    </font>
    <font>
      <sz val="11"/>
      <color indexed="8"/>
      <name val="Arial"/>
      <family val="2"/>
    </font>
    <font>
      <b/>
      <sz val="11"/>
      <color indexed="8"/>
      <name val="Calibri"/>
      <family val="1"/>
      <charset val="204"/>
    </font>
    <font>
      <sz val="10"/>
      <name val="Calibri"/>
      <family val="2"/>
      <scheme val="minor"/>
    </font>
    <font>
      <sz val="11"/>
      <name val="Calibri"/>
      <family val="2"/>
      <scheme val="minor"/>
    </font>
    <font>
      <b/>
      <i/>
      <sz val="9"/>
      <name val="Arial"/>
      <family val="2"/>
    </font>
    <font>
      <sz val="11"/>
      <color theme="1"/>
      <name val="Arial"/>
      <family val="2"/>
    </font>
    <font>
      <sz val="9"/>
      <color indexed="8"/>
      <name val="Arial"/>
      <family val="2"/>
    </font>
    <font>
      <sz val="10"/>
      <name val="Symbol"/>
      <family val="1"/>
      <charset val="2"/>
    </font>
    <font>
      <sz val="10"/>
      <name val="Times New Roman"/>
      <family val="1"/>
    </font>
    <font>
      <sz val="12"/>
      <name val="Arial"/>
      <family val="2"/>
    </font>
    <font>
      <sz val="12"/>
      <name val="Symbol"/>
      <family val="1"/>
      <charset val="2"/>
    </font>
    <font>
      <i/>
      <sz val="12"/>
      <name val="Arial"/>
      <family val="2"/>
    </font>
    <font>
      <b/>
      <u/>
      <sz val="12"/>
      <name val="Arial"/>
      <family val="2"/>
    </font>
    <font>
      <i/>
      <u/>
      <sz val="12"/>
      <name val="Arial"/>
      <family val="2"/>
    </font>
    <font>
      <sz val="10"/>
      <name val="Calibri"/>
      <family val="2"/>
    </font>
    <font>
      <u/>
      <sz val="12"/>
      <color indexed="12"/>
      <name val="Arial"/>
      <family val="2"/>
    </font>
    <font>
      <i/>
      <sz val="9"/>
      <name val="Arial"/>
      <family val="2"/>
    </font>
    <font>
      <sz val="10"/>
      <color indexed="12"/>
      <name val="Arial"/>
      <family val="2"/>
    </font>
    <font>
      <i/>
      <sz val="12"/>
      <color theme="1"/>
      <name val="Calibri"/>
      <family val="2"/>
      <scheme val="minor"/>
    </font>
    <font>
      <b/>
      <sz val="14"/>
      <color theme="1"/>
      <name val="Calibri"/>
      <family val="2"/>
      <scheme val="minor"/>
    </font>
    <font>
      <sz val="10"/>
      <color theme="3" tint="0.39997558519241921"/>
      <name val="Arial"/>
      <family val="2"/>
    </font>
    <font>
      <b/>
      <vertAlign val="superscript"/>
      <sz val="14"/>
      <name val="Arial"/>
      <family val="2"/>
    </font>
    <font>
      <b/>
      <i/>
      <sz val="14"/>
      <color theme="1"/>
      <name val="Calibri"/>
      <family val="2"/>
      <scheme val="minor"/>
    </font>
    <font>
      <b/>
      <sz val="11"/>
      <name val="Calibri"/>
      <family val="2"/>
      <scheme val="minor"/>
    </font>
    <font>
      <sz val="10"/>
      <color rgb="FF00B050"/>
      <name val="Arial"/>
      <family val="2"/>
    </font>
    <font>
      <sz val="11"/>
      <name val="Arial"/>
      <family val="2"/>
    </font>
    <font>
      <sz val="11"/>
      <color rgb="FF00B0F0"/>
      <name val="Calibri"/>
      <family val="2"/>
      <scheme val="minor"/>
    </font>
    <font>
      <b/>
      <i/>
      <sz val="10"/>
      <color rgb="FFFF0000"/>
      <name val="Arial"/>
      <family val="2"/>
    </font>
    <font>
      <sz val="9"/>
      <color indexed="81"/>
      <name val="Tahoma"/>
      <family val="2"/>
    </font>
    <font>
      <b/>
      <sz val="9"/>
      <color indexed="81"/>
      <name val="Tahoma"/>
      <family val="2"/>
    </font>
    <font>
      <b/>
      <i/>
      <sz val="14"/>
      <name val="Arial"/>
      <family val="2"/>
    </font>
    <font>
      <sz val="10"/>
      <color theme="0"/>
      <name val="Arial"/>
      <family val="2"/>
    </font>
    <font>
      <vertAlign val="superscript"/>
      <sz val="11"/>
      <color indexed="17"/>
      <name val="Calibri"/>
      <family val="2"/>
    </font>
    <font>
      <b/>
      <i/>
      <sz val="11"/>
      <color rgb="FFFF0000"/>
      <name val="Calibri"/>
      <family val="2"/>
      <scheme val="minor"/>
    </font>
    <font>
      <sz val="11"/>
      <name val="Calibri"/>
      <family val="2"/>
    </font>
    <font>
      <sz val="10"/>
      <color theme="0" tint="-0.34998626667073579"/>
      <name val="Arial"/>
      <family val="2"/>
    </font>
    <font>
      <b/>
      <i/>
      <sz val="14"/>
      <name val="Calibri"/>
      <family val="2"/>
    </font>
    <font>
      <i/>
      <sz val="10"/>
      <color theme="0"/>
      <name val="Arial"/>
      <family val="2"/>
    </font>
  </fonts>
  <fills count="7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theme="4" tint="0.79998168889431442"/>
        <bgColor indexed="64"/>
      </patternFill>
    </fill>
    <fill>
      <patternFill patternType="solid">
        <fgColor theme="6" tint="0.79998168889431442"/>
        <bgColor indexed="64"/>
      </patternFill>
    </fill>
    <fill>
      <patternFill patternType="lightDown">
        <bgColor indexed="5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lightDown">
        <bgColor theme="0" tint="-0.24997711111789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1"/>
        <bgColor indexed="64"/>
      </patternFill>
    </fill>
    <fill>
      <patternFill patternType="lightUp">
        <bgColor auto="1"/>
      </patternFill>
    </fill>
  </fills>
  <borders count="17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double">
        <color indexed="64"/>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style="double">
        <color indexed="64"/>
      </bottom>
      <diagonal/>
    </border>
    <border>
      <left style="thin">
        <color indexed="64"/>
      </left>
      <right style="thin">
        <color indexed="64"/>
      </right>
      <top style="double">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medium">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34998626667073579"/>
      </left>
      <right/>
      <top style="thick">
        <color theme="0" tint="-0.34998626667073579"/>
      </top>
      <bottom style="thick">
        <color theme="0" tint="-4.9989318521683403E-2"/>
      </bottom>
      <diagonal/>
    </border>
    <border>
      <left/>
      <right/>
      <top style="thick">
        <color theme="0" tint="-0.34998626667073579"/>
      </top>
      <bottom style="thick">
        <color theme="0" tint="-4.9989318521683403E-2"/>
      </bottom>
      <diagonal/>
    </border>
    <border>
      <left/>
      <right style="thick">
        <color theme="0" tint="-4.9989318521683403E-2"/>
      </right>
      <top style="thick">
        <color theme="0" tint="-0.34998626667073579"/>
      </top>
      <bottom style="thick">
        <color theme="0" tint="-4.9989318521683403E-2"/>
      </bottom>
      <diagonal/>
    </border>
    <border>
      <left/>
      <right/>
      <top/>
      <bottom style="thin">
        <color theme="0"/>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thin">
        <color indexed="64"/>
      </left>
      <right/>
      <top style="thin">
        <color indexed="64"/>
      </top>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top style="thin">
        <color theme="0"/>
      </top>
      <bottom style="thin">
        <color theme="0"/>
      </bottom>
      <diagonal/>
    </border>
    <border>
      <left/>
      <right/>
      <top style="thin">
        <color theme="0"/>
      </top>
      <bottom/>
      <diagonal/>
    </border>
    <border>
      <left style="medium">
        <color indexed="64"/>
      </left>
      <right style="medium">
        <color indexed="64"/>
      </right>
      <top style="thin">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diagonal/>
    </border>
    <border>
      <left style="thick">
        <color indexed="64"/>
      </left>
      <right/>
      <top style="medium">
        <color indexed="64"/>
      </top>
      <bottom style="medium">
        <color indexed="64"/>
      </bottom>
      <diagonal/>
    </border>
    <border>
      <left/>
      <right style="thick">
        <color indexed="64"/>
      </right>
      <top style="medium">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double">
        <color indexed="64"/>
      </bottom>
      <diagonal/>
    </border>
    <border>
      <left/>
      <right style="medium">
        <color indexed="64"/>
      </right>
      <top style="medium">
        <color indexed="64"/>
      </top>
      <bottom style="double">
        <color indexed="64"/>
      </bottom>
      <diagonal/>
    </border>
    <border>
      <left style="medium">
        <color indexed="64"/>
      </left>
      <right style="thick">
        <color indexed="64"/>
      </right>
      <top style="medium">
        <color indexed="64"/>
      </top>
      <bottom style="double">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right style="thick">
        <color theme="0" tint="-0.34998626667073579"/>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medium">
        <color indexed="64"/>
      </left>
      <right style="medium">
        <color indexed="64"/>
      </right>
      <top style="double">
        <color indexed="64"/>
      </top>
      <bottom style="thick">
        <color indexed="64"/>
      </bottom>
      <diagonal/>
    </border>
    <border>
      <left style="thin">
        <color rgb="FF000000"/>
      </left>
      <right/>
      <top style="thin">
        <color rgb="FF000000"/>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style="thick">
        <color theme="0" tint="-0.34998626667073579"/>
      </left>
      <right style="medium">
        <color theme="0" tint="-4.9989318521683403E-2"/>
      </right>
      <top style="thick">
        <color theme="0" tint="-0.34998626667073579"/>
      </top>
      <bottom style="medium">
        <color theme="0" tint="-4.9989318521683403E-2"/>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ck">
        <color theme="0" tint="-0.34998626667073579"/>
      </top>
      <bottom/>
      <diagonal/>
    </border>
    <border>
      <left/>
      <right/>
      <top/>
      <bottom style="thick">
        <color theme="0" tint="-0.34998626667073579"/>
      </bottom>
      <diagonal/>
    </border>
  </borders>
  <cellStyleXfs count="130">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5" borderId="0" applyNumberFormat="0" applyBorder="0" applyAlignment="0" applyProtection="0"/>
    <xf numFmtId="0" fontId="24" fillId="8" borderId="0" applyNumberFormat="0" applyBorder="0" applyAlignment="0" applyProtection="0"/>
    <xf numFmtId="0" fontId="24"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9" borderId="0" applyNumberFormat="0" applyBorder="0" applyAlignment="0" applyProtection="0"/>
    <xf numFmtId="0" fontId="26" fillId="3" borderId="0" applyNumberFormat="0" applyBorder="0" applyAlignment="0" applyProtection="0"/>
    <xf numFmtId="0" fontId="27" fillId="20" borderId="1" applyNumberFormat="0" applyAlignment="0" applyProtection="0"/>
    <xf numFmtId="0" fontId="28" fillId="21" borderId="2" applyNumberFormat="0" applyAlignment="0" applyProtection="0"/>
    <xf numFmtId="43" fontId="14" fillId="0" borderId="0" applyFont="0" applyFill="0" applyBorder="0" applyAlignment="0" applyProtection="0"/>
    <xf numFmtId="44" fontId="14" fillId="0" borderId="0" applyFont="0" applyFill="0" applyBorder="0" applyAlignment="0" applyProtection="0"/>
    <xf numFmtId="0" fontId="29" fillId="0" borderId="0" applyNumberFormat="0" applyFill="0" applyBorder="0" applyAlignment="0" applyProtection="0"/>
    <xf numFmtId="0" fontId="30" fillId="4" borderId="0" applyNumberFormat="0" applyBorder="0" applyAlignment="0" applyProtection="0"/>
    <xf numFmtId="0" fontId="31" fillId="0" borderId="3" applyNumberFormat="0" applyFill="0" applyAlignment="0" applyProtection="0"/>
    <xf numFmtId="0" fontId="32" fillId="0" borderId="4" applyNumberFormat="0" applyFill="0" applyAlignment="0" applyProtection="0"/>
    <xf numFmtId="0" fontId="33" fillId="0" borderId="5" applyNumberFormat="0" applyFill="0" applyAlignment="0" applyProtection="0"/>
    <xf numFmtId="0" fontId="33" fillId="0" borderId="0" applyNumberFormat="0" applyFill="0" applyBorder="0" applyAlignment="0" applyProtection="0"/>
    <xf numFmtId="0" fontId="15" fillId="0" borderId="0" applyNumberFormat="0" applyFill="0" applyBorder="0" applyAlignment="0" applyProtection="0">
      <alignment vertical="top"/>
      <protection locked="0"/>
    </xf>
    <xf numFmtId="0" fontId="34" fillId="7" borderId="1" applyNumberFormat="0" applyAlignment="0" applyProtection="0"/>
    <xf numFmtId="0" fontId="35" fillId="0" borderId="6" applyNumberFormat="0" applyFill="0" applyAlignment="0" applyProtection="0"/>
    <xf numFmtId="0" fontId="36" fillId="22" borderId="0" applyNumberFormat="0" applyBorder="0" applyAlignment="0" applyProtection="0"/>
    <xf numFmtId="0" fontId="37" fillId="23" borderId="7" applyNumberFormat="0" applyFont="0" applyAlignment="0" applyProtection="0"/>
    <xf numFmtId="0" fontId="38" fillId="20" borderId="8" applyNumberFormat="0" applyAlignment="0" applyProtection="0"/>
    <xf numFmtId="9" fontId="14" fillId="0" borderId="0" applyFont="0" applyFill="0" applyBorder="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14" fillId="0" borderId="0"/>
    <xf numFmtId="0" fontId="24" fillId="0" borderId="0"/>
    <xf numFmtId="0" fontId="63" fillId="0" borderId="0" applyNumberFormat="0" applyFill="0" applyBorder="0" applyAlignment="0" applyProtection="0"/>
    <xf numFmtId="0" fontId="65" fillId="0" borderId="112" applyNumberFormat="0" applyFill="0" applyAlignment="0" applyProtection="0"/>
    <xf numFmtId="0" fontId="64" fillId="0" borderId="111" applyNumberFormat="0" applyFill="0" applyAlignment="0" applyProtection="0"/>
    <xf numFmtId="0" fontId="13" fillId="0" borderId="0"/>
    <xf numFmtId="0" fontId="66" fillId="0" borderId="113" applyNumberFormat="0" applyFill="0" applyAlignment="0" applyProtection="0"/>
    <xf numFmtId="0" fontId="66" fillId="0" borderId="0" applyNumberFormat="0" applyFill="0" applyBorder="0" applyAlignment="0" applyProtection="0"/>
    <xf numFmtId="0" fontId="67" fillId="31" borderId="0" applyNumberFormat="0" applyBorder="0" applyAlignment="0" applyProtection="0"/>
    <xf numFmtId="0" fontId="68" fillId="32" borderId="0" applyNumberFormat="0" applyBorder="0" applyAlignment="0" applyProtection="0"/>
    <xf numFmtId="0" fontId="69" fillId="33" borderId="0" applyNumberFormat="0" applyBorder="0" applyAlignment="0" applyProtection="0"/>
    <xf numFmtId="0" fontId="70" fillId="34" borderId="114" applyNumberFormat="0" applyAlignment="0" applyProtection="0"/>
    <xf numFmtId="0" fontId="71" fillId="35" borderId="115" applyNumberFormat="0" applyAlignment="0" applyProtection="0"/>
    <xf numFmtId="0" fontId="72" fillId="35" borderId="114" applyNumberFormat="0" applyAlignment="0" applyProtection="0"/>
    <xf numFmtId="0" fontId="73" fillId="0" borderId="116" applyNumberFormat="0" applyFill="0" applyAlignment="0" applyProtection="0"/>
    <xf numFmtId="0" fontId="74" fillId="36" borderId="117" applyNumberFormat="0" applyAlignment="0" applyProtection="0"/>
    <xf numFmtId="0" fontId="75" fillId="0" borderId="0" applyNumberFormat="0" applyFill="0" applyBorder="0" applyAlignment="0" applyProtection="0"/>
    <xf numFmtId="0" fontId="13" fillId="37" borderId="118" applyNumberFormat="0" applyFont="0" applyAlignment="0" applyProtection="0"/>
    <xf numFmtId="0" fontId="76" fillId="0" borderId="0" applyNumberFormat="0" applyFill="0" applyBorder="0" applyAlignment="0" applyProtection="0"/>
    <xf numFmtId="0" fontId="77" fillId="0" borderId="119" applyNumberFormat="0" applyFill="0" applyAlignment="0" applyProtection="0"/>
    <xf numFmtId="0" fontId="78" fillId="38" borderId="0" applyNumberFormat="0" applyBorder="0" applyAlignment="0" applyProtection="0"/>
    <xf numFmtId="0" fontId="13" fillId="39" borderId="0" applyNumberFormat="0" applyBorder="0" applyAlignment="0" applyProtection="0"/>
    <xf numFmtId="0" fontId="13" fillId="40" borderId="0" applyNumberFormat="0" applyBorder="0" applyAlignment="0" applyProtection="0"/>
    <xf numFmtId="0" fontId="78" fillId="41" borderId="0" applyNumberFormat="0" applyBorder="0" applyAlignment="0" applyProtection="0"/>
    <xf numFmtId="0" fontId="78" fillId="42" borderId="0" applyNumberFormat="0" applyBorder="0" applyAlignment="0" applyProtection="0"/>
    <xf numFmtId="0" fontId="13" fillId="43" borderId="0" applyNumberFormat="0" applyBorder="0" applyAlignment="0" applyProtection="0"/>
    <xf numFmtId="0" fontId="13" fillId="44" borderId="0" applyNumberFormat="0" applyBorder="0" applyAlignment="0" applyProtection="0"/>
    <xf numFmtId="0" fontId="78" fillId="45" borderId="0" applyNumberFormat="0" applyBorder="0" applyAlignment="0" applyProtection="0"/>
    <xf numFmtId="0" fontId="78" fillId="46" borderId="0" applyNumberFormat="0" applyBorder="0" applyAlignment="0" applyProtection="0"/>
    <xf numFmtId="0" fontId="13" fillId="47" borderId="0" applyNumberFormat="0" applyBorder="0" applyAlignment="0" applyProtection="0"/>
    <xf numFmtId="0" fontId="13" fillId="48" borderId="0" applyNumberFormat="0" applyBorder="0" applyAlignment="0" applyProtection="0"/>
    <xf numFmtId="0" fontId="78" fillId="49" borderId="0" applyNumberFormat="0" applyBorder="0" applyAlignment="0" applyProtection="0"/>
    <xf numFmtId="0" fontId="78" fillId="50" borderId="0" applyNumberFormat="0" applyBorder="0" applyAlignment="0" applyProtection="0"/>
    <xf numFmtId="0" fontId="13" fillId="51" borderId="0" applyNumberFormat="0" applyBorder="0" applyAlignment="0" applyProtection="0"/>
    <xf numFmtId="0" fontId="13" fillId="52" borderId="0" applyNumberFormat="0" applyBorder="0" applyAlignment="0" applyProtection="0"/>
    <xf numFmtId="0" fontId="78" fillId="53" borderId="0" applyNumberFormat="0" applyBorder="0" applyAlignment="0" applyProtection="0"/>
    <xf numFmtId="0" fontId="78" fillId="54" borderId="0" applyNumberFormat="0" applyBorder="0" applyAlignment="0" applyProtection="0"/>
    <xf numFmtId="0" fontId="13" fillId="55" borderId="0" applyNumberFormat="0" applyBorder="0" applyAlignment="0" applyProtection="0"/>
    <xf numFmtId="0" fontId="13" fillId="56" borderId="0" applyNumberFormat="0" applyBorder="0" applyAlignment="0" applyProtection="0"/>
    <xf numFmtId="0" fontId="78" fillId="57" borderId="0" applyNumberFormat="0" applyBorder="0" applyAlignment="0" applyProtection="0"/>
    <xf numFmtId="0" fontId="78" fillId="58" borderId="0" applyNumberFormat="0" applyBorder="0" applyAlignment="0" applyProtection="0"/>
    <xf numFmtId="0" fontId="13" fillId="59" borderId="0" applyNumberFormat="0" applyBorder="0" applyAlignment="0" applyProtection="0"/>
    <xf numFmtId="0" fontId="13" fillId="60" borderId="0" applyNumberFormat="0" applyBorder="0" applyAlignment="0" applyProtection="0"/>
    <xf numFmtId="0" fontId="78" fillId="61" borderId="0" applyNumberFormat="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4" fillId="0" borderId="0"/>
    <xf numFmtId="0" fontId="14" fillId="0" borderId="0"/>
    <xf numFmtId="0" fontId="14" fillId="0" borderId="0"/>
    <xf numFmtId="0" fontId="10" fillId="0" borderId="0"/>
    <xf numFmtId="9" fontId="10" fillId="0" borderId="0" applyFont="0" applyFill="0" applyBorder="0" applyAlignment="0" applyProtection="0"/>
    <xf numFmtId="44" fontId="10" fillId="0" borderId="0" applyFont="0" applyFill="0" applyBorder="0" applyAlignment="0" applyProtection="0"/>
    <xf numFmtId="43" fontId="10" fillId="0" borderId="0" applyFont="0" applyFill="0" applyBorder="0" applyAlignment="0" applyProtection="0"/>
    <xf numFmtId="180" fontId="14" fillId="0" borderId="0"/>
    <xf numFmtId="181" fontId="14" fillId="0" borderId="0"/>
    <xf numFmtId="180" fontId="14" fillId="0" borderId="0"/>
    <xf numFmtId="180" fontId="14" fillId="0" borderId="0"/>
    <xf numFmtId="180" fontId="14" fillId="0" borderId="0"/>
    <xf numFmtId="180" fontId="14" fillId="0" borderId="0"/>
    <xf numFmtId="182" fontId="14" fillId="0" borderId="0"/>
    <xf numFmtId="183" fontId="14" fillId="0" borderId="0"/>
    <xf numFmtId="182" fontId="14" fillId="0" borderId="0"/>
    <xf numFmtId="3" fontId="14" fillId="0" borderId="0" applyFont="0" applyFill="0" applyBorder="0" applyAlignment="0" applyProtection="0"/>
    <xf numFmtId="164" fontId="14" fillId="0" borderId="0" applyFont="0" applyFill="0" applyBorder="0" applyAlignment="0" applyProtection="0"/>
    <xf numFmtId="14" fontId="14" fillId="0" borderId="0" applyFont="0" applyFill="0" applyBorder="0" applyAlignment="0" applyProtection="0"/>
    <xf numFmtId="2" fontId="14" fillId="0" borderId="0" applyFont="0" applyFill="0" applyBorder="0" applyAlignment="0" applyProtection="0"/>
    <xf numFmtId="38" fontId="16" fillId="27" borderId="0" applyNumberFormat="0" applyBorder="0" applyAlignment="0" applyProtection="0"/>
    <xf numFmtId="10" fontId="16" fillId="68" borderId="10" applyNumberFormat="0" applyBorder="0" applyAlignment="0" applyProtection="0"/>
    <xf numFmtId="184" fontId="14" fillId="0" borderId="0"/>
    <xf numFmtId="185" fontId="14" fillId="0" borderId="0"/>
    <xf numFmtId="184" fontId="14" fillId="0" borderId="0"/>
    <xf numFmtId="184" fontId="14" fillId="0" borderId="0"/>
    <xf numFmtId="184" fontId="14" fillId="0" borderId="0"/>
    <xf numFmtId="184" fontId="14" fillId="0" borderId="0"/>
    <xf numFmtId="186" fontId="14" fillId="0" borderId="0"/>
    <xf numFmtId="10" fontId="14"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44" fontId="14" fillId="0" borderId="0" applyFont="0" applyFill="0" applyBorder="0" applyAlignment="0" applyProtection="0"/>
  </cellStyleXfs>
  <cellXfs count="2091">
    <xf numFmtId="0" fontId="0" fillId="0" borderId="0" xfId="0"/>
    <xf numFmtId="0" fontId="0" fillId="0" borderId="0" xfId="0" applyProtection="1"/>
    <xf numFmtId="0" fontId="0" fillId="0" borderId="0" xfId="0" applyFill="1" applyBorder="1"/>
    <xf numFmtId="0" fontId="17" fillId="0" borderId="0" xfId="0" applyFont="1"/>
    <xf numFmtId="0" fontId="0" fillId="0" borderId="0" xfId="0" applyAlignment="1" applyProtection="1">
      <alignment vertical="center"/>
    </xf>
    <xf numFmtId="0" fontId="0" fillId="0" borderId="0" xfId="0" applyFill="1" applyAlignment="1" applyProtection="1">
      <alignment vertical="center"/>
    </xf>
    <xf numFmtId="0" fontId="20" fillId="0" borderId="0" xfId="0" applyFont="1"/>
    <xf numFmtId="0" fontId="0" fillId="0" borderId="44" xfId="0" applyBorder="1"/>
    <xf numFmtId="0" fontId="17" fillId="0" borderId="0" xfId="0" applyFont="1" applyAlignment="1">
      <alignment vertical="top"/>
    </xf>
    <xf numFmtId="0" fontId="0" fillId="0" borderId="0" xfId="0" applyAlignment="1">
      <alignment wrapText="1"/>
    </xf>
    <xf numFmtId="0" fontId="37" fillId="0" borderId="0" xfId="0" applyFont="1"/>
    <xf numFmtId="0" fontId="17" fillId="0" borderId="0" xfId="0" applyFont="1" applyAlignment="1">
      <alignment horizontal="center"/>
    </xf>
    <xf numFmtId="0" fontId="44" fillId="0" borderId="0" xfId="36" quotePrefix="1" applyFont="1" applyAlignment="1" applyProtection="1">
      <alignment horizontal="center"/>
    </xf>
    <xf numFmtId="0" fontId="14" fillId="0" borderId="0" xfId="0" applyFont="1"/>
    <xf numFmtId="0" fontId="37" fillId="0" borderId="0" xfId="0" applyFont="1" applyProtection="1"/>
    <xf numFmtId="0" fontId="51" fillId="0" borderId="0" xfId="0" applyFont="1"/>
    <xf numFmtId="0" fontId="55" fillId="0" borderId="0" xfId="0" applyFont="1" applyFill="1" applyBorder="1" applyAlignment="1">
      <alignment vertical="top"/>
    </xf>
    <xf numFmtId="0" fontId="0" fillId="29" borderId="44" xfId="0" applyFill="1" applyBorder="1"/>
    <xf numFmtId="0" fontId="0" fillId="28" borderId="44" xfId="0" applyFill="1" applyBorder="1"/>
    <xf numFmtId="0" fontId="0" fillId="0" borderId="0" xfId="0" applyFill="1" applyBorder="1" applyAlignment="1">
      <alignment wrapText="1"/>
    </xf>
    <xf numFmtId="0" fontId="56" fillId="0" borderId="0" xfId="0" applyFont="1" applyAlignment="1" applyProtection="1">
      <alignment horizontal="right" vertical="center"/>
    </xf>
    <xf numFmtId="0" fontId="37" fillId="0" borderId="0" xfId="0" applyFont="1" applyAlignment="1" applyProtection="1">
      <alignment horizontal="right" vertical="center"/>
    </xf>
    <xf numFmtId="0" fontId="56" fillId="0" borderId="0" xfId="0" applyFont="1" applyAlignment="1" applyProtection="1">
      <alignment horizontal="right" vertical="center" indent="1"/>
    </xf>
    <xf numFmtId="0" fontId="37" fillId="0" borderId="0" xfId="0" applyFont="1" applyAlignment="1">
      <alignment horizontal="right" indent="1"/>
    </xf>
    <xf numFmtId="0" fontId="57" fillId="0" borderId="0" xfId="0" applyFont="1" applyAlignment="1">
      <alignment horizontal="left" vertical="top" indent="1"/>
    </xf>
    <xf numFmtId="0" fontId="53" fillId="0" borderId="0" xfId="0" applyFont="1"/>
    <xf numFmtId="0" fontId="79" fillId="0" borderId="0" xfId="0" applyFont="1"/>
    <xf numFmtId="0" fontId="17" fillId="0" borderId="0" xfId="0" applyFont="1" applyAlignment="1"/>
    <xf numFmtId="0" fontId="15" fillId="0" borderId="0" xfId="36" applyAlignment="1" applyProtection="1"/>
    <xf numFmtId="0" fontId="14" fillId="0" borderId="0" xfId="36" applyFont="1" applyAlignment="1" applyProtection="1"/>
    <xf numFmtId="172" fontId="14" fillId="0" borderId="0" xfId="46" applyNumberFormat="1" applyFill="1" applyBorder="1" applyProtection="1">
      <protection locked="0"/>
    </xf>
    <xf numFmtId="172" fontId="14" fillId="0" borderId="0" xfId="46" quotePrefix="1" applyNumberFormat="1" applyFill="1" applyBorder="1" applyProtection="1">
      <protection locked="0"/>
    </xf>
    <xf numFmtId="172" fontId="14" fillId="29" borderId="0" xfId="46" applyNumberFormat="1" applyFill="1" applyBorder="1" applyProtection="1">
      <protection locked="0"/>
    </xf>
    <xf numFmtId="172" fontId="14" fillId="29" borderId="0" xfId="46" applyNumberFormat="1" applyFill="1" applyAlignment="1" applyProtection="1">
      <alignment horizontal="center" vertical="center"/>
      <protection locked="0"/>
    </xf>
    <xf numFmtId="0" fontId="86" fillId="0" borderId="0" xfId="0" applyFont="1"/>
    <xf numFmtId="0" fontId="56" fillId="0" borderId="0" xfId="0" applyFont="1" applyAlignment="1" applyProtection="1">
      <alignment horizontal="center" vertical="center" wrapText="1"/>
    </xf>
    <xf numFmtId="0" fontId="56" fillId="0" borderId="0" xfId="0" applyFont="1" applyAlignment="1" applyProtection="1">
      <alignment horizontal="right" vertical="center" wrapText="1" indent="1"/>
    </xf>
    <xf numFmtId="0" fontId="56" fillId="0" borderId="0" xfId="0" applyFont="1" applyAlignment="1" applyProtection="1">
      <alignment horizontal="right" vertical="center" wrapText="1" indent="1"/>
    </xf>
    <xf numFmtId="0" fontId="42" fillId="0" borderId="0" xfId="0" applyFont="1" applyFill="1"/>
    <xf numFmtId="0" fontId="0" fillId="29" borderId="94" xfId="0" applyNumberFormat="1" applyFill="1" applyBorder="1" applyAlignment="1" applyProtection="1">
      <alignment vertical="center"/>
      <protection locked="0"/>
    </xf>
    <xf numFmtId="0" fontId="0" fillId="29" borderId="95" xfId="0" applyNumberFormat="1" applyFill="1" applyBorder="1" applyAlignment="1" applyProtection="1">
      <alignment vertical="center"/>
      <protection locked="0"/>
    </xf>
    <xf numFmtId="0" fontId="0" fillId="29" borderId="96" xfId="0" applyNumberFormat="1" applyFill="1" applyBorder="1" applyAlignment="1" applyProtection="1">
      <alignment vertical="center"/>
      <protection locked="0"/>
    </xf>
    <xf numFmtId="0" fontId="56" fillId="0" borderId="0" xfId="0" applyFont="1" applyAlignment="1" applyProtection="1">
      <alignment horizontal="right" vertical="center" wrapText="1" indent="1"/>
    </xf>
    <xf numFmtId="0" fontId="0" fillId="0" borderId="0" xfId="0" applyProtection="1">
      <protection locked="0"/>
    </xf>
    <xf numFmtId="0" fontId="0" fillId="0" borderId="0" xfId="0" applyAlignment="1" applyProtection="1">
      <alignment vertical="top"/>
      <protection locked="0"/>
    </xf>
    <xf numFmtId="0" fontId="0" fillId="64" borderId="0" xfId="0" applyFill="1"/>
    <xf numFmtId="187" fontId="48" fillId="0" borderId="0" xfId="0" applyNumberFormat="1" applyFont="1" applyAlignment="1">
      <alignment horizontal="center" vertical="center"/>
    </xf>
    <xf numFmtId="0" fontId="48" fillId="28" borderId="161" xfId="0" applyNumberFormat="1" applyFont="1" applyFill="1" applyBorder="1" applyAlignment="1" applyProtection="1">
      <alignment horizontal="center" vertical="center"/>
      <protection locked="0"/>
    </xf>
    <xf numFmtId="0" fontId="0" fillId="28" borderId="0" xfId="0" applyNumberFormat="1" applyFill="1" applyBorder="1" applyAlignment="1" applyProtection="1">
      <alignment horizontal="center" vertical="center"/>
      <protection locked="0"/>
    </xf>
    <xf numFmtId="0" fontId="14" fillId="0" borderId="0" xfId="0" applyFont="1" applyAlignment="1">
      <alignment vertical="center"/>
    </xf>
    <xf numFmtId="0" fontId="0" fillId="0" borderId="0" xfId="0" applyAlignment="1">
      <alignment vertical="center"/>
    </xf>
    <xf numFmtId="0" fontId="16" fillId="29" borderId="100" xfId="46" applyFont="1" applyFill="1" applyBorder="1" applyAlignment="1" applyProtection="1">
      <alignment horizontal="right" vertical="top"/>
      <protection locked="0"/>
    </xf>
    <xf numFmtId="0" fontId="14" fillId="0" borderId="0" xfId="46" applyProtection="1">
      <protection locked="0"/>
    </xf>
    <xf numFmtId="0" fontId="14" fillId="29" borderId="10" xfId="46" applyFill="1" applyBorder="1" applyAlignment="1" applyProtection="1">
      <alignment horizontal="center" vertical="center"/>
      <protection locked="0"/>
    </xf>
    <xf numFmtId="0" fontId="15" fillId="0" borderId="0" xfId="36" applyAlignment="1" applyProtection="1">
      <alignment horizontal="left" vertical="top"/>
    </xf>
    <xf numFmtId="0" fontId="15" fillId="64" borderId="0" xfId="36" applyFill="1" applyAlignment="1" applyProtection="1">
      <alignment horizontal="left" vertical="top"/>
    </xf>
    <xf numFmtId="0" fontId="14" fillId="0" borderId="0" xfId="46" applyFont="1" applyProtection="1">
      <protection locked="0"/>
    </xf>
    <xf numFmtId="0" fontId="14" fillId="63" borderId="10" xfId="46" applyFill="1" applyBorder="1" applyProtection="1">
      <protection locked="0"/>
    </xf>
    <xf numFmtId="0" fontId="14" fillId="0" borderId="0" xfId="46" applyAlignment="1" applyProtection="1">
      <alignment vertical="center" wrapText="1"/>
      <protection locked="0"/>
    </xf>
    <xf numFmtId="0" fontId="14" fillId="0" borderId="0" xfId="46" applyAlignment="1" applyProtection="1">
      <alignment vertical="top" wrapText="1"/>
      <protection locked="0"/>
    </xf>
    <xf numFmtId="0" fontId="17" fillId="0" borderId="0" xfId="0" applyFont="1" applyProtection="1">
      <protection locked="0"/>
    </xf>
    <xf numFmtId="0" fontId="16" fillId="0" borderId="0" xfId="0" applyFont="1" applyAlignment="1" applyProtection="1">
      <alignment horizontal="right" vertical="top"/>
      <protection locked="0"/>
    </xf>
    <xf numFmtId="0" fontId="16" fillId="29" borderId="100" xfId="0" applyFont="1" applyFill="1" applyBorder="1" applyAlignment="1" applyProtection="1">
      <alignment horizontal="right" vertical="top"/>
      <protection locked="0"/>
    </xf>
    <xf numFmtId="0" fontId="16" fillId="29" borderId="0" xfId="0" applyFont="1" applyFill="1" applyAlignment="1" applyProtection="1">
      <alignment horizontal="right" vertical="top"/>
      <protection locked="0"/>
    </xf>
    <xf numFmtId="0" fontId="21" fillId="0" borderId="0" xfId="0" applyFont="1" applyAlignment="1" applyProtection="1">
      <protection locked="0"/>
    </xf>
    <xf numFmtId="0" fontId="17" fillId="0" borderId="50" xfId="0" applyFont="1" applyFill="1" applyBorder="1" applyProtection="1">
      <protection locked="0"/>
    </xf>
    <xf numFmtId="0" fontId="17" fillId="0" borderId="24" xfId="0" applyFont="1" applyFill="1" applyBorder="1" applyAlignment="1" applyProtection="1">
      <alignment horizontal="center" vertical="center" wrapText="1"/>
      <protection locked="0"/>
    </xf>
    <xf numFmtId="0" fontId="17" fillId="0" borderId="16" xfId="0" applyFont="1" applyFill="1" applyBorder="1" applyProtection="1">
      <protection locked="0"/>
    </xf>
    <xf numFmtId="0" fontId="17" fillId="28" borderId="19" xfId="0" applyFont="1" applyFill="1" applyBorder="1" applyAlignment="1" applyProtection="1">
      <alignment horizontal="center"/>
      <protection locked="0"/>
    </xf>
    <xf numFmtId="0" fontId="17" fillId="29" borderId="33" xfId="0" applyFont="1" applyFill="1" applyBorder="1" applyProtection="1">
      <protection locked="0"/>
    </xf>
    <xf numFmtId="3" fontId="0" fillId="0" borderId="10" xfId="29" applyNumberFormat="1" applyFont="1" applyFill="1" applyBorder="1" applyProtection="1">
      <protection locked="0"/>
    </xf>
    <xf numFmtId="3" fontId="0" fillId="29" borderId="11" xfId="29" applyNumberFormat="1" applyFont="1" applyFill="1" applyBorder="1" applyProtection="1">
      <protection locked="0"/>
    </xf>
    <xf numFmtId="3" fontId="0" fillId="29" borderId="10" xfId="29" applyNumberFormat="1" applyFont="1" applyFill="1" applyBorder="1" applyProtection="1">
      <protection locked="0"/>
    </xf>
    <xf numFmtId="3" fontId="0" fillId="29" borderId="17" xfId="29" applyNumberFormat="1" applyFont="1" applyFill="1" applyBorder="1" applyProtection="1">
      <protection locked="0"/>
    </xf>
    <xf numFmtId="0" fontId="17" fillId="0" borderId="33" xfId="0" applyFont="1" applyFill="1" applyBorder="1" applyProtection="1">
      <protection locked="0"/>
    </xf>
    <xf numFmtId="3" fontId="0" fillId="0" borderId="10" xfId="0" applyNumberFormat="1" applyFill="1" applyBorder="1" applyProtection="1">
      <protection locked="0"/>
    </xf>
    <xf numFmtId="0" fontId="17" fillId="29" borderId="33" xfId="0" applyFont="1" applyFill="1" applyBorder="1" applyAlignment="1" applyProtection="1">
      <alignment wrapText="1"/>
      <protection locked="0"/>
    </xf>
    <xf numFmtId="3" fontId="0" fillId="0" borderId="19" xfId="29" applyNumberFormat="1" applyFont="1" applyFill="1" applyBorder="1" applyProtection="1">
      <protection locked="0"/>
    </xf>
    <xf numFmtId="0" fontId="17" fillId="0" borderId="132" xfId="0" applyFont="1" applyFill="1" applyBorder="1" applyProtection="1">
      <protection locked="0"/>
    </xf>
    <xf numFmtId="3" fontId="17" fillId="0" borderId="57" xfId="0" applyNumberFormat="1" applyFont="1" applyFill="1" applyBorder="1" applyProtection="1">
      <protection locked="0"/>
    </xf>
    <xf numFmtId="0" fontId="17" fillId="0" borderId="10" xfId="0" applyFont="1" applyBorder="1" applyAlignment="1" applyProtection="1">
      <alignment vertical="top" wrapText="1"/>
      <protection locked="0"/>
    </xf>
    <xf numFmtId="0" fontId="17" fillId="0" borderId="57" xfId="0" applyFont="1" applyFill="1" applyBorder="1" applyProtection="1">
      <protection locked="0"/>
    </xf>
    <xf numFmtId="0" fontId="43" fillId="0" borderId="0" xfId="0" applyFont="1" applyAlignment="1" applyProtection="1">
      <alignment horizontal="left" vertical="top"/>
      <protection locked="0"/>
    </xf>
    <xf numFmtId="0" fontId="14" fillId="0" borderId="0" xfId="0" applyFont="1" applyProtection="1">
      <protection locked="0"/>
    </xf>
    <xf numFmtId="0" fontId="101" fillId="0" borderId="0" xfId="0" applyFont="1" applyAlignment="1" applyProtection="1">
      <alignment vertical="center"/>
      <protection locked="0"/>
    </xf>
    <xf numFmtId="0" fontId="19" fillId="0" borderId="0" xfId="0" applyFont="1" applyAlignment="1" applyProtection="1">
      <alignment vertical="center"/>
      <protection locked="0"/>
    </xf>
    <xf numFmtId="0" fontId="0" fillId="0" borderId="0" xfId="0" applyAlignment="1" applyProtection="1">
      <protection locked="0"/>
    </xf>
    <xf numFmtId="0" fontId="98" fillId="0" borderId="0" xfId="0" applyFont="1" applyAlignment="1" applyProtection="1">
      <alignment vertical="center"/>
      <protection locked="0"/>
    </xf>
    <xf numFmtId="0" fontId="102" fillId="0" borderId="0" xfId="0" applyFont="1" applyAlignment="1" applyProtection="1">
      <alignment vertical="center"/>
      <protection locked="0"/>
    </xf>
    <xf numFmtId="0" fontId="103" fillId="0" borderId="0" xfId="0" applyFont="1" applyAlignment="1" applyProtection="1">
      <alignment horizontal="left" indent="4"/>
      <protection locked="0"/>
    </xf>
    <xf numFmtId="0" fontId="98" fillId="0" borderId="0" xfId="0" applyFont="1" applyAlignment="1" applyProtection="1">
      <alignment horizontal="left" vertical="center" indent="1"/>
      <protection locked="0"/>
    </xf>
    <xf numFmtId="0" fontId="104" fillId="0" borderId="0" xfId="36" applyFont="1" applyAlignment="1" applyProtection="1">
      <alignment horizontal="left" vertical="center" indent="1"/>
      <protection locked="0"/>
    </xf>
    <xf numFmtId="0" fontId="98" fillId="0" borderId="0" xfId="0" applyFont="1" applyProtection="1">
      <protection locked="0"/>
    </xf>
    <xf numFmtId="0" fontId="100" fillId="0" borderId="0" xfId="0" applyFont="1" applyAlignment="1" applyProtection="1">
      <alignment vertical="center"/>
      <protection locked="0"/>
    </xf>
    <xf numFmtId="0" fontId="15" fillId="0" borderId="0" xfId="36" applyAlignment="1" applyProtection="1">
      <alignment horizontal="left" vertical="center" indent="4"/>
      <protection locked="0"/>
    </xf>
    <xf numFmtId="0" fontId="99" fillId="0" borderId="0" xfId="0" applyFont="1" applyAlignment="1" applyProtection="1">
      <alignment horizontal="left" vertical="center" indent="4"/>
      <protection locked="0"/>
    </xf>
    <xf numFmtId="0" fontId="100" fillId="0" borderId="0" xfId="0" applyFont="1" applyAlignment="1" applyProtection="1">
      <alignment horizontal="left" vertical="center" indent="1"/>
      <protection locked="0"/>
    </xf>
    <xf numFmtId="0" fontId="15" fillId="0" borderId="0" xfId="36" applyAlignment="1" applyProtection="1">
      <alignment horizontal="left" vertical="center" indent="1"/>
      <protection locked="0"/>
    </xf>
    <xf numFmtId="0" fontId="98" fillId="0" borderId="0" xfId="0" applyFont="1" applyAlignment="1" applyProtection="1">
      <alignment horizontal="left" vertical="center" indent="4"/>
      <protection locked="0"/>
    </xf>
    <xf numFmtId="0" fontId="103" fillId="0" borderId="0" xfId="0" applyFont="1" applyAlignment="1" applyProtection="1">
      <alignment vertical="center"/>
      <protection locked="0"/>
    </xf>
    <xf numFmtId="0" fontId="17" fillId="0" borderId="0" xfId="0" applyFont="1" applyAlignment="1" applyProtection="1">
      <alignment horizontal="right" vertical="center"/>
      <protection locked="0"/>
    </xf>
    <xf numFmtId="0" fontId="107" fillId="0" borderId="0" xfId="0" applyFont="1" applyAlignment="1" applyProtection="1">
      <alignment horizontal="center" vertical="center"/>
      <protection locked="0"/>
    </xf>
    <xf numFmtId="0" fontId="14" fillId="0" borderId="0" xfId="0" applyFont="1" applyFill="1" applyProtection="1">
      <protection locked="0"/>
    </xf>
    <xf numFmtId="0" fontId="62" fillId="0" borderId="31" xfId="0" applyFont="1" applyFill="1" applyBorder="1" applyAlignment="1" applyProtection="1">
      <alignment horizontal="center" vertical="center" wrapText="1"/>
      <protection locked="0"/>
    </xf>
    <xf numFmtId="0" fontId="62" fillId="0" borderId="44" xfId="0" applyFont="1" applyFill="1" applyBorder="1" applyAlignment="1" applyProtection="1">
      <alignment horizontal="center" vertical="center" wrapText="1"/>
      <protection locked="0"/>
    </xf>
    <xf numFmtId="0" fontId="19" fillId="0" borderId="144" xfId="0" applyFont="1" applyFill="1" applyBorder="1" applyAlignment="1" applyProtection="1">
      <alignment horizontal="right" vertical="center" wrapText="1" indent="1"/>
      <protection locked="0"/>
    </xf>
    <xf numFmtId="41" fontId="14" fillId="29" borderId="31" xfId="0" applyNumberFormat="1" applyFont="1" applyFill="1" applyBorder="1" applyAlignment="1" applyProtection="1">
      <alignment horizontal="center" vertical="center" wrapText="1"/>
      <protection locked="0"/>
    </xf>
    <xf numFmtId="165" fontId="14" fillId="0" borderId="31" xfId="0" applyNumberFormat="1" applyFont="1" applyFill="1" applyBorder="1" applyAlignment="1" applyProtection="1">
      <alignment horizontal="center" vertical="center" wrapText="1"/>
      <protection locked="0"/>
    </xf>
    <xf numFmtId="41" fontId="14" fillId="29" borderId="44" xfId="0" applyNumberFormat="1" applyFont="1" applyFill="1" applyBorder="1" applyAlignment="1" applyProtection="1">
      <alignment horizontal="center" vertical="center" wrapText="1"/>
      <protection locked="0"/>
    </xf>
    <xf numFmtId="41" fontId="14" fillId="29" borderId="146" xfId="0" applyNumberFormat="1" applyFont="1" applyFill="1" applyBorder="1" applyAlignment="1" applyProtection="1">
      <alignment horizontal="center" vertical="center" wrapText="1"/>
      <protection locked="0"/>
    </xf>
    <xf numFmtId="41" fontId="14" fillId="29" borderId="41" xfId="0" applyNumberFormat="1" applyFont="1" applyFill="1" applyBorder="1" applyAlignment="1" applyProtection="1">
      <alignment horizontal="center" vertical="center" wrapText="1"/>
      <protection locked="0"/>
    </xf>
    <xf numFmtId="0" fontId="19" fillId="0" borderId="147" xfId="0" applyFont="1" applyFill="1" applyBorder="1" applyAlignment="1" applyProtection="1">
      <alignment horizontal="right" vertical="center" wrapText="1" indent="1"/>
      <protection locked="0"/>
    </xf>
    <xf numFmtId="41" fontId="14" fillId="0" borderId="56" xfId="0" applyNumberFormat="1" applyFont="1" applyFill="1" applyBorder="1" applyAlignment="1" applyProtection="1">
      <alignment horizontal="center" vertical="center" wrapText="1"/>
      <protection locked="0"/>
    </xf>
    <xf numFmtId="165" fontId="14" fillId="0" borderId="29" xfId="0" applyNumberFormat="1" applyFont="1" applyFill="1" applyBorder="1" applyAlignment="1" applyProtection="1">
      <alignment horizontal="center" vertical="center" wrapText="1"/>
      <protection locked="0"/>
    </xf>
    <xf numFmtId="41" fontId="14" fillId="0" borderId="148" xfId="0" applyNumberFormat="1" applyFont="1" applyFill="1" applyBorder="1" applyAlignment="1" applyProtection="1">
      <alignment horizontal="center" vertical="center" wrapText="1"/>
      <protection locked="0"/>
    </xf>
    <xf numFmtId="41" fontId="14" fillId="0" borderId="149" xfId="0" applyNumberFormat="1" applyFont="1" applyFill="1" applyBorder="1" applyAlignment="1" applyProtection="1">
      <alignment horizontal="center" vertical="center" wrapText="1"/>
      <protection locked="0"/>
    </xf>
    <xf numFmtId="0" fontId="19" fillId="0" borderId="150" xfId="0" applyFont="1" applyFill="1" applyBorder="1" applyAlignment="1" applyProtection="1">
      <alignment horizontal="right" vertical="center" wrapText="1" indent="1"/>
      <protection locked="0"/>
    </xf>
    <xf numFmtId="165" fontId="14" fillId="0" borderId="157" xfId="0" applyNumberFormat="1" applyFont="1" applyFill="1" applyBorder="1" applyAlignment="1" applyProtection="1">
      <alignment horizontal="center" vertical="center" wrapText="1"/>
      <protection locked="0"/>
    </xf>
    <xf numFmtId="0" fontId="77" fillId="0" borderId="0" xfId="0" applyFont="1" applyProtection="1">
      <protection locked="0"/>
    </xf>
    <xf numFmtId="0" fontId="0" fillId="0" borderId="0" xfId="0" applyBorder="1" applyProtection="1">
      <protection locked="0"/>
    </xf>
    <xf numFmtId="0" fontId="0" fillId="29" borderId="44" xfId="0" applyFill="1" applyBorder="1" applyProtection="1">
      <protection locked="0"/>
    </xf>
    <xf numFmtId="0" fontId="0" fillId="0" borderId="0" xfId="0" applyFill="1" applyBorder="1" applyProtection="1">
      <protection locked="0"/>
    </xf>
    <xf numFmtId="0" fontId="17" fillId="0" borderId="0" xfId="46" applyFont="1" applyAlignment="1" applyProtection="1">
      <alignment horizontal="right"/>
      <protection locked="0"/>
    </xf>
    <xf numFmtId="0" fontId="16" fillId="0" borderId="0" xfId="46" applyFont="1" applyAlignment="1" applyProtection="1">
      <alignment vertical="top"/>
      <protection locked="0"/>
    </xf>
    <xf numFmtId="0" fontId="16" fillId="29" borderId="0" xfId="46" applyFont="1" applyFill="1" applyBorder="1" applyAlignment="1" applyProtection="1">
      <alignment vertical="top"/>
      <protection locked="0"/>
    </xf>
    <xf numFmtId="0" fontId="16" fillId="29" borderId="0" xfId="46" applyFont="1" applyFill="1" applyAlignment="1" applyProtection="1">
      <alignment vertical="top"/>
      <protection locked="0"/>
    </xf>
    <xf numFmtId="0" fontId="17" fillId="0" borderId="10" xfId="0" applyFont="1" applyBorder="1" applyAlignment="1" applyProtection="1">
      <alignment horizontal="left" vertical="center" wrapText="1"/>
      <protection locked="0"/>
    </xf>
    <xf numFmtId="0" fontId="17" fillId="0" borderId="10" xfId="0" applyFont="1" applyBorder="1" applyAlignment="1" applyProtection="1">
      <alignment horizontal="center" vertical="center" wrapText="1"/>
      <protection locked="0"/>
    </xf>
    <xf numFmtId="0" fontId="0" fillId="29" borderId="10" xfId="0" applyFill="1" applyBorder="1" applyAlignment="1" applyProtection="1">
      <alignment horizontal="left" vertical="top" wrapText="1"/>
      <protection locked="0"/>
    </xf>
    <xf numFmtId="0" fontId="14" fillId="29" borderId="10" xfId="0" applyFont="1" applyFill="1" applyBorder="1" applyAlignment="1" applyProtection="1">
      <alignment horizontal="left" vertical="top" wrapText="1"/>
      <protection locked="0"/>
    </xf>
    <xf numFmtId="0" fontId="98" fillId="29" borderId="10" xfId="0" applyFont="1" applyFill="1" applyBorder="1" applyAlignment="1" applyProtection="1">
      <alignment horizontal="left" vertical="top" wrapText="1"/>
      <protection locked="0"/>
    </xf>
    <xf numFmtId="0" fontId="14" fillId="0" borderId="0" xfId="46" applyFont="1" applyAlignment="1" applyProtection="1">
      <alignment horizontal="left" vertical="center" indent="2"/>
      <protection locked="0"/>
    </xf>
    <xf numFmtId="0" fontId="17" fillId="66" borderId="42" xfId="46" applyFont="1" applyFill="1" applyBorder="1" applyAlignment="1" applyProtection="1">
      <alignment wrapText="1"/>
      <protection locked="0"/>
    </xf>
    <xf numFmtId="0" fontId="17" fillId="66" borderId="71" xfId="0" applyFont="1" applyFill="1" applyBorder="1" applyProtection="1">
      <protection locked="0"/>
    </xf>
    <xf numFmtId="0" fontId="17" fillId="66" borderId="45" xfId="0" applyFont="1" applyFill="1" applyBorder="1" applyProtection="1">
      <protection locked="0"/>
    </xf>
    <xf numFmtId="0" fontId="14" fillId="0" borderId="42" xfId="46" applyBorder="1" applyAlignment="1" applyProtection="1">
      <alignment horizontal="center"/>
      <protection locked="0"/>
    </xf>
    <xf numFmtId="0" fontId="14" fillId="0" borderId="159" xfId="46" applyBorder="1" applyAlignment="1" applyProtection="1">
      <alignment horizontal="center"/>
      <protection locked="0"/>
    </xf>
    <xf numFmtId="0" fontId="17" fillId="66" borderId="0" xfId="0" applyFont="1" applyFill="1" applyBorder="1" applyProtection="1">
      <protection locked="0"/>
    </xf>
    <xf numFmtId="0" fontId="17" fillId="66" borderId="29" xfId="0" applyFont="1" applyFill="1" applyBorder="1" applyProtection="1">
      <protection locked="0"/>
    </xf>
    <xf numFmtId="0" fontId="114" fillId="0" borderId="128" xfId="31" applyFont="1" applyFill="1" applyBorder="1" applyAlignment="1" applyProtection="1">
      <alignment horizontal="center"/>
      <protection locked="0"/>
    </xf>
    <xf numFmtId="0" fontId="30" fillId="4" borderId="128" xfId="31" applyBorder="1" applyAlignment="1" applyProtection="1">
      <alignment horizontal="center"/>
      <protection locked="0"/>
    </xf>
    <xf numFmtId="0" fontId="14" fillId="0" borderId="128" xfId="46" applyBorder="1" applyAlignment="1" applyProtection="1">
      <alignment horizontal="center"/>
      <protection locked="0"/>
    </xf>
    <xf numFmtId="0" fontId="14" fillId="0" borderId="51" xfId="46" applyBorder="1" applyAlignment="1" applyProtection="1">
      <alignment horizontal="center"/>
      <protection locked="0"/>
    </xf>
    <xf numFmtId="0" fontId="17" fillId="66" borderId="30" xfId="0" applyFont="1" applyFill="1" applyBorder="1" applyAlignment="1" applyProtection="1">
      <alignment horizontal="right"/>
      <protection locked="0"/>
    </xf>
    <xf numFmtId="0" fontId="17" fillId="66" borderId="31" xfId="0" applyFont="1" applyFill="1" applyBorder="1" applyProtection="1">
      <protection locked="0"/>
    </xf>
    <xf numFmtId="0" fontId="14" fillId="0" borderId="102" xfId="46" applyBorder="1" applyAlignment="1" applyProtection="1">
      <alignment horizontal="center"/>
      <protection locked="0"/>
    </xf>
    <xf numFmtId="0" fontId="14" fillId="0" borderId="82" xfId="46" applyBorder="1" applyAlignment="1" applyProtection="1">
      <alignment horizontal="center"/>
      <protection locked="0"/>
    </xf>
    <xf numFmtId="0" fontId="14" fillId="0" borderId="0" xfId="46" applyFont="1" applyAlignment="1" applyProtection="1">
      <alignment horizontal="left"/>
      <protection locked="0"/>
    </xf>
    <xf numFmtId="0" fontId="43" fillId="0" borderId="0" xfId="46" applyFont="1" applyProtection="1">
      <protection locked="0"/>
    </xf>
    <xf numFmtId="0" fontId="96" fillId="0" borderId="0" xfId="46" applyFont="1" applyAlignment="1" applyProtection="1">
      <alignment horizontal="left" vertical="center" indent="4"/>
      <protection locked="0"/>
    </xf>
    <xf numFmtId="0" fontId="14" fillId="0" borderId="0" xfId="46" applyFont="1" applyAlignment="1" applyProtection="1">
      <alignment vertical="center"/>
      <protection locked="0"/>
    </xf>
    <xf numFmtId="0" fontId="20" fillId="0" borderId="0" xfId="46" applyFont="1" applyProtection="1">
      <protection locked="0"/>
    </xf>
    <xf numFmtId="0" fontId="17" fillId="0" borderId="0" xfId="46" applyFont="1" applyProtection="1">
      <protection locked="0"/>
    </xf>
    <xf numFmtId="0" fontId="20" fillId="0" borderId="0" xfId="46" applyFont="1" applyFill="1" applyProtection="1">
      <protection locked="0"/>
    </xf>
    <xf numFmtId="0" fontId="17" fillId="0" borderId="0" xfId="46" applyFont="1" applyFill="1" applyProtection="1">
      <protection locked="0"/>
    </xf>
    <xf numFmtId="0" fontId="14" fillId="0" borderId="0" xfId="46" applyFill="1" applyProtection="1">
      <protection locked="0"/>
    </xf>
    <xf numFmtId="0" fontId="14" fillId="0" borderId="0" xfId="46" applyFont="1" applyFill="1" applyProtection="1">
      <protection locked="0"/>
    </xf>
    <xf numFmtId="0" fontId="17" fillId="0" borderId="0" xfId="46" applyFont="1" applyFill="1" applyAlignment="1" applyProtection="1">
      <alignment horizontal="left"/>
      <protection locked="0"/>
    </xf>
    <xf numFmtId="0" fontId="14" fillId="0" borderId="0" xfId="46" applyFont="1" applyFill="1" applyAlignment="1" applyProtection="1">
      <alignment vertical="center" wrapText="1"/>
      <protection locked="0"/>
    </xf>
    <xf numFmtId="0" fontId="14" fillId="0" borderId="0" xfId="46" applyBorder="1" applyProtection="1">
      <protection locked="0"/>
    </xf>
    <xf numFmtId="0" fontId="48" fillId="29" borderId="0" xfId="46" applyFont="1" applyFill="1" applyAlignment="1" applyProtection="1">
      <protection locked="0"/>
    </xf>
    <xf numFmtId="0" fontId="18" fillId="0" borderId="0" xfId="46" applyFont="1" applyAlignment="1" applyProtection="1">
      <alignment horizontal="center"/>
      <protection locked="0"/>
    </xf>
    <xf numFmtId="0" fontId="14" fillId="25" borderId="75" xfId="46" applyFill="1" applyBorder="1" applyProtection="1">
      <protection locked="0"/>
    </xf>
    <xf numFmtId="0" fontId="17" fillId="25" borderId="13" xfId="46" applyFont="1" applyFill="1" applyBorder="1" applyAlignment="1" applyProtection="1">
      <protection locked="0"/>
    </xf>
    <xf numFmtId="0" fontId="17" fillId="25" borderId="33" xfId="46" applyFont="1" applyFill="1" applyBorder="1" applyAlignment="1" applyProtection="1">
      <protection locked="0"/>
    </xf>
    <xf numFmtId="0" fontId="17" fillId="25" borderId="10" xfId="46" applyFont="1" applyFill="1" applyBorder="1" applyAlignment="1" applyProtection="1">
      <alignment horizontal="center" wrapText="1"/>
      <protection locked="0"/>
    </xf>
    <xf numFmtId="0" fontId="17" fillId="25" borderId="10" xfId="46" applyFont="1" applyFill="1" applyBorder="1" applyProtection="1">
      <protection locked="0"/>
    </xf>
    <xf numFmtId="0" fontId="17" fillId="25" borderId="10" xfId="46" applyFont="1" applyFill="1" applyBorder="1" applyAlignment="1" applyProtection="1">
      <alignment horizontal="center"/>
      <protection locked="0"/>
    </xf>
    <xf numFmtId="0" fontId="14" fillId="25" borderId="11" xfId="46" applyFill="1" applyBorder="1" applyProtection="1">
      <protection locked="0"/>
    </xf>
    <xf numFmtId="0" fontId="17" fillId="25" borderId="16" xfId="46" applyFont="1" applyFill="1" applyBorder="1" applyAlignment="1" applyProtection="1">
      <alignment horizontal="center" wrapText="1"/>
      <protection locked="0"/>
    </xf>
    <xf numFmtId="0" fontId="17" fillId="25" borderId="19" xfId="46" applyFont="1" applyFill="1" applyBorder="1" applyAlignment="1" applyProtection="1">
      <alignment horizontal="center"/>
      <protection locked="0"/>
    </xf>
    <xf numFmtId="0" fontId="17" fillId="25" borderId="19" xfId="46" applyFont="1" applyFill="1" applyBorder="1" applyAlignment="1" applyProtection="1">
      <alignment horizontal="center" wrapText="1"/>
      <protection locked="0"/>
    </xf>
    <xf numFmtId="0" fontId="14" fillId="0" borderId="10" xfId="46" applyFont="1" applyBorder="1" applyAlignment="1" applyProtection="1">
      <alignment vertical="center" wrapText="1"/>
      <protection locked="0"/>
    </xf>
    <xf numFmtId="166" fontId="0" fillId="29" borderId="10" xfId="29" applyNumberFormat="1" applyFont="1" applyFill="1" applyBorder="1" applyProtection="1">
      <protection locked="0"/>
    </xf>
    <xf numFmtId="166" fontId="0" fillId="0" borderId="10" xfId="29" applyNumberFormat="1" applyFont="1" applyBorder="1" applyProtection="1">
      <protection locked="0"/>
    </xf>
    <xf numFmtId="0" fontId="14" fillId="0" borderId="11" xfId="46" applyBorder="1" applyProtection="1">
      <protection locked="0"/>
    </xf>
    <xf numFmtId="166" fontId="0" fillId="29" borderId="33" xfId="29" applyNumberFormat="1" applyFont="1" applyFill="1" applyBorder="1" applyProtection="1">
      <protection locked="0"/>
    </xf>
    <xf numFmtId="166" fontId="14" fillId="0" borderId="10" xfId="46" applyNumberFormat="1" applyBorder="1" applyProtection="1">
      <protection locked="0"/>
    </xf>
    <xf numFmtId="0" fontId="14" fillId="0" borderId="10" xfId="46" applyFill="1" applyBorder="1" applyAlignment="1" applyProtection="1">
      <alignment horizontal="center" vertical="center"/>
      <protection locked="0"/>
    </xf>
    <xf numFmtId="0" fontId="14" fillId="0" borderId="10" xfId="46" applyFill="1" applyBorder="1" applyAlignment="1" applyProtection="1">
      <alignment vertical="center" wrapText="1"/>
      <protection locked="0"/>
    </xf>
    <xf numFmtId="0" fontId="14" fillId="0" borderId="10" xfId="46" applyBorder="1" applyAlignment="1" applyProtection="1">
      <alignment vertical="center" wrapText="1"/>
      <protection locked="0"/>
    </xf>
    <xf numFmtId="0" fontId="14" fillId="0" borderId="10" xfId="46" applyFont="1" applyFill="1" applyBorder="1" applyAlignment="1" applyProtection="1">
      <alignment horizontal="center" vertical="center"/>
      <protection locked="0"/>
    </xf>
    <xf numFmtId="166" fontId="0" fillId="29" borderId="0" xfId="29" applyNumberFormat="1" applyFont="1" applyFill="1" applyProtection="1">
      <protection locked="0"/>
    </xf>
    <xf numFmtId="0" fontId="14" fillId="29" borderId="10" xfId="46" applyFont="1" applyFill="1" applyBorder="1" applyAlignment="1" applyProtection="1">
      <alignment horizontal="center" vertical="center"/>
      <protection locked="0"/>
    </xf>
    <xf numFmtId="0" fontId="14" fillId="0" borderId="10" xfId="46" applyFont="1" applyFill="1" applyBorder="1" applyAlignment="1" applyProtection="1">
      <alignment vertical="center" wrapText="1"/>
      <protection locked="0"/>
    </xf>
    <xf numFmtId="0" fontId="14" fillId="0" borderId="10" xfId="46" applyFont="1" applyBorder="1" applyAlignment="1" applyProtection="1">
      <alignment horizontal="center" vertical="center"/>
      <protection locked="0"/>
    </xf>
    <xf numFmtId="0" fontId="14" fillId="29" borderId="0" xfId="46" applyFill="1" applyAlignment="1" applyProtection="1">
      <alignment horizontal="center"/>
      <protection locked="0"/>
    </xf>
    <xf numFmtId="0" fontId="14" fillId="0" borderId="10" xfId="46" applyBorder="1" applyAlignment="1" applyProtection="1">
      <alignment horizontal="center"/>
      <protection locked="0"/>
    </xf>
    <xf numFmtId="0" fontId="14" fillId="0" borderId="10" xfId="46" applyBorder="1" applyProtection="1">
      <protection locked="0"/>
    </xf>
    <xf numFmtId="0" fontId="14" fillId="29" borderId="10" xfId="46" applyFill="1" applyBorder="1" applyProtection="1">
      <protection locked="0"/>
    </xf>
    <xf numFmtId="0" fontId="17" fillId="0" borderId="10" xfId="46" applyFont="1" applyBorder="1" applyProtection="1">
      <protection locked="0"/>
    </xf>
    <xf numFmtId="166" fontId="17" fillId="0" borderId="10" xfId="46" applyNumberFormat="1" applyFont="1" applyBorder="1" applyProtection="1">
      <protection locked="0"/>
    </xf>
    <xf numFmtId="0" fontId="17" fillId="0" borderId="10" xfId="46" applyFont="1" applyBorder="1" applyAlignment="1" applyProtection="1">
      <alignment vertical="center" wrapText="1"/>
      <protection locked="0"/>
    </xf>
    <xf numFmtId="0" fontId="43" fillId="0" borderId="10" xfId="46" applyFont="1" applyBorder="1" applyAlignment="1" applyProtection="1">
      <alignment vertical="top" wrapText="1"/>
      <protection locked="0"/>
    </xf>
    <xf numFmtId="0" fontId="14" fillId="0" borderId="0" xfId="46" applyFill="1" applyBorder="1" applyProtection="1">
      <protection locked="0"/>
    </xf>
    <xf numFmtId="166" fontId="0" fillId="0" borderId="0" xfId="29" applyNumberFormat="1" applyFont="1" applyFill="1" applyBorder="1" applyProtection="1">
      <protection locked="0"/>
    </xf>
    <xf numFmtId="166" fontId="14" fillId="0" borderId="0" xfId="46" applyNumberFormat="1" applyFill="1" applyBorder="1" applyProtection="1">
      <protection locked="0"/>
    </xf>
    <xf numFmtId="0" fontId="14" fillId="0" borderId="0" xfId="46" applyFont="1" applyAlignment="1" applyProtection="1">
      <protection locked="0"/>
    </xf>
    <xf numFmtId="166" fontId="0" fillId="29" borderId="100" xfId="29" applyNumberFormat="1" applyFont="1" applyFill="1" applyBorder="1" applyProtection="1">
      <protection locked="0"/>
    </xf>
    <xf numFmtId="166" fontId="0" fillId="29" borderId="12" xfId="29" applyNumberFormat="1" applyFont="1" applyFill="1" applyBorder="1" applyProtection="1">
      <protection locked="0"/>
    </xf>
    <xf numFmtId="0" fontId="17" fillId="0" borderId="0" xfId="46" applyFont="1" applyFill="1" applyBorder="1" applyAlignment="1" applyProtection="1">
      <protection locked="0"/>
    </xf>
    <xf numFmtId="166" fontId="0" fillId="0" borderId="13" xfId="29" applyNumberFormat="1" applyFont="1" applyBorder="1" applyProtection="1">
      <protection locked="0"/>
    </xf>
    <xf numFmtId="15" fontId="14" fillId="0" borderId="0" xfId="46" applyNumberFormat="1" applyProtection="1">
      <protection locked="0"/>
    </xf>
    <xf numFmtId="0" fontId="43" fillId="0" borderId="0" xfId="46" applyFont="1" applyAlignment="1" applyProtection="1">
      <alignment horizontal="center"/>
      <protection locked="0"/>
    </xf>
    <xf numFmtId="0" fontId="14" fillId="0" borderId="0" xfId="46" applyAlignment="1" applyProtection="1">
      <alignment horizontal="left"/>
      <protection locked="0"/>
    </xf>
    <xf numFmtId="0" fontId="21" fillId="0" borderId="0" xfId="46" applyFont="1" applyAlignment="1" applyProtection="1">
      <alignment vertical="center" wrapText="1"/>
      <protection locked="0"/>
    </xf>
    <xf numFmtId="0" fontId="21" fillId="0" borderId="0" xfId="46" applyFont="1" applyAlignment="1" applyProtection="1">
      <alignment vertical="top"/>
      <protection locked="0"/>
    </xf>
    <xf numFmtId="0" fontId="17" fillId="69" borderId="10" xfId="46" applyFont="1" applyFill="1" applyBorder="1" applyProtection="1">
      <protection locked="0"/>
    </xf>
    <xf numFmtId="0" fontId="14" fillId="69" borderId="10" xfId="46" applyFill="1" applyBorder="1" applyAlignment="1" applyProtection="1">
      <alignment horizontal="center" vertical="center"/>
      <protection locked="0"/>
    </xf>
    <xf numFmtId="0" fontId="90" fillId="63" borderId="17" xfId="46" applyFont="1" applyFill="1" applyBorder="1" applyAlignment="1" applyProtection="1">
      <alignment horizontal="center" vertical="center" wrapText="1"/>
      <protection locked="0"/>
    </xf>
    <xf numFmtId="0" fontId="90" fillId="63" borderId="155" xfId="46" applyFont="1" applyFill="1" applyBorder="1" applyAlignment="1" applyProtection="1">
      <alignment horizontal="center" vertical="center" wrapText="1"/>
      <protection locked="0"/>
    </xf>
    <xf numFmtId="0" fontId="90" fillId="63" borderId="158" xfId="46" applyFont="1" applyFill="1" applyBorder="1" applyAlignment="1" applyProtection="1">
      <alignment horizontal="center" vertical="center" wrapText="1"/>
      <protection locked="0"/>
    </xf>
    <xf numFmtId="0" fontId="14" fillId="0" borderId="62" xfId="46" applyBorder="1" applyAlignment="1" applyProtection="1">
      <alignment horizontal="center" vertical="center"/>
      <protection locked="0"/>
    </xf>
    <xf numFmtId="0" fontId="14" fillId="69" borderId="33" xfId="46" applyFill="1" applyBorder="1" applyAlignment="1" applyProtection="1">
      <alignment horizontal="center" vertical="center"/>
      <protection locked="0"/>
    </xf>
    <xf numFmtId="1" fontId="14" fillId="29" borderId="10" xfId="46" applyNumberFormat="1" applyFill="1" applyBorder="1" applyAlignment="1" applyProtection="1">
      <alignment horizontal="center" vertical="center"/>
      <protection locked="0"/>
    </xf>
    <xf numFmtId="0" fontId="14" fillId="29" borderId="10" xfId="46" applyFill="1" applyBorder="1" applyAlignment="1" applyProtection="1">
      <alignment horizontal="left" vertical="center"/>
      <protection locked="0"/>
    </xf>
    <xf numFmtId="9" fontId="0" fillId="0" borderId="10" xfId="42" applyFont="1" applyBorder="1" applyAlignment="1" applyProtection="1">
      <alignment horizontal="center" vertical="center"/>
      <protection locked="0"/>
    </xf>
    <xf numFmtId="9" fontId="0" fillId="0" borderId="75" xfId="42" applyFont="1" applyBorder="1" applyAlignment="1" applyProtection="1">
      <alignment horizontal="center" vertical="center"/>
      <protection locked="0"/>
    </xf>
    <xf numFmtId="0" fontId="14" fillId="0" borderId="25" xfId="46" applyBorder="1" applyAlignment="1" applyProtection="1">
      <alignment horizontal="center" vertical="center"/>
      <protection locked="0"/>
    </xf>
    <xf numFmtId="0" fontId="14" fillId="0" borderId="68" xfId="46" applyBorder="1" applyAlignment="1" applyProtection="1">
      <alignment horizontal="center" vertical="center"/>
      <protection locked="0"/>
    </xf>
    <xf numFmtId="0" fontId="83" fillId="69" borderId="33" xfId="46" applyFont="1" applyFill="1" applyBorder="1" applyAlignment="1" applyProtection="1">
      <alignment horizontal="center" vertical="center"/>
      <protection locked="0"/>
    </xf>
    <xf numFmtId="0" fontId="14" fillId="69" borderId="33" xfId="46" applyFill="1" applyBorder="1" applyProtection="1">
      <protection locked="0"/>
    </xf>
    <xf numFmtId="0" fontId="14" fillId="0" borderId="26" xfId="46" applyBorder="1" applyAlignment="1" applyProtection="1">
      <alignment horizontal="center" vertical="center"/>
      <protection locked="0"/>
    </xf>
    <xf numFmtId="0" fontId="14" fillId="0" borderId="63" xfId="46" applyBorder="1" applyAlignment="1" applyProtection="1">
      <alignment horizontal="center" vertical="center"/>
      <protection locked="0"/>
    </xf>
    <xf numFmtId="0" fontId="14" fillId="0" borderId="26" xfId="46" applyFill="1" applyBorder="1" applyAlignment="1" applyProtection="1">
      <alignment horizontal="center" vertical="center"/>
      <protection locked="0"/>
    </xf>
    <xf numFmtId="0" fontId="17" fillId="0" borderId="20" xfId="46" applyFont="1" applyBorder="1" applyAlignment="1" applyProtection="1">
      <alignment horizontal="center" vertical="center"/>
      <protection locked="0"/>
    </xf>
    <xf numFmtId="0" fontId="14" fillId="0" borderId="21" xfId="46" applyBorder="1" applyAlignment="1" applyProtection="1">
      <alignment horizontal="center" vertical="center"/>
      <protection locked="0"/>
    </xf>
    <xf numFmtId="0" fontId="14" fillId="0" borderId="21" xfId="46" applyFill="1" applyBorder="1" applyAlignment="1" applyProtection="1">
      <alignment horizontal="center" vertical="center"/>
      <protection locked="0"/>
    </xf>
    <xf numFmtId="0" fontId="14" fillId="0" borderId="66" xfId="46" applyBorder="1" applyAlignment="1" applyProtection="1">
      <alignment horizontal="center" vertical="center"/>
      <protection locked="0"/>
    </xf>
    <xf numFmtId="0" fontId="90" fillId="63" borderId="156" xfId="46" applyFont="1" applyFill="1" applyBorder="1" applyAlignment="1" applyProtection="1">
      <alignment horizontal="center" vertical="center" wrapText="1"/>
      <protection locked="0"/>
    </xf>
    <xf numFmtId="1" fontId="14" fillId="0" borderId="10" xfId="46" applyNumberFormat="1" applyBorder="1" applyAlignment="1" applyProtection="1">
      <alignment vertical="center"/>
      <protection locked="0"/>
    </xf>
    <xf numFmtId="0" fontId="15" fillId="0" borderId="0" xfId="36" applyAlignment="1" applyProtection="1">
      <protection locked="0"/>
    </xf>
    <xf numFmtId="176" fontId="14" fillId="0" borderId="0" xfId="46" applyNumberFormat="1" applyProtection="1">
      <protection locked="0"/>
    </xf>
    <xf numFmtId="176" fontId="14" fillId="0" borderId="0" xfId="46" applyNumberFormat="1" applyFill="1" applyProtection="1">
      <protection locked="0"/>
    </xf>
    <xf numFmtId="3" fontId="17" fillId="0" borderId="0" xfId="46" applyNumberFormat="1" applyFont="1" applyFill="1" applyProtection="1">
      <protection locked="0"/>
    </xf>
    <xf numFmtId="176" fontId="17" fillId="0" borderId="0" xfId="46" applyNumberFormat="1" applyFont="1" applyProtection="1">
      <protection locked="0"/>
    </xf>
    <xf numFmtId="176" fontId="16" fillId="29" borderId="100" xfId="46" applyNumberFormat="1" applyFont="1" applyFill="1" applyBorder="1" applyAlignment="1" applyProtection="1">
      <alignment horizontal="right" vertical="top"/>
      <protection locked="0"/>
    </xf>
    <xf numFmtId="176" fontId="16" fillId="29" borderId="0" xfId="46" applyNumberFormat="1" applyFont="1" applyFill="1" applyAlignment="1" applyProtection="1">
      <alignment horizontal="right" vertical="top"/>
      <protection locked="0"/>
    </xf>
    <xf numFmtId="176" fontId="16" fillId="0" borderId="0" xfId="46" applyNumberFormat="1" applyFont="1" applyAlignment="1" applyProtection="1">
      <alignment horizontal="right" vertical="top"/>
      <protection locked="0"/>
    </xf>
    <xf numFmtId="169" fontId="14" fillId="0" borderId="0" xfId="46" applyNumberFormat="1" applyFill="1" applyProtection="1">
      <protection locked="0"/>
    </xf>
    <xf numFmtId="176" fontId="17" fillId="0" borderId="0" xfId="46" applyNumberFormat="1" applyFont="1" applyAlignment="1" applyProtection="1">
      <alignment vertical="center"/>
      <protection locked="0"/>
    </xf>
    <xf numFmtId="0" fontId="19" fillId="0" borderId="0" xfId="46" applyFont="1" applyAlignment="1" applyProtection="1">
      <alignment horizontal="center" vertical="center"/>
      <protection locked="0"/>
    </xf>
    <xf numFmtId="3" fontId="14" fillId="0" borderId="0" xfId="46" applyNumberFormat="1" applyProtection="1">
      <protection locked="0"/>
    </xf>
    <xf numFmtId="176" fontId="17" fillId="25" borderId="73" xfId="46" applyNumberFormat="1" applyFont="1" applyFill="1" applyBorder="1" applyAlignment="1" applyProtection="1">
      <alignment horizontal="center" vertical="center" wrapText="1"/>
      <protection locked="0"/>
    </xf>
    <xf numFmtId="3" fontId="17" fillId="25" borderId="73" xfId="46" applyNumberFormat="1" applyFont="1" applyFill="1" applyBorder="1" applyAlignment="1" applyProtection="1">
      <alignment horizontal="center" vertical="center" wrapText="1"/>
      <protection locked="0"/>
    </xf>
    <xf numFmtId="0" fontId="17" fillId="25" borderId="73" xfId="46" applyFont="1" applyFill="1" applyBorder="1" applyAlignment="1" applyProtection="1">
      <alignment horizontal="center" vertical="center" wrapText="1"/>
      <protection locked="0"/>
    </xf>
    <xf numFmtId="176" fontId="17" fillId="25" borderId="19" xfId="46" quotePrefix="1" applyNumberFormat="1" applyFont="1" applyFill="1" applyBorder="1" applyAlignment="1" applyProtection="1">
      <alignment horizontal="center"/>
      <protection locked="0"/>
    </xf>
    <xf numFmtId="176" fontId="17" fillId="25" borderId="19" xfId="46" quotePrefix="1" applyNumberFormat="1" applyFont="1" applyFill="1" applyBorder="1" applyAlignment="1" applyProtection="1">
      <alignment horizontal="center" wrapText="1"/>
      <protection locked="0"/>
    </xf>
    <xf numFmtId="3" fontId="17" fillId="25" borderId="19" xfId="46" quotePrefix="1" applyNumberFormat="1" applyFont="1" applyFill="1" applyBorder="1" applyAlignment="1" applyProtection="1">
      <alignment horizontal="center"/>
      <protection locked="0"/>
    </xf>
    <xf numFmtId="0" fontId="17" fillId="25" borderId="19" xfId="46" quotePrefix="1" applyFont="1" applyFill="1" applyBorder="1" applyAlignment="1" applyProtection="1">
      <alignment horizontal="center"/>
      <protection locked="0"/>
    </xf>
    <xf numFmtId="43" fontId="14" fillId="29" borderId="10" xfId="28" applyFill="1" applyBorder="1" applyProtection="1">
      <protection locked="0"/>
    </xf>
    <xf numFmtId="10" fontId="14" fillId="0" borderId="10" xfId="29" applyNumberFormat="1" applyBorder="1" applyProtection="1">
      <protection locked="0"/>
    </xf>
    <xf numFmtId="10" fontId="14" fillId="0" borderId="10" xfId="42" applyNumberFormat="1" applyBorder="1" applyProtection="1">
      <protection locked="0"/>
    </xf>
    <xf numFmtId="0" fontId="14" fillId="0" borderId="27" xfId="46" applyFill="1" applyBorder="1" applyAlignment="1" applyProtection="1">
      <alignment horizontal="center" vertical="center"/>
      <protection locked="0"/>
    </xf>
    <xf numFmtId="0" fontId="14" fillId="0" borderId="27" xfId="46" applyFont="1" applyBorder="1" applyAlignment="1" applyProtection="1">
      <alignment horizontal="center" vertical="center"/>
      <protection locked="0"/>
    </xf>
    <xf numFmtId="0" fontId="14" fillId="0" borderId="27" xfId="46" applyFont="1" applyFill="1" applyBorder="1" applyAlignment="1" applyProtection="1">
      <alignment horizontal="center" vertical="center"/>
      <protection locked="0"/>
    </xf>
    <xf numFmtId="0" fontId="14" fillId="0" borderId="10" xfId="46" applyFont="1" applyFill="1" applyBorder="1" applyAlignment="1" applyProtection="1">
      <alignment vertical="center"/>
      <protection locked="0"/>
    </xf>
    <xf numFmtId="166" fontId="0" fillId="29" borderId="36" xfId="29" applyNumberFormat="1" applyFont="1" applyFill="1" applyBorder="1" applyProtection="1">
      <protection locked="0"/>
    </xf>
    <xf numFmtId="166" fontId="0" fillId="0" borderId="36" xfId="29" applyNumberFormat="1" applyFont="1" applyBorder="1" applyProtection="1">
      <protection locked="0"/>
    </xf>
    <xf numFmtId="43" fontId="14" fillId="29" borderId="36" xfId="28" applyFill="1" applyBorder="1" applyProtection="1">
      <protection locked="0"/>
    </xf>
    <xf numFmtId="10" fontId="14" fillId="0" borderId="36" xfId="42" applyNumberFormat="1" applyBorder="1" applyProtection="1">
      <protection locked="0"/>
    </xf>
    <xf numFmtId="0" fontId="14" fillId="0" borderId="38" xfId="46" applyFont="1" applyBorder="1" applyAlignment="1" applyProtection="1">
      <alignment horizontal="center"/>
      <protection locked="0"/>
    </xf>
    <xf numFmtId="0" fontId="17" fillId="0" borderId="34" xfId="46" applyFont="1" applyBorder="1" applyProtection="1">
      <protection locked="0"/>
    </xf>
    <xf numFmtId="166" fontId="17" fillId="0" borderId="34" xfId="46" applyNumberFormat="1" applyFont="1" applyBorder="1" applyProtection="1">
      <protection locked="0"/>
    </xf>
    <xf numFmtId="166" fontId="0" fillId="0" borderId="34" xfId="29" applyNumberFormat="1" applyFont="1" applyBorder="1" applyProtection="1">
      <protection locked="0"/>
    </xf>
    <xf numFmtId="3" fontId="14" fillId="0" borderId="34" xfId="42" applyNumberFormat="1" applyBorder="1" applyProtection="1">
      <protection locked="0"/>
    </xf>
    <xf numFmtId="44" fontId="14" fillId="0" borderId="34" xfId="29" applyBorder="1" applyProtection="1">
      <protection locked="0"/>
    </xf>
    <xf numFmtId="166" fontId="0" fillId="29" borderId="34" xfId="29" applyNumberFormat="1" applyFont="1" applyFill="1" applyBorder="1" applyProtection="1">
      <protection locked="0"/>
    </xf>
    <xf numFmtId="176" fontId="14" fillId="0" borderId="0" xfId="46" applyNumberFormat="1" applyFont="1" applyProtection="1">
      <protection locked="0"/>
    </xf>
    <xf numFmtId="3" fontId="14" fillId="0" borderId="0" xfId="46" applyNumberFormat="1" applyFont="1" applyProtection="1">
      <protection locked="0"/>
    </xf>
    <xf numFmtId="0" fontId="14" fillId="0" borderId="0" xfId="46" applyAlignment="1" applyProtection="1">
      <alignment horizontal="center" vertical="top"/>
      <protection locked="0"/>
    </xf>
    <xf numFmtId="0" fontId="17" fillId="0" borderId="0" xfId="46" applyFont="1" applyAlignment="1" applyProtection="1">
      <alignment vertical="top" wrapText="1"/>
      <protection locked="0"/>
    </xf>
    <xf numFmtId="176" fontId="17" fillId="0" borderId="0" xfId="46" applyNumberFormat="1" applyFont="1" applyAlignment="1" applyProtection="1">
      <alignment vertical="top" wrapText="1"/>
      <protection locked="0"/>
    </xf>
    <xf numFmtId="3" fontId="17" fillId="0" borderId="0" xfId="46" applyNumberFormat="1" applyFont="1" applyAlignment="1" applyProtection="1">
      <alignment vertical="top" wrapText="1"/>
      <protection locked="0"/>
    </xf>
    <xf numFmtId="0" fontId="19" fillId="0" borderId="0" xfId="46" applyFont="1" applyAlignment="1" applyProtection="1">
      <alignment horizontal="center"/>
      <protection locked="0"/>
    </xf>
    <xf numFmtId="0" fontId="19" fillId="0" borderId="0" xfId="46" applyFont="1" applyAlignment="1" applyProtection="1">
      <protection locked="0"/>
    </xf>
    <xf numFmtId="0" fontId="17" fillId="25" borderId="101" xfId="46" applyFont="1" applyFill="1" applyBorder="1" applyAlignment="1" applyProtection="1">
      <alignment horizontal="center" vertical="center" wrapText="1"/>
      <protection locked="0"/>
    </xf>
    <xf numFmtId="0" fontId="17" fillId="25" borderId="74" xfId="46" applyFont="1" applyFill="1" applyBorder="1" applyAlignment="1" applyProtection="1">
      <alignment horizontal="center" vertical="center" wrapText="1"/>
      <protection locked="0"/>
    </xf>
    <xf numFmtId="0" fontId="17" fillId="25" borderId="34" xfId="46" quotePrefix="1" applyFont="1" applyFill="1" applyBorder="1" applyAlignment="1" applyProtection="1">
      <alignment horizontal="center"/>
      <protection locked="0"/>
    </xf>
    <xf numFmtId="0" fontId="17" fillId="25" borderId="34" xfId="46" applyFont="1" applyFill="1" applyBorder="1" applyAlignment="1" applyProtection="1">
      <alignment horizontal="center" wrapText="1"/>
      <protection locked="0"/>
    </xf>
    <xf numFmtId="0" fontId="17" fillId="25" borderId="78" xfId="46" applyFont="1" applyFill="1" applyBorder="1" applyAlignment="1" applyProtection="1">
      <alignment horizontal="center"/>
      <protection locked="0"/>
    </xf>
    <xf numFmtId="0" fontId="17" fillId="25" borderId="35" xfId="46" quotePrefix="1" applyFont="1" applyFill="1" applyBorder="1" applyAlignment="1" applyProtection="1">
      <alignment horizontal="center"/>
      <protection locked="0"/>
    </xf>
    <xf numFmtId="0" fontId="17" fillId="25" borderId="35" xfId="46" applyFont="1" applyFill="1" applyBorder="1" applyAlignment="1" applyProtection="1">
      <alignment horizontal="center"/>
      <protection locked="0"/>
    </xf>
    <xf numFmtId="0" fontId="14" fillId="0" borderId="19" xfId="46" applyFont="1" applyBorder="1" applyAlignment="1" applyProtection="1">
      <alignment vertical="center" wrapText="1"/>
      <protection locked="0"/>
    </xf>
    <xf numFmtId="10" fontId="14" fillId="0" borderId="19" xfId="42" applyNumberFormat="1" applyBorder="1" applyProtection="1">
      <protection locked="0"/>
    </xf>
    <xf numFmtId="166" fontId="17" fillId="0" borderId="36" xfId="46" applyNumberFormat="1" applyFont="1" applyBorder="1" applyProtection="1">
      <protection locked="0"/>
    </xf>
    <xf numFmtId="166" fontId="17" fillId="0" borderId="57" xfId="46" applyNumberFormat="1" applyFont="1" applyBorder="1" applyProtection="1">
      <protection locked="0"/>
    </xf>
    <xf numFmtId="43" fontId="14" fillId="0" borderId="57" xfId="28" applyBorder="1" applyProtection="1">
      <protection locked="0"/>
    </xf>
    <xf numFmtId="10" fontId="14" fillId="0" borderId="57" xfId="42" applyNumberFormat="1" applyBorder="1" applyProtection="1">
      <protection locked="0"/>
    </xf>
    <xf numFmtId="0" fontId="14" fillId="0" borderId="0" xfId="46" applyFont="1" applyBorder="1" applyAlignment="1" applyProtection="1">
      <alignment horizontal="center"/>
      <protection locked="0"/>
    </xf>
    <xf numFmtId="0" fontId="17" fillId="0" borderId="0" xfId="46" applyFont="1" applyBorder="1" applyProtection="1">
      <protection locked="0"/>
    </xf>
    <xf numFmtId="166" fontId="17" fillId="0" borderId="0" xfId="46" applyNumberFormat="1" applyFont="1" applyBorder="1" applyProtection="1">
      <protection locked="0"/>
    </xf>
    <xf numFmtId="43" fontId="14" fillId="0" borderId="0" xfId="28" applyBorder="1" applyProtection="1">
      <protection locked="0"/>
    </xf>
    <xf numFmtId="10" fontId="14" fillId="0" borderId="0" xfId="42" applyNumberFormat="1" applyBorder="1" applyProtection="1">
      <protection locked="0"/>
    </xf>
    <xf numFmtId="0" fontId="14" fillId="0" borderId="0" xfId="46" applyAlignment="1" applyProtection="1">
      <alignment horizontal="center" vertical="center"/>
      <protection locked="0"/>
    </xf>
    <xf numFmtId="0" fontId="17" fillId="0" borderId="0" xfId="46" applyFont="1" applyAlignment="1" applyProtection="1">
      <alignment vertical="center" wrapText="1"/>
      <protection locked="0"/>
    </xf>
    <xf numFmtId="0" fontId="17" fillId="25" borderId="35" xfId="46" quotePrefix="1" applyFont="1" applyFill="1" applyBorder="1" applyAlignment="1" applyProtection="1">
      <alignment horizontal="center" wrapText="1"/>
      <protection locked="0"/>
    </xf>
    <xf numFmtId="0" fontId="17" fillId="25" borderId="35" xfId="46" applyFont="1" applyFill="1" applyBorder="1" applyAlignment="1" applyProtection="1">
      <alignment horizontal="center" wrapText="1"/>
      <protection locked="0"/>
    </xf>
    <xf numFmtId="43" fontId="14" fillId="29" borderId="19" xfId="28" applyFill="1" applyBorder="1" applyProtection="1">
      <protection locked="0"/>
    </xf>
    <xf numFmtId="10" fontId="14" fillId="0" borderId="19" xfId="29" applyNumberFormat="1" applyBorder="1" applyProtection="1">
      <protection locked="0"/>
    </xf>
    <xf numFmtId="0" fontId="14" fillId="0" borderId="85" xfId="46" applyFont="1" applyBorder="1" applyAlignment="1" applyProtection="1">
      <alignment horizontal="center"/>
      <protection locked="0"/>
    </xf>
    <xf numFmtId="0" fontId="17" fillId="0" borderId="57" xfId="46" applyFont="1" applyBorder="1" applyProtection="1">
      <protection locked="0"/>
    </xf>
    <xf numFmtId="166" fontId="17" fillId="0" borderId="57" xfId="29" applyNumberFormat="1" applyFont="1" applyBorder="1" applyProtection="1">
      <protection locked="0"/>
    </xf>
    <xf numFmtId="10" fontId="14" fillId="0" borderId="57" xfId="29" applyNumberFormat="1" applyBorder="1" applyProtection="1">
      <protection locked="0"/>
    </xf>
    <xf numFmtId="10" fontId="14" fillId="0" borderId="0" xfId="29" applyNumberFormat="1" applyBorder="1" applyProtection="1">
      <protection locked="0"/>
    </xf>
    <xf numFmtId="0" fontId="14" fillId="0" borderId="0" xfId="46" applyFont="1" applyAlignment="1" applyProtection="1">
      <alignment horizontal="center" vertical="center"/>
      <protection locked="0"/>
    </xf>
    <xf numFmtId="10" fontId="14" fillId="0" borderId="36" xfId="29" applyNumberFormat="1" applyBorder="1" applyProtection="1">
      <protection locked="0"/>
    </xf>
    <xf numFmtId="166" fontId="17" fillId="0" borderId="34" xfId="29" applyNumberFormat="1" applyFont="1" applyBorder="1" applyProtection="1">
      <protection locked="0"/>
    </xf>
    <xf numFmtId="43" fontId="14" fillId="0" borderId="34" xfId="28" applyBorder="1" applyProtection="1">
      <protection locked="0"/>
    </xf>
    <xf numFmtId="10" fontId="14" fillId="0" borderId="34" xfId="29" applyNumberFormat="1" applyBorder="1" applyProtection="1">
      <protection locked="0"/>
    </xf>
    <xf numFmtId="166" fontId="17" fillId="0" borderId="19" xfId="46" applyNumberFormat="1" applyFont="1" applyBorder="1" applyProtection="1">
      <protection locked="0"/>
    </xf>
    <xf numFmtId="0" fontId="14" fillId="0" borderId="0" xfId="46" applyFont="1" applyBorder="1" applyProtection="1">
      <protection locked="0"/>
    </xf>
    <xf numFmtId="44" fontId="14" fillId="0" borderId="0" xfId="29" applyBorder="1" applyProtection="1">
      <protection locked="0"/>
    </xf>
    <xf numFmtId="0" fontId="17" fillId="0" borderId="70" xfId="46" applyFont="1" applyBorder="1" applyProtection="1">
      <protection locked="0"/>
    </xf>
    <xf numFmtId="0" fontId="14" fillId="0" borderId="46" xfId="46" applyBorder="1" applyProtection="1">
      <protection locked="0"/>
    </xf>
    <xf numFmtId="0" fontId="14" fillId="0" borderId="32" xfId="46" applyBorder="1" applyAlignment="1" applyProtection="1">
      <alignment horizontal="center" vertical="center"/>
      <protection locked="0"/>
    </xf>
    <xf numFmtId="0" fontId="14" fillId="0" borderId="24" xfId="46" applyFont="1" applyBorder="1" applyAlignment="1" applyProtection="1">
      <alignment vertical="center" wrapText="1"/>
      <protection locked="0"/>
    </xf>
    <xf numFmtId="43" fontId="14" fillId="29" borderId="24" xfId="28" applyFill="1" applyBorder="1" applyProtection="1">
      <protection locked="0"/>
    </xf>
    <xf numFmtId="10" fontId="14" fillId="0" borderId="24" xfId="42" applyNumberFormat="1" applyBorder="1" applyProtection="1">
      <protection locked="0"/>
    </xf>
    <xf numFmtId="166" fontId="14" fillId="29" borderId="24" xfId="29" applyNumberFormat="1" applyFill="1" applyBorder="1" applyProtection="1">
      <protection locked="0"/>
    </xf>
    <xf numFmtId="166" fontId="14" fillId="29" borderId="10" xfId="29" applyNumberFormat="1" applyFill="1" applyBorder="1" applyProtection="1">
      <protection locked="0"/>
    </xf>
    <xf numFmtId="166" fontId="14" fillId="29" borderId="36" xfId="29" applyNumberFormat="1" applyFill="1" applyBorder="1" applyProtection="1">
      <protection locked="0"/>
    </xf>
    <xf numFmtId="0" fontId="17" fillId="0" borderId="0" xfId="46" applyFont="1" applyAlignment="1" applyProtection="1">
      <alignment vertical="top"/>
      <protection locked="0"/>
    </xf>
    <xf numFmtId="44" fontId="14" fillId="29" borderId="24" xfId="29" applyFill="1" applyBorder="1" applyProtection="1">
      <protection locked="0"/>
    </xf>
    <xf numFmtId="44" fontId="14" fillId="29" borderId="10" xfId="29" applyFill="1" applyBorder="1" applyProtection="1">
      <protection locked="0"/>
    </xf>
    <xf numFmtId="44" fontId="14" fillId="29" borderId="36" xfId="29" applyFill="1" applyBorder="1" applyProtection="1">
      <protection locked="0"/>
    </xf>
    <xf numFmtId="44" fontId="14" fillId="0" borderId="57" xfId="29" applyBorder="1" applyProtection="1">
      <protection locked="0"/>
    </xf>
    <xf numFmtId="0" fontId="14" fillId="0" borderId="0" xfId="46" applyFill="1" applyAlignment="1" applyProtection="1">
      <alignment horizontal="center" vertical="center"/>
      <protection locked="0"/>
    </xf>
    <xf numFmtId="0" fontId="17" fillId="25" borderId="19" xfId="46" quotePrefix="1" applyFont="1" applyFill="1" applyBorder="1" applyAlignment="1" applyProtection="1">
      <alignment horizontal="center" wrapText="1"/>
      <protection locked="0"/>
    </xf>
    <xf numFmtId="0" fontId="17" fillId="25" borderId="64" xfId="46" quotePrefix="1" applyFont="1" applyFill="1" applyBorder="1" applyAlignment="1" applyProtection="1">
      <alignment horizontal="center"/>
      <protection locked="0"/>
    </xf>
    <xf numFmtId="10" fontId="14" fillId="0" borderId="34" xfId="42" applyNumberFormat="1" applyBorder="1" applyProtection="1">
      <protection locked="0"/>
    </xf>
    <xf numFmtId="0" fontId="48" fillId="0" borderId="0" xfId="46" applyFont="1" applyAlignment="1" applyProtection="1">
      <alignment horizontal="center" vertical="center"/>
      <protection locked="0"/>
    </xf>
    <xf numFmtId="166" fontId="0" fillId="29" borderId="19" xfId="29" applyNumberFormat="1" applyFont="1" applyFill="1" applyBorder="1" applyProtection="1">
      <protection locked="0"/>
    </xf>
    <xf numFmtId="0" fontId="17" fillId="0" borderId="0" xfId="46" applyFont="1" applyAlignment="1" applyProtection="1">
      <alignment vertical="center"/>
      <protection locked="0"/>
    </xf>
    <xf numFmtId="0" fontId="17" fillId="0" borderId="0" xfId="46" applyFont="1" applyAlignment="1" applyProtection="1">
      <alignment horizontal="center"/>
      <protection locked="0"/>
    </xf>
    <xf numFmtId="0" fontId="17" fillId="29" borderId="67" xfId="46" applyFont="1" applyFill="1" applyBorder="1" applyAlignment="1" applyProtection="1">
      <alignment horizontal="center"/>
      <protection locked="0"/>
    </xf>
    <xf numFmtId="0" fontId="17" fillId="29" borderId="53" xfId="46" applyFont="1" applyFill="1" applyBorder="1" applyAlignment="1" applyProtection="1">
      <alignment horizontal="center"/>
      <protection locked="0"/>
    </xf>
    <xf numFmtId="0" fontId="17" fillId="29" borderId="64" xfId="46" applyFont="1" applyFill="1" applyBorder="1" applyAlignment="1" applyProtection="1">
      <alignment horizontal="center"/>
      <protection locked="0"/>
    </xf>
    <xf numFmtId="166" fontId="14" fillId="29" borderId="25" xfId="29" applyNumberFormat="1" applyFont="1" applyFill="1" applyBorder="1" applyProtection="1">
      <protection locked="0"/>
    </xf>
    <xf numFmtId="166" fontId="14" fillId="29" borderId="25" xfId="29" applyNumberFormat="1" applyFill="1" applyBorder="1" applyProtection="1">
      <protection locked="0"/>
    </xf>
    <xf numFmtId="0" fontId="14" fillId="29" borderId="54" xfId="46" applyFill="1" applyBorder="1" applyAlignment="1" applyProtection="1">
      <alignment horizontal="left" wrapText="1"/>
      <protection locked="0"/>
    </xf>
    <xf numFmtId="166" fontId="14" fillId="29" borderId="68" xfId="29" applyNumberFormat="1" applyFill="1" applyBorder="1" applyProtection="1">
      <protection locked="0"/>
    </xf>
    <xf numFmtId="0" fontId="17" fillId="0" borderId="46" xfId="46" applyFont="1" applyBorder="1" applyAlignment="1" applyProtection="1">
      <alignment vertical="top"/>
      <protection locked="0"/>
    </xf>
    <xf numFmtId="166" fontId="14" fillId="0" borderId="60" xfId="29" applyNumberFormat="1" applyBorder="1" applyProtection="1">
      <protection locked="0"/>
    </xf>
    <xf numFmtId="0" fontId="17" fillId="0" borderId="0" xfId="46" applyFont="1" applyBorder="1" applyAlignment="1" applyProtection="1">
      <alignment vertical="top"/>
      <protection locked="0"/>
    </xf>
    <xf numFmtId="166" fontId="14" fillId="0" borderId="0" xfId="29" applyNumberFormat="1" applyBorder="1" applyProtection="1">
      <protection locked="0"/>
    </xf>
    <xf numFmtId="166" fontId="14" fillId="0" borderId="0" xfId="29" applyNumberFormat="1" applyFill="1" applyBorder="1" applyProtection="1">
      <protection locked="0"/>
    </xf>
    <xf numFmtId="166" fontId="14" fillId="0" borderId="0" xfId="29" applyNumberFormat="1" applyFill="1" applyBorder="1" applyAlignment="1" applyProtection="1">
      <protection locked="0"/>
    </xf>
    <xf numFmtId="0" fontId="17" fillId="0" borderId="0" xfId="46" applyFont="1" applyFill="1" applyBorder="1" applyAlignment="1" applyProtection="1">
      <alignment vertical="top"/>
      <protection locked="0"/>
    </xf>
    <xf numFmtId="0" fontId="17" fillId="0" borderId="43" xfId="46" applyFont="1" applyFill="1" applyBorder="1" applyAlignment="1" applyProtection="1">
      <alignment horizontal="center"/>
      <protection locked="0"/>
    </xf>
    <xf numFmtId="0" fontId="17" fillId="0" borderId="40" xfId="46" applyFont="1" applyFill="1" applyBorder="1" applyAlignment="1" applyProtection="1">
      <alignment horizontal="center"/>
      <protection locked="0"/>
    </xf>
    <xf numFmtId="0" fontId="17" fillId="29" borderId="92" xfId="46" applyFont="1" applyFill="1" applyBorder="1" applyAlignment="1" applyProtection="1">
      <alignment horizontal="center"/>
      <protection locked="0"/>
    </xf>
    <xf numFmtId="0" fontId="17" fillId="29" borderId="12" xfId="46" applyFont="1" applyFill="1" applyBorder="1" applyAlignment="1" applyProtection="1">
      <alignment horizontal="center"/>
      <protection locked="0"/>
    </xf>
    <xf numFmtId="0" fontId="17" fillId="0" borderId="92" xfId="46" applyFont="1" applyFill="1" applyBorder="1" applyAlignment="1" applyProtection="1">
      <alignment horizontal="center"/>
      <protection locked="0"/>
    </xf>
    <xf numFmtId="0" fontId="14" fillId="0" borderId="40" xfId="46" applyBorder="1" applyAlignment="1" applyProtection="1">
      <alignment horizontal="left" wrapText="1"/>
      <protection locked="0"/>
    </xf>
    <xf numFmtId="166" fontId="14" fillId="29" borderId="53" xfId="29" applyNumberFormat="1" applyFont="1" applyFill="1" applyBorder="1" applyAlignment="1" applyProtection="1">
      <alignment horizontal="center"/>
      <protection locked="0"/>
    </xf>
    <xf numFmtId="166" fontId="14" fillId="28" borderId="128" xfId="29" applyNumberFormat="1" applyFill="1" applyBorder="1" applyProtection="1">
      <protection locked="0"/>
    </xf>
    <xf numFmtId="166" fontId="14" fillId="29" borderId="128" xfId="29" applyNumberFormat="1" applyFill="1" applyBorder="1" applyAlignment="1" applyProtection="1">
      <alignment horizontal="left" vertical="top" wrapText="1"/>
      <protection locked="0"/>
    </xf>
    <xf numFmtId="0" fontId="14" fillId="0" borderId="128" xfId="46" applyBorder="1" applyAlignment="1" applyProtection="1">
      <alignment horizontal="left" wrapText="1"/>
      <protection locked="0"/>
    </xf>
    <xf numFmtId="0" fontId="14" fillId="0" borderId="104" xfId="46" applyBorder="1" applyAlignment="1" applyProtection="1">
      <alignment horizontal="left" wrapText="1"/>
      <protection locked="0"/>
    </xf>
    <xf numFmtId="166" fontId="14" fillId="29" borderId="54" xfId="29" applyNumberFormat="1" applyFont="1" applyFill="1" applyBorder="1" applyProtection="1">
      <protection locked="0"/>
    </xf>
    <xf numFmtId="166" fontId="14" fillId="28" borderId="104" xfId="29" applyNumberFormat="1" applyFill="1" applyBorder="1" applyProtection="1">
      <protection locked="0"/>
    </xf>
    <xf numFmtId="0" fontId="14" fillId="0" borderId="104" xfId="46" applyFill="1" applyBorder="1" applyAlignment="1" applyProtection="1">
      <alignment horizontal="left" wrapText="1"/>
      <protection locked="0"/>
    </xf>
    <xf numFmtId="0" fontId="14" fillId="29" borderId="104" xfId="46" applyFill="1" applyBorder="1" applyAlignment="1" applyProtection="1">
      <alignment horizontal="left" wrapText="1"/>
      <protection locked="0"/>
    </xf>
    <xf numFmtId="0" fontId="14" fillId="29" borderId="160" xfId="46" applyFill="1" applyBorder="1" applyAlignment="1" applyProtection="1">
      <alignment horizontal="left" wrapText="1"/>
      <protection locked="0"/>
    </xf>
    <xf numFmtId="166" fontId="14" fillId="29" borderId="89" xfId="29" applyNumberFormat="1" applyFont="1" applyFill="1" applyBorder="1" applyProtection="1">
      <protection locked="0"/>
    </xf>
    <xf numFmtId="166" fontId="14" fillId="29" borderId="160" xfId="29" applyNumberFormat="1" applyFill="1" applyBorder="1" applyAlignment="1" applyProtection="1">
      <alignment horizontal="left" vertical="top" wrapText="1"/>
      <protection locked="0"/>
    </xf>
    <xf numFmtId="0" fontId="17" fillId="0" borderId="41" xfId="46" applyFont="1" applyBorder="1" applyAlignment="1" applyProtection="1">
      <alignment vertical="top"/>
      <protection locked="0"/>
    </xf>
    <xf numFmtId="166" fontId="14" fillId="0" borderId="61" xfId="29" applyNumberFormat="1" applyBorder="1" applyProtection="1">
      <protection locked="0"/>
    </xf>
    <xf numFmtId="166" fontId="14" fillId="66" borderId="105" xfId="29" applyNumberFormat="1" applyFill="1" applyBorder="1" applyProtection="1">
      <protection locked="0"/>
    </xf>
    <xf numFmtId="166" fontId="14" fillId="66" borderId="41" xfId="29" applyNumberFormat="1" applyFill="1" applyBorder="1" applyProtection="1">
      <protection locked="0"/>
    </xf>
    <xf numFmtId="0" fontId="17" fillId="0" borderId="44" xfId="46" applyFont="1" applyBorder="1" applyAlignment="1" applyProtection="1">
      <alignment vertical="top"/>
      <protection locked="0"/>
    </xf>
    <xf numFmtId="9" fontId="14" fillId="0" borderId="20" xfId="42" applyBorder="1" applyAlignment="1" applyProtection="1">
      <alignment horizontal="right"/>
      <protection locked="0"/>
    </xf>
    <xf numFmtId="166" fontId="14" fillId="0" borderId="44" xfId="29" applyNumberFormat="1" applyBorder="1" applyProtection="1">
      <protection locked="0"/>
    </xf>
    <xf numFmtId="166" fontId="14" fillId="29" borderId="44" xfId="29" applyNumberFormat="1" applyFill="1" applyBorder="1" applyAlignment="1" applyProtection="1">
      <alignment horizontal="left" vertical="top" wrapText="1"/>
      <protection locked="0"/>
    </xf>
    <xf numFmtId="0" fontId="24" fillId="0" borderId="0" xfId="47" applyProtection="1">
      <protection locked="0"/>
    </xf>
    <xf numFmtId="0" fontId="40" fillId="0" borderId="0" xfId="47" applyFont="1" applyProtection="1">
      <protection locked="0"/>
    </xf>
    <xf numFmtId="0" fontId="54" fillId="0" borderId="0" xfId="47" applyFont="1" applyProtection="1">
      <protection locked="0"/>
    </xf>
    <xf numFmtId="0" fontId="59" fillId="0" borderId="0" xfId="47" applyFont="1" applyProtection="1">
      <protection locked="0"/>
    </xf>
    <xf numFmtId="0" fontId="58" fillId="0" borderId="10" xfId="47" applyFont="1" applyBorder="1" applyAlignment="1" applyProtection="1">
      <alignment horizontal="center" wrapText="1"/>
      <protection locked="0"/>
    </xf>
    <xf numFmtId="0" fontId="58" fillId="0" borderId="0" xfId="47" applyFont="1" applyProtection="1">
      <protection locked="0"/>
    </xf>
    <xf numFmtId="0" fontId="58" fillId="0" borderId="10" xfId="47" applyFont="1" applyBorder="1" applyAlignment="1" applyProtection="1">
      <alignment horizontal="center" vertical="center"/>
      <protection locked="0"/>
    </xf>
    <xf numFmtId="0" fontId="58" fillId="0" borderId="10" xfId="47" applyFont="1" applyBorder="1" applyAlignment="1" applyProtection="1">
      <alignment horizontal="center" vertical="center" wrapText="1"/>
      <protection locked="0"/>
    </xf>
    <xf numFmtId="0" fontId="54" fillId="0" borderId="10" xfId="47" applyFont="1" applyBorder="1" applyProtection="1">
      <protection locked="0"/>
    </xf>
    <xf numFmtId="0" fontId="54" fillId="0" borderId="10" xfId="47" applyFont="1" applyBorder="1" applyAlignment="1" applyProtection="1">
      <alignment horizontal="center"/>
      <protection locked="0"/>
    </xf>
    <xf numFmtId="0" fontId="54" fillId="30" borderId="10" xfId="47" applyFont="1" applyFill="1" applyBorder="1" applyProtection="1">
      <protection locked="0"/>
    </xf>
    <xf numFmtId="3" fontId="54" fillId="29" borderId="10" xfId="47" applyNumberFormat="1" applyFont="1" applyFill="1" applyBorder="1" applyAlignment="1" applyProtection="1">
      <protection locked="0"/>
    </xf>
    <xf numFmtId="3" fontId="54" fillId="0" borderId="10" xfId="47" applyNumberFormat="1" applyFont="1" applyFill="1" applyBorder="1" applyAlignment="1" applyProtection="1">
      <protection locked="0"/>
    </xf>
    <xf numFmtId="0" fontId="58" fillId="0" borderId="10" xfId="47" applyFont="1" applyBorder="1" applyProtection="1">
      <protection locked="0"/>
    </xf>
    <xf numFmtId="3" fontId="54" fillId="0" borderId="10" xfId="47" applyNumberFormat="1" applyFont="1" applyBorder="1" applyAlignment="1" applyProtection="1">
      <protection locked="0"/>
    </xf>
    <xf numFmtId="0" fontId="58" fillId="0" borderId="0" xfId="47" applyFont="1" applyAlignment="1" applyProtection="1">
      <alignment wrapText="1"/>
      <protection locked="0"/>
    </xf>
    <xf numFmtId="3" fontId="14" fillId="29" borderId="10" xfId="47" applyNumberFormat="1" applyFont="1" applyFill="1" applyBorder="1" applyAlignment="1" applyProtection="1">
      <protection locked="0"/>
    </xf>
    <xf numFmtId="0" fontId="58" fillId="0" borderId="10" xfId="47" applyFont="1" applyBorder="1" applyAlignment="1" applyProtection="1">
      <alignment wrapText="1"/>
      <protection locked="0"/>
    </xf>
    <xf numFmtId="3" fontId="54" fillId="0" borderId="10" xfId="47" applyNumberFormat="1" applyFont="1" applyBorder="1" applyProtection="1">
      <protection locked="0"/>
    </xf>
    <xf numFmtId="3" fontId="54" fillId="0" borderId="0" xfId="47" applyNumberFormat="1" applyFont="1" applyProtection="1">
      <protection locked="0"/>
    </xf>
    <xf numFmtId="0" fontId="54" fillId="0" borderId="12" xfId="47" applyFont="1" applyBorder="1" applyAlignment="1" applyProtection="1">
      <alignment horizontal="left" wrapText="1" indent="4"/>
      <protection locked="0"/>
    </xf>
    <xf numFmtId="0" fontId="54" fillId="0" borderId="12" xfId="47" applyFont="1" applyBorder="1" applyProtection="1">
      <protection locked="0"/>
    </xf>
    <xf numFmtId="167" fontId="54" fillId="0" borderId="12" xfId="28" applyNumberFormat="1" applyFont="1" applyBorder="1" applyProtection="1">
      <protection locked="0"/>
    </xf>
    <xf numFmtId="0" fontId="58" fillId="0" borderId="0" xfId="47" applyFont="1" applyAlignment="1" applyProtection="1">
      <alignment horizontal="right"/>
      <protection locked="0"/>
    </xf>
    <xf numFmtId="10" fontId="54" fillId="29" borderId="100" xfId="47" applyNumberFormat="1" applyFont="1" applyFill="1" applyBorder="1" applyProtection="1">
      <protection locked="0"/>
    </xf>
    <xf numFmtId="0" fontId="24" fillId="0" borderId="0" xfId="47" applyFont="1" applyProtection="1">
      <protection locked="0"/>
    </xf>
    <xf numFmtId="0" fontId="59" fillId="0" borderId="0" xfId="47" applyFont="1" applyAlignment="1" applyProtection="1">
      <alignment vertical="center"/>
      <protection locked="0"/>
    </xf>
    <xf numFmtId="0" fontId="58" fillId="0" borderId="13" xfId="47" applyFont="1" applyBorder="1" applyProtection="1">
      <protection locked="0"/>
    </xf>
    <xf numFmtId="0" fontId="54" fillId="0" borderId="13" xfId="47" applyFont="1" applyBorder="1" applyProtection="1">
      <protection locked="0"/>
    </xf>
    <xf numFmtId="167" fontId="54" fillId="0" borderId="13" xfId="28" applyNumberFormat="1" applyFont="1" applyBorder="1" applyProtection="1">
      <protection locked="0"/>
    </xf>
    <xf numFmtId="0" fontId="54" fillId="0" borderId="0" xfId="47" applyFont="1" applyAlignment="1" applyProtection="1">
      <alignment wrapText="1"/>
      <protection locked="0"/>
    </xf>
    <xf numFmtId="0" fontId="54" fillId="0" borderId="0" xfId="47" applyFont="1" applyAlignment="1" applyProtection="1">
      <alignment vertical="center"/>
      <protection locked="0"/>
    </xf>
    <xf numFmtId="0" fontId="54" fillId="0" borderId="0" xfId="47" applyFont="1" applyAlignment="1" applyProtection="1">
      <alignment vertical="center" wrapText="1"/>
      <protection locked="0"/>
    </xf>
    <xf numFmtId="0" fontId="54" fillId="0" borderId="10" xfId="47" applyFont="1" applyBorder="1" applyAlignment="1" applyProtection="1">
      <protection locked="0"/>
    </xf>
    <xf numFmtId="0" fontId="60" fillId="30" borderId="10" xfId="47" applyFont="1" applyFill="1" applyBorder="1" applyProtection="1">
      <protection locked="0"/>
    </xf>
    <xf numFmtId="0" fontId="54" fillId="29" borderId="10" xfId="47" applyFont="1" applyFill="1" applyBorder="1" applyProtection="1">
      <protection locked="0"/>
    </xf>
    <xf numFmtId="167" fontId="54" fillId="0" borderId="0" xfId="28" applyNumberFormat="1" applyFont="1" applyProtection="1">
      <protection locked="0"/>
    </xf>
    <xf numFmtId="0" fontId="14" fillId="64" borderId="0" xfId="46" applyFill="1" applyProtection="1">
      <protection locked="0"/>
    </xf>
    <xf numFmtId="0" fontId="89" fillId="0" borderId="0" xfId="47" applyFont="1" applyProtection="1">
      <protection locked="0"/>
    </xf>
    <xf numFmtId="0" fontId="21" fillId="0" borderId="0" xfId="46" applyFont="1" applyAlignment="1" applyProtection="1">
      <protection locked="0"/>
    </xf>
    <xf numFmtId="0" fontId="12" fillId="0" borderId="0" xfId="90" applyProtection="1">
      <protection locked="0"/>
    </xf>
    <xf numFmtId="0" fontId="114" fillId="0" borderId="0" xfId="0" applyFont="1" applyAlignment="1" applyProtection="1">
      <alignment horizontal="left" vertical="top"/>
      <protection locked="0"/>
    </xf>
    <xf numFmtId="0" fontId="6" fillId="0" borderId="0" xfId="90" applyFont="1" applyProtection="1">
      <protection locked="0"/>
    </xf>
    <xf numFmtId="0" fontId="92" fillId="0" borderId="0" xfId="0" applyFont="1" applyAlignment="1" applyProtection="1">
      <protection locked="0"/>
    </xf>
    <xf numFmtId="0" fontId="92" fillId="0" borderId="0" xfId="90" applyFont="1" applyProtection="1">
      <protection locked="0"/>
    </xf>
    <xf numFmtId="0" fontId="7" fillId="0" borderId="0" xfId="90" applyFont="1" applyProtection="1">
      <protection locked="0"/>
    </xf>
    <xf numFmtId="0" fontId="21" fillId="0" borderId="0" xfId="0" applyFont="1" applyProtection="1">
      <protection locked="0"/>
    </xf>
    <xf numFmtId="0" fontId="17" fillId="0" borderId="0" xfId="0" applyFont="1" applyAlignment="1" applyProtection="1">
      <alignment horizontal="center"/>
      <protection locked="0"/>
    </xf>
    <xf numFmtId="0" fontId="20" fillId="0" borderId="0" xfId="0" applyFont="1" applyProtection="1">
      <protection locked="0"/>
    </xf>
    <xf numFmtId="0" fontId="17" fillId="0" borderId="10" xfId="0" applyFont="1" applyBorder="1" applyAlignment="1" applyProtection="1">
      <alignment horizontal="center"/>
      <protection locked="0"/>
    </xf>
    <xf numFmtId="0" fontId="43" fillId="0" borderId="0" xfId="0" applyFont="1" applyProtection="1">
      <protection locked="0"/>
    </xf>
    <xf numFmtId="176" fontId="14" fillId="29" borderId="0" xfId="28" applyNumberFormat="1" applyFont="1" applyFill="1" applyBorder="1" applyAlignment="1" applyProtection="1">
      <alignment horizontal="center"/>
      <protection locked="0"/>
    </xf>
    <xf numFmtId="166" fontId="14" fillId="0" borderId="0" xfId="29" applyNumberFormat="1" applyFont="1" applyProtection="1">
      <protection locked="0"/>
    </xf>
    <xf numFmtId="166" fontId="17" fillId="0" borderId="0" xfId="29" applyNumberFormat="1" applyFont="1" applyProtection="1">
      <protection locked="0"/>
    </xf>
    <xf numFmtId="0" fontId="17" fillId="0" borderId="0" xfId="0" applyFont="1" applyFill="1" applyBorder="1" applyProtection="1">
      <protection locked="0"/>
    </xf>
    <xf numFmtId="166" fontId="17" fillId="0" borderId="0" xfId="0" applyNumberFormat="1" applyFont="1" applyFill="1" applyBorder="1" applyProtection="1">
      <protection locked="0"/>
    </xf>
    <xf numFmtId="0" fontId="0" fillId="66" borderId="0" xfId="0" applyFill="1" applyBorder="1" applyProtection="1">
      <protection locked="0"/>
    </xf>
    <xf numFmtId="0" fontId="105" fillId="66" borderId="0" xfId="0" applyFont="1" applyFill="1" applyBorder="1" applyAlignment="1" applyProtection="1">
      <alignment horizontal="center"/>
      <protection locked="0"/>
    </xf>
    <xf numFmtId="166" fontId="98" fillId="66" borderId="0" xfId="0" applyNumberFormat="1" applyFont="1" applyFill="1" applyBorder="1" applyProtection="1">
      <protection locked="0"/>
    </xf>
    <xf numFmtId="166" fontId="98" fillId="66" borderId="0" xfId="0" applyNumberFormat="1" applyFont="1" applyFill="1" applyBorder="1" applyAlignment="1" applyProtection="1">
      <alignment horizontal="center"/>
      <protection locked="0"/>
    </xf>
    <xf numFmtId="0" fontId="105" fillId="0" borderId="0" xfId="0" applyFont="1" applyFill="1" applyBorder="1" applyAlignment="1" applyProtection="1">
      <alignment horizontal="center"/>
      <protection locked="0"/>
    </xf>
    <xf numFmtId="0" fontId="14" fillId="0" borderId="0" xfId="0" applyFont="1" applyFill="1" applyBorder="1" applyProtection="1">
      <protection locked="0"/>
    </xf>
    <xf numFmtId="9" fontId="14" fillId="0" borderId="0" xfId="0" applyNumberFormat="1" applyFont="1" applyFill="1" applyBorder="1" applyAlignment="1" applyProtection="1">
      <alignment horizontal="center"/>
      <protection locked="0"/>
    </xf>
    <xf numFmtId="166" fontId="14" fillId="0" borderId="0" xfId="29" applyNumberFormat="1" applyFont="1" applyFill="1" applyBorder="1" applyProtection="1">
      <protection locked="0"/>
    </xf>
    <xf numFmtId="166" fontId="14" fillId="0" borderId="0" xfId="29" applyNumberFormat="1" applyFont="1" applyFill="1" applyBorder="1" applyAlignment="1" applyProtection="1">
      <alignment horizontal="center"/>
      <protection locked="0"/>
    </xf>
    <xf numFmtId="9" fontId="14" fillId="0" borderId="0" xfId="28" applyNumberFormat="1" applyFont="1" applyFill="1" applyBorder="1" applyAlignment="1" applyProtection="1">
      <alignment horizontal="center"/>
      <protection locked="0"/>
    </xf>
    <xf numFmtId="166" fontId="14" fillId="0" borderId="0" xfId="0" applyNumberFormat="1" applyFont="1" applyFill="1" applyBorder="1" applyProtection="1">
      <protection locked="0"/>
    </xf>
    <xf numFmtId="9" fontId="14" fillId="0" borderId="0" xfId="42" applyFont="1" applyFill="1" applyBorder="1" applyAlignment="1" applyProtection="1">
      <alignment horizontal="center"/>
      <protection locked="0"/>
    </xf>
    <xf numFmtId="0" fontId="42" fillId="0" borderId="0" xfId="0" applyFont="1" applyFill="1" applyBorder="1" applyAlignment="1" applyProtection="1">
      <alignment horizontal="center"/>
      <protection locked="0"/>
    </xf>
    <xf numFmtId="166" fontId="14" fillId="0" borderId="0" xfId="0" applyNumberFormat="1" applyFont="1" applyFill="1" applyBorder="1" applyAlignment="1" applyProtection="1">
      <alignment horizontal="center"/>
      <protection locked="0"/>
    </xf>
    <xf numFmtId="0" fontId="14" fillId="66" borderId="0" xfId="0" applyFont="1" applyFill="1" applyBorder="1" applyProtection="1">
      <protection locked="0"/>
    </xf>
    <xf numFmtId="0" fontId="42" fillId="66" borderId="0" xfId="0" applyFont="1" applyFill="1" applyBorder="1" applyAlignment="1" applyProtection="1">
      <alignment horizontal="center"/>
      <protection locked="0"/>
    </xf>
    <xf numFmtId="166" fontId="14" fillId="66" borderId="0" xfId="0" applyNumberFormat="1" applyFont="1" applyFill="1" applyBorder="1" applyProtection="1">
      <protection locked="0"/>
    </xf>
    <xf numFmtId="166" fontId="14" fillId="66" borderId="0" xfId="0" applyNumberFormat="1" applyFont="1" applyFill="1" applyBorder="1" applyAlignment="1" applyProtection="1">
      <alignment horizontal="center"/>
      <protection locked="0"/>
    </xf>
    <xf numFmtId="0" fontId="94" fillId="0" borderId="0" xfId="90" applyFont="1" applyProtection="1">
      <protection locked="0"/>
    </xf>
    <xf numFmtId="0" fontId="17" fillId="0" borderId="0" xfId="0" applyFont="1" applyBorder="1" applyAlignment="1" applyProtection="1">
      <protection locked="0"/>
    </xf>
    <xf numFmtId="0" fontId="14" fillId="0" borderId="0" xfId="0" applyFont="1" applyBorder="1" applyProtection="1">
      <protection locked="0"/>
    </xf>
    <xf numFmtId="0" fontId="12" fillId="0" borderId="0" xfId="90" applyBorder="1" applyProtection="1">
      <protection locked="0"/>
    </xf>
    <xf numFmtId="0" fontId="14" fillId="0" borderId="0" xfId="0" applyFont="1" applyAlignment="1" applyProtection="1">
      <alignment horizontal="right"/>
      <protection locked="0"/>
    </xf>
    <xf numFmtId="0" fontId="17" fillId="0" borderId="0" xfId="97" applyFont="1" applyFill="1" applyBorder="1" applyAlignment="1" applyProtection="1">
      <alignment horizontal="center"/>
      <protection locked="0"/>
    </xf>
    <xf numFmtId="9" fontId="17" fillId="0" borderId="0" xfId="97" applyNumberFormat="1" applyFont="1" applyFill="1" applyBorder="1" applyAlignment="1" applyProtection="1">
      <alignment horizontal="center"/>
      <protection locked="0"/>
    </xf>
    <xf numFmtId="9" fontId="14" fillId="0" borderId="0" xfId="0" applyNumberFormat="1" applyFont="1" applyAlignment="1" applyProtection="1">
      <alignment horizontal="center"/>
      <protection locked="0"/>
    </xf>
    <xf numFmtId="166" fontId="14" fillId="64" borderId="0" xfId="29" applyNumberFormat="1" applyFont="1" applyFill="1" applyProtection="1">
      <protection locked="0"/>
    </xf>
    <xf numFmtId="166" fontId="14" fillId="0" borderId="0" xfId="29" applyNumberFormat="1" applyFont="1" applyAlignment="1" applyProtection="1">
      <alignment horizontal="center"/>
      <protection locked="0"/>
    </xf>
    <xf numFmtId="166" fontId="14" fillId="0" borderId="0" xfId="29" applyNumberFormat="1" applyFont="1" applyFill="1" applyProtection="1">
      <protection locked="0"/>
    </xf>
    <xf numFmtId="42" fontId="14" fillId="0" borderId="0" xfId="0" applyNumberFormat="1" applyFont="1" applyAlignment="1" applyProtection="1">
      <alignment horizontal="center"/>
      <protection locked="0"/>
    </xf>
    <xf numFmtId="176" fontId="14" fillId="0" borderId="0" xfId="28" applyNumberFormat="1" applyFont="1" applyFill="1" applyBorder="1" applyAlignment="1" applyProtection="1">
      <alignment horizontal="center"/>
      <protection locked="0"/>
    </xf>
    <xf numFmtId="166" fontId="14" fillId="0" borderId="0" xfId="0" applyNumberFormat="1" applyFont="1" applyFill="1" applyProtection="1">
      <protection locked="0"/>
    </xf>
    <xf numFmtId="42" fontId="14" fillId="0" borderId="0" xfId="0" applyNumberFormat="1" applyFont="1" applyFill="1" applyAlignment="1" applyProtection="1">
      <alignment horizontal="center"/>
      <protection locked="0"/>
    </xf>
    <xf numFmtId="9" fontId="14" fillId="29" borderId="0" xfId="28" applyNumberFormat="1" applyFont="1" applyFill="1" applyBorder="1" applyAlignment="1" applyProtection="1">
      <alignment horizontal="center"/>
      <protection locked="0"/>
    </xf>
    <xf numFmtId="165" fontId="14" fillId="0" borderId="0" xfId="0" applyNumberFormat="1" applyFont="1" applyAlignment="1" applyProtection="1">
      <alignment horizontal="center"/>
      <protection locked="0"/>
    </xf>
    <xf numFmtId="166" fontId="14" fillId="0" borderId="12" xfId="0" applyNumberFormat="1" applyFont="1" applyBorder="1" applyProtection="1">
      <protection locked="0"/>
    </xf>
    <xf numFmtId="166" fontId="14" fillId="0" borderId="12" xfId="29" applyNumberFormat="1" applyFont="1" applyBorder="1" applyAlignment="1" applyProtection="1">
      <alignment horizontal="center"/>
      <protection locked="0"/>
    </xf>
    <xf numFmtId="166" fontId="14" fillId="0" borderId="0" xfId="0" applyNumberFormat="1" applyFont="1" applyProtection="1">
      <protection locked="0"/>
    </xf>
    <xf numFmtId="9" fontId="14" fillId="0" borderId="0" xfId="42" applyFont="1" applyBorder="1" applyAlignment="1" applyProtection="1">
      <alignment horizontal="center"/>
      <protection locked="0"/>
    </xf>
    <xf numFmtId="9" fontId="14" fillId="0" borderId="0" xfId="42" applyFont="1" applyAlignment="1" applyProtection="1">
      <alignment horizontal="center"/>
      <protection locked="0"/>
    </xf>
    <xf numFmtId="44" fontId="14" fillId="0" borderId="0" xfId="29" applyFont="1" applyProtection="1">
      <protection locked="0"/>
    </xf>
    <xf numFmtId="10" fontId="14" fillId="0" borderId="0" xfId="42" applyNumberFormat="1" applyFont="1" applyAlignment="1" applyProtection="1">
      <alignment horizontal="center"/>
      <protection locked="0"/>
    </xf>
    <xf numFmtId="0" fontId="17" fillId="0" borderId="0" xfId="0" applyFont="1" applyAlignment="1" applyProtection="1">
      <alignment horizontal="right"/>
      <protection locked="0"/>
    </xf>
    <xf numFmtId="166" fontId="14" fillId="0" borderId="13" xfId="0" applyNumberFormat="1" applyFont="1" applyBorder="1" applyProtection="1">
      <protection locked="0"/>
    </xf>
    <xf numFmtId="166" fontId="14" fillId="64" borderId="0" xfId="0" applyNumberFormat="1" applyFont="1" applyFill="1" applyProtection="1">
      <protection locked="0"/>
    </xf>
    <xf numFmtId="0" fontId="42" fillId="0" borderId="0" xfId="0" applyFont="1" applyAlignment="1" applyProtection="1">
      <alignment horizontal="center"/>
      <protection locked="0"/>
    </xf>
    <xf numFmtId="166" fontId="14" fillId="0" borderId="0" xfId="0" applyNumberFormat="1" applyFont="1" applyAlignment="1" applyProtection="1">
      <alignment horizontal="center"/>
      <protection locked="0"/>
    </xf>
    <xf numFmtId="166" fontId="14" fillId="0" borderId="103" xfId="0" applyNumberFormat="1" applyFont="1" applyBorder="1" applyProtection="1">
      <protection locked="0"/>
    </xf>
    <xf numFmtId="0" fontId="14" fillId="64" borderId="0" xfId="0" applyFont="1" applyFill="1" applyBorder="1" applyProtection="1">
      <protection locked="0"/>
    </xf>
    <xf numFmtId="166" fontId="14" fillId="0" borderId="0" xfId="0" applyNumberFormat="1" applyFont="1" applyBorder="1" applyProtection="1">
      <protection locked="0"/>
    </xf>
    <xf numFmtId="0" fontId="17" fillId="64" borderId="0" xfId="0" applyFont="1" applyFill="1" applyBorder="1" applyAlignment="1" applyProtection="1">
      <alignment horizontal="center"/>
      <protection locked="0"/>
    </xf>
    <xf numFmtId="166" fontId="14" fillId="0" borderId="13" xfId="0" applyNumberFormat="1" applyFont="1" applyFill="1" applyBorder="1" applyProtection="1">
      <protection locked="0"/>
    </xf>
    <xf numFmtId="167" fontId="14" fillId="64" borderId="0" xfId="28" applyNumberFormat="1" applyFont="1" applyFill="1" applyBorder="1" applyAlignment="1" applyProtection="1">
      <alignment horizontal="center"/>
      <protection locked="0"/>
    </xf>
    <xf numFmtId="0" fontId="14" fillId="0" borderId="0" xfId="0" applyFont="1" applyAlignment="1" applyProtection="1">
      <alignment horizontal="center"/>
      <protection locked="0"/>
    </xf>
    <xf numFmtId="168" fontId="14" fillId="0" borderId="0" xfId="0" applyNumberFormat="1" applyFont="1" applyProtection="1">
      <protection locked="0"/>
    </xf>
    <xf numFmtId="44" fontId="14" fillId="0" borderId="0" xfId="0" applyNumberFormat="1" applyFont="1" applyFill="1" applyBorder="1" applyProtection="1">
      <protection locked="0"/>
    </xf>
    <xf numFmtId="0" fontId="55" fillId="0" borderId="0" xfId="0" applyFont="1" applyFill="1" applyProtection="1">
      <protection locked="0"/>
    </xf>
    <xf numFmtId="0" fontId="14" fillId="0" borderId="0" xfId="0" applyFont="1" applyFill="1" applyBorder="1" applyAlignment="1" applyProtection="1">
      <alignment horizontal="right"/>
      <protection locked="0"/>
    </xf>
    <xf numFmtId="0" fontId="101" fillId="0" borderId="0" xfId="97" applyFont="1" applyFill="1" applyProtection="1">
      <protection locked="0"/>
    </xf>
    <xf numFmtId="0" fontId="14" fillId="0" borderId="0" xfId="97" applyFont="1" applyFill="1" applyBorder="1" applyProtection="1">
      <protection locked="0"/>
    </xf>
    <xf numFmtId="0" fontId="20" fillId="0" borderId="0" xfId="97" applyFont="1" applyFill="1" applyProtection="1">
      <protection locked="0"/>
    </xf>
    <xf numFmtId="0" fontId="17" fillId="0" borderId="0" xfId="97" applyFont="1" applyFill="1" applyProtection="1">
      <protection locked="0"/>
    </xf>
    <xf numFmtId="0" fontId="14" fillId="0" borderId="0" xfId="97" applyFont="1" applyFill="1" applyProtection="1">
      <protection locked="0"/>
    </xf>
    <xf numFmtId="166" fontId="14" fillId="0" borderId="0" xfId="97" applyNumberFormat="1" applyFont="1" applyFill="1" applyBorder="1" applyAlignment="1" applyProtection="1">
      <alignment horizontal="center"/>
      <protection locked="0"/>
    </xf>
    <xf numFmtId="10" fontId="106" fillId="0" borderId="0" xfId="97" applyNumberFormat="1" applyFont="1" applyFill="1" applyBorder="1" applyAlignment="1" applyProtection="1">
      <alignment horizontal="center"/>
      <protection locked="0"/>
    </xf>
    <xf numFmtId="166" fontId="14" fillId="0" borderId="13" xfId="29" applyNumberFormat="1" applyFont="1" applyFill="1" applyBorder="1" applyProtection="1">
      <protection locked="0"/>
    </xf>
    <xf numFmtId="10" fontId="14" fillId="29" borderId="0" xfId="42" applyNumberFormat="1" applyFont="1" applyFill="1" applyAlignment="1" applyProtection="1">
      <alignment horizontal="center"/>
      <protection locked="0"/>
    </xf>
    <xf numFmtId="44" fontId="14" fillId="0" borderId="13" xfId="29" applyNumberFormat="1" applyFont="1" applyFill="1" applyBorder="1" applyProtection="1">
      <protection locked="0"/>
    </xf>
    <xf numFmtId="0" fontId="17" fillId="0" borderId="0" xfId="97" applyFont="1" applyFill="1" applyAlignment="1" applyProtection="1">
      <alignment horizontal="left"/>
      <protection locked="0"/>
    </xf>
    <xf numFmtId="44" fontId="14" fillId="0" borderId="0" xfId="29" applyFont="1" applyFill="1" applyProtection="1">
      <protection locked="0"/>
    </xf>
    <xf numFmtId="44" fontId="14" fillId="0" borderId="0" xfId="29" applyFont="1" applyFill="1" applyBorder="1" applyProtection="1">
      <protection locked="0"/>
    </xf>
    <xf numFmtId="166" fontId="50" fillId="0" borderId="13" xfId="29" applyNumberFormat="1" applyFont="1" applyFill="1" applyBorder="1" applyProtection="1">
      <protection locked="0"/>
    </xf>
    <xf numFmtId="44" fontId="50" fillId="0" borderId="0" xfId="29" applyFont="1" applyFill="1" applyBorder="1" applyProtection="1">
      <protection locked="0"/>
    </xf>
    <xf numFmtId="177" fontId="54" fillId="0" borderId="0" xfId="0" applyNumberFormat="1" applyFont="1" applyBorder="1" applyAlignment="1" applyProtection="1">
      <alignment horizontal="right"/>
      <protection locked="0"/>
    </xf>
    <xf numFmtId="0" fontId="14" fillId="0" borderId="0" xfId="98" applyFont="1" applyFill="1" applyProtection="1">
      <protection locked="0"/>
    </xf>
    <xf numFmtId="0" fontId="17" fillId="0" borderId="87" xfId="29" applyNumberFormat="1" applyFont="1" applyFill="1" applyBorder="1" applyAlignment="1" applyProtection="1">
      <alignment horizontal="center"/>
      <protection locked="0"/>
    </xf>
    <xf numFmtId="0" fontId="17" fillId="0" borderId="44" xfId="29" applyNumberFormat="1" applyFont="1" applyFill="1" applyBorder="1" applyAlignment="1" applyProtection="1">
      <alignment horizontal="center"/>
      <protection locked="0"/>
    </xf>
    <xf numFmtId="0" fontId="98" fillId="0" borderId="0" xfId="0" applyFont="1" applyFill="1" applyProtection="1">
      <protection locked="0"/>
    </xf>
    <xf numFmtId="0" fontId="0" fillId="0" borderId="0" xfId="0" applyFill="1" applyProtection="1">
      <protection locked="0"/>
    </xf>
    <xf numFmtId="0" fontId="20" fillId="0" borderId="0" xfId="98" applyFont="1" applyFill="1" applyProtection="1">
      <protection locked="0"/>
    </xf>
    <xf numFmtId="0" fontId="17" fillId="0" borderId="0" xfId="98" applyFont="1" applyFill="1" applyProtection="1">
      <protection locked="0"/>
    </xf>
    <xf numFmtId="166" fontId="14" fillId="0" borderId="0" xfId="29" applyNumberFormat="1" applyFont="1" applyFill="1" applyAlignment="1" applyProtection="1">
      <alignment horizontal="center"/>
      <protection locked="0"/>
    </xf>
    <xf numFmtId="0" fontId="45" fillId="0" borderId="0" xfId="0" applyFont="1" applyFill="1" applyProtection="1">
      <protection locked="0"/>
    </xf>
    <xf numFmtId="0" fontId="85" fillId="0" borderId="0" xfId="0" applyFont="1" applyFill="1" applyProtection="1">
      <protection locked="0"/>
    </xf>
    <xf numFmtId="9" fontId="14" fillId="64" borderId="0" xfId="42" applyFont="1" applyFill="1" applyBorder="1" applyAlignment="1" applyProtection="1">
      <alignment horizontal="right"/>
      <protection locked="0"/>
    </xf>
    <xf numFmtId="0" fontId="14" fillId="29" borderId="0" xfId="42" applyNumberFormat="1" applyFont="1" applyFill="1" applyAlignment="1" applyProtection="1">
      <alignment horizontal="center"/>
      <protection locked="0"/>
    </xf>
    <xf numFmtId="6" fontId="14" fillId="0" borderId="0" xfId="0" applyNumberFormat="1" applyFont="1" applyFill="1" applyProtection="1">
      <protection locked="0"/>
    </xf>
    <xf numFmtId="166" fontId="14" fillId="0" borderId="103" xfId="29" applyNumberFormat="1" applyFont="1" applyFill="1" applyBorder="1" applyProtection="1">
      <protection locked="0"/>
    </xf>
    <xf numFmtId="0" fontId="14" fillId="29" borderId="0" xfId="29" applyNumberFormat="1" applyFont="1" applyFill="1" applyAlignment="1" applyProtection="1">
      <alignment horizontal="center"/>
      <protection locked="0"/>
    </xf>
    <xf numFmtId="9" fontId="14" fillId="29" borderId="0" xfId="42" applyFont="1" applyFill="1" applyAlignment="1" applyProtection="1">
      <alignment horizontal="center"/>
      <protection locked="0"/>
    </xf>
    <xf numFmtId="9" fontId="14" fillId="0" borderId="0" xfId="28" applyNumberFormat="1" applyFont="1" applyFill="1" applyBorder="1" applyAlignment="1" applyProtection="1">
      <alignment horizontal="left" vertical="center" wrapText="1"/>
      <protection locked="0"/>
    </xf>
    <xf numFmtId="176" fontId="98" fillId="0" borderId="0" xfId="28" applyNumberFormat="1" applyFont="1" applyFill="1" applyBorder="1" applyAlignment="1" applyProtection="1">
      <alignment horizontal="center"/>
      <protection locked="0"/>
    </xf>
    <xf numFmtId="0" fontId="17" fillId="0" borderId="0" xfId="0" applyFont="1" applyFill="1" applyBorder="1" applyAlignment="1" applyProtection="1">
      <protection locked="0"/>
    </xf>
    <xf numFmtId="0" fontId="42" fillId="0" borderId="0" xfId="0" applyFont="1" applyFill="1" applyAlignment="1" applyProtection="1">
      <alignment horizontal="center"/>
      <protection locked="0"/>
    </xf>
    <xf numFmtId="0" fontId="14" fillId="0" borderId="0" xfId="0" applyFont="1" applyFill="1" applyAlignment="1" applyProtection="1">
      <alignment horizontal="right"/>
      <protection locked="0"/>
    </xf>
    <xf numFmtId="44" fontId="14" fillId="0" borderId="0" xfId="29" applyFont="1" applyBorder="1" applyProtection="1">
      <protection locked="0"/>
    </xf>
    <xf numFmtId="10" fontId="14" fillId="29" borderId="0" xfId="28" applyNumberFormat="1" applyFont="1" applyFill="1" applyBorder="1" applyAlignment="1" applyProtection="1">
      <alignment horizontal="center"/>
      <protection locked="0"/>
    </xf>
    <xf numFmtId="166" fontId="17" fillId="64" borderId="0" xfId="0" applyNumberFormat="1" applyFont="1" applyFill="1" applyBorder="1" applyProtection="1">
      <protection locked="0"/>
    </xf>
    <xf numFmtId="166" fontId="14" fillId="0" borderId="0" xfId="29" applyNumberFormat="1" applyFont="1" applyBorder="1" applyProtection="1">
      <protection locked="0"/>
    </xf>
    <xf numFmtId="0" fontId="98" fillId="0" borderId="0" xfId="0" applyFont="1" applyFill="1" applyBorder="1" applyAlignment="1" applyProtection="1">
      <alignment horizontal="right"/>
      <protection locked="0"/>
    </xf>
    <xf numFmtId="10" fontId="14" fillId="0" borderId="0" xfId="42" applyNumberFormat="1" applyFont="1" applyFill="1" applyAlignment="1" applyProtection="1">
      <alignment horizontal="center"/>
      <protection locked="0"/>
    </xf>
    <xf numFmtId="0" fontId="14" fillId="0" borderId="0" xfId="29" applyNumberFormat="1" applyFont="1" applyFill="1" applyAlignment="1" applyProtection="1">
      <alignment horizontal="center"/>
      <protection locked="0"/>
    </xf>
    <xf numFmtId="0" fontId="17" fillId="0" borderId="22" xfId="29" applyNumberFormat="1" applyFont="1" applyFill="1" applyBorder="1" applyAlignment="1" applyProtection="1">
      <alignment horizontal="center"/>
      <protection locked="0"/>
    </xf>
    <xf numFmtId="166" fontId="106" fillId="0" borderId="0" xfId="29" applyNumberFormat="1" applyFont="1" applyFill="1" applyBorder="1" applyProtection="1">
      <protection locked="0"/>
    </xf>
    <xf numFmtId="178" fontId="14" fillId="0" borderId="0" xfId="29" applyNumberFormat="1" applyFont="1" applyFill="1" applyBorder="1" applyAlignment="1" applyProtection="1">
      <alignment horizontal="center"/>
      <protection locked="0"/>
    </xf>
    <xf numFmtId="188" fontId="14" fillId="0" borderId="0" xfId="29" applyNumberFormat="1" applyFont="1" applyFill="1" applyProtection="1">
      <protection locked="0"/>
    </xf>
    <xf numFmtId="0" fontId="48" fillId="0" borderId="53" xfId="93" applyFont="1" applyBorder="1" applyAlignment="1" applyProtection="1">
      <alignment horizontal="center" vertical="center"/>
      <protection locked="0"/>
    </xf>
    <xf numFmtId="0" fontId="48" fillId="0" borderId="42" xfId="96" applyFont="1" applyBorder="1" applyAlignment="1" applyProtection="1">
      <alignment horizontal="center"/>
      <protection locked="0"/>
    </xf>
    <xf numFmtId="0" fontId="48" fillId="0" borderId="134" xfId="96" applyFont="1" applyBorder="1" applyAlignment="1" applyProtection="1">
      <alignment horizontal="center"/>
      <protection locked="0"/>
    </xf>
    <xf numFmtId="0" fontId="48" fillId="0" borderId="128" xfId="93" applyFont="1" applyBorder="1" applyProtection="1">
      <protection locked="0"/>
    </xf>
    <xf numFmtId="175" fontId="14" fillId="29" borderId="54" xfId="93" applyNumberFormat="1" applyFont="1" applyFill="1" applyBorder="1" applyProtection="1">
      <protection locked="0"/>
    </xf>
    <xf numFmtId="175" fontId="14" fillId="29" borderId="128" xfId="93" applyNumberFormat="1" applyFont="1" applyFill="1" applyBorder="1" applyAlignment="1" applyProtection="1">
      <alignment horizontal="center"/>
      <protection locked="0"/>
    </xf>
    <xf numFmtId="175" fontId="14" fillId="29" borderId="135" xfId="93" applyNumberFormat="1" applyFont="1" applyFill="1" applyBorder="1" applyAlignment="1" applyProtection="1">
      <alignment horizontal="center"/>
      <protection locked="0"/>
    </xf>
    <xf numFmtId="175" fontId="14" fillId="29" borderId="13" xfId="93" applyNumberFormat="1" applyFont="1" applyFill="1" applyBorder="1" applyProtection="1">
      <protection locked="0"/>
    </xf>
    <xf numFmtId="0" fontId="48" fillId="0" borderId="102" xfId="93" applyFont="1" applyBorder="1" applyProtection="1">
      <protection locked="0"/>
    </xf>
    <xf numFmtId="175" fontId="14" fillId="29" borderId="91" xfId="93" applyNumberFormat="1" applyFont="1" applyFill="1" applyBorder="1" applyProtection="1">
      <protection locked="0"/>
    </xf>
    <xf numFmtId="175" fontId="14" fillId="29" borderId="102" xfId="93" applyNumberFormat="1" applyFont="1" applyFill="1" applyBorder="1" applyAlignment="1" applyProtection="1">
      <alignment horizontal="center"/>
      <protection locked="0"/>
    </xf>
    <xf numFmtId="175" fontId="14" fillId="29" borderId="136" xfId="93" applyNumberFormat="1" applyFont="1" applyFill="1" applyBorder="1" applyAlignment="1" applyProtection="1">
      <alignment horizontal="center"/>
      <protection locked="0"/>
    </xf>
    <xf numFmtId="175" fontId="14" fillId="29" borderId="103" xfId="93" applyNumberFormat="1" applyFont="1" applyFill="1" applyBorder="1" applyProtection="1">
      <protection locked="0"/>
    </xf>
    <xf numFmtId="0" fontId="48" fillId="0" borderId="31" xfId="93" applyFont="1" applyBorder="1" applyProtection="1">
      <protection locked="0"/>
    </xf>
    <xf numFmtId="175" fontId="11" fillId="0" borderId="137" xfId="93" applyNumberFormat="1" applyBorder="1" applyProtection="1">
      <protection locked="0"/>
    </xf>
    <xf numFmtId="0" fontId="48" fillId="0" borderId="22" xfId="93" applyFont="1" applyBorder="1" applyProtection="1">
      <protection locked="0"/>
    </xf>
    <xf numFmtId="0" fontId="48" fillId="0" borderId="44" xfId="93" applyFont="1" applyBorder="1" applyAlignment="1" applyProtection="1">
      <alignment horizontal="center" vertical="center"/>
      <protection locked="0"/>
    </xf>
    <xf numFmtId="0" fontId="48" fillId="0" borderId="44" xfId="96" applyFont="1" applyBorder="1" applyAlignment="1" applyProtection="1">
      <alignment horizontal="center" vertical="center"/>
      <protection locked="0"/>
    </xf>
    <xf numFmtId="0" fontId="48" fillId="0" borderId="22" xfId="96" applyFont="1" applyBorder="1" applyAlignment="1" applyProtection="1">
      <alignment horizontal="center" vertical="center"/>
      <protection locked="0"/>
    </xf>
    <xf numFmtId="165" fontId="12" fillId="29" borderId="24" xfId="42" applyNumberFormat="1" applyFont="1" applyFill="1" applyBorder="1" applyAlignment="1" applyProtection="1">
      <alignment horizontal="center" vertical="center"/>
      <protection locked="0"/>
    </xf>
    <xf numFmtId="165" fontId="12" fillId="29" borderId="62" xfId="42" applyNumberFormat="1" applyFont="1" applyFill="1" applyBorder="1" applyAlignment="1" applyProtection="1">
      <alignment horizontal="center" vertical="center"/>
      <protection locked="0"/>
    </xf>
    <xf numFmtId="165" fontId="12" fillId="29" borderId="10" xfId="42" applyNumberFormat="1" applyFont="1" applyFill="1" applyBorder="1" applyAlignment="1" applyProtection="1">
      <alignment horizontal="center" vertical="center"/>
      <protection locked="0"/>
    </xf>
    <xf numFmtId="165" fontId="12" fillId="29" borderId="25" xfId="42" applyNumberFormat="1" applyFont="1" applyFill="1" applyBorder="1" applyAlignment="1" applyProtection="1">
      <alignment horizontal="center" vertical="center"/>
      <protection locked="0"/>
    </xf>
    <xf numFmtId="165" fontId="12" fillId="29" borderId="26" xfId="42" applyNumberFormat="1" applyFont="1" applyFill="1" applyBorder="1" applyAlignment="1" applyProtection="1">
      <alignment horizontal="center" vertical="center"/>
      <protection locked="0"/>
    </xf>
    <xf numFmtId="165" fontId="12" fillId="29" borderId="63" xfId="42" applyNumberFormat="1" applyFont="1" applyFill="1" applyBorder="1" applyAlignment="1" applyProtection="1">
      <alignment horizontal="center" vertical="center"/>
      <protection locked="0"/>
    </xf>
    <xf numFmtId="0" fontId="17" fillId="0" borderId="0" xfId="0" applyFont="1" applyAlignment="1" applyProtection="1">
      <alignment horizontal="left"/>
      <protection locked="0"/>
    </xf>
    <xf numFmtId="0" fontId="17" fillId="0" borderId="32" xfId="0" applyFont="1" applyBorder="1" applyProtection="1">
      <protection locked="0"/>
    </xf>
    <xf numFmtId="0" fontId="17" fillId="0" borderId="24" xfId="0" applyFont="1" applyBorder="1" applyProtection="1">
      <protection locked="0"/>
    </xf>
    <xf numFmtId="0" fontId="17" fillId="25" borderId="62" xfId="0" applyFont="1" applyFill="1" applyBorder="1" applyAlignment="1" applyProtection="1">
      <alignment horizontal="center"/>
      <protection locked="0"/>
    </xf>
    <xf numFmtId="0" fontId="17" fillId="0" borderId="76" xfId="0" applyFont="1" applyBorder="1" applyProtection="1">
      <protection locked="0"/>
    </xf>
    <xf numFmtId="0" fontId="17" fillId="0" borderId="19" xfId="0" applyFont="1" applyBorder="1" applyProtection="1">
      <protection locked="0"/>
    </xf>
    <xf numFmtId="0" fontId="17" fillId="25" borderId="19" xfId="0" applyFont="1" applyFill="1" applyBorder="1" applyAlignment="1" applyProtection="1">
      <alignment horizontal="center"/>
      <protection locked="0"/>
    </xf>
    <xf numFmtId="0" fontId="17" fillId="25" borderId="77" xfId="0" applyFont="1" applyFill="1" applyBorder="1" applyAlignment="1" applyProtection="1">
      <alignment horizontal="center"/>
      <protection locked="0"/>
    </xf>
    <xf numFmtId="0" fontId="17" fillId="25" borderId="64" xfId="0" applyFont="1" applyFill="1" applyBorder="1" applyAlignment="1" applyProtection="1">
      <alignment horizontal="center"/>
      <protection locked="0"/>
    </xf>
    <xf numFmtId="0" fontId="43" fillId="0" borderId="19" xfId="0" applyFont="1" applyBorder="1" applyProtection="1">
      <protection locked="0"/>
    </xf>
    <xf numFmtId="0" fontId="17" fillId="28" borderId="77" xfId="0" applyFont="1" applyFill="1" applyBorder="1" applyAlignment="1" applyProtection="1">
      <alignment horizontal="center"/>
      <protection locked="0"/>
    </xf>
    <xf numFmtId="0" fontId="17" fillId="28" borderId="64" xfId="0" applyFont="1" applyFill="1" applyBorder="1" applyAlignment="1" applyProtection="1">
      <alignment horizontal="center"/>
      <protection locked="0"/>
    </xf>
    <xf numFmtId="166" fontId="0" fillId="29" borderId="75" xfId="29" applyNumberFormat="1" applyFont="1" applyFill="1" applyBorder="1" applyProtection="1">
      <protection locked="0"/>
    </xf>
    <xf numFmtId="166" fontId="0" fillId="29" borderId="25" xfId="29" applyNumberFormat="1" applyFont="1" applyFill="1" applyBorder="1" applyProtection="1">
      <protection locked="0"/>
    </xf>
    <xf numFmtId="166" fontId="0" fillId="0" borderId="10" xfId="0" applyNumberFormat="1" applyFill="1" applyBorder="1" applyProtection="1">
      <protection locked="0"/>
    </xf>
    <xf numFmtId="166" fontId="0" fillId="0" borderId="10" xfId="0" applyNumberFormat="1" applyBorder="1" applyProtection="1">
      <protection locked="0"/>
    </xf>
    <xf numFmtId="0" fontId="0" fillId="29" borderId="10" xfId="0" applyFill="1" applyBorder="1" applyProtection="1">
      <protection locked="0"/>
    </xf>
    <xf numFmtId="0" fontId="0" fillId="29" borderId="25" xfId="0" applyFill="1" applyBorder="1" applyProtection="1">
      <protection locked="0"/>
    </xf>
    <xf numFmtId="166" fontId="0" fillId="0" borderId="35" xfId="29" applyNumberFormat="1" applyFont="1" applyBorder="1" applyProtection="1">
      <protection locked="0"/>
    </xf>
    <xf numFmtId="0" fontId="46" fillId="0" borderId="0" xfId="0" applyFont="1" applyProtection="1">
      <protection locked="0"/>
    </xf>
    <xf numFmtId="0" fontId="47" fillId="0" borderId="0" xfId="0" applyFont="1" applyProtection="1">
      <protection locked="0"/>
    </xf>
    <xf numFmtId="0" fontId="0" fillId="0" borderId="49" xfId="0" applyBorder="1" applyProtection="1">
      <protection locked="0"/>
    </xf>
    <xf numFmtId="0" fontId="0" fillId="0" borderId="50" xfId="0" applyBorder="1" applyProtection="1">
      <protection locked="0"/>
    </xf>
    <xf numFmtId="0" fontId="17" fillId="0" borderId="62" xfId="0" applyFont="1" applyFill="1" applyBorder="1" applyAlignment="1" applyProtection="1">
      <alignment horizontal="center"/>
      <protection locked="0"/>
    </xf>
    <xf numFmtId="0" fontId="0" fillId="0" borderId="53" xfId="0" applyBorder="1" applyProtection="1">
      <protection locked="0"/>
    </xf>
    <xf numFmtId="0" fontId="0" fillId="0" borderId="16" xfId="0" applyBorder="1" applyProtection="1">
      <protection locked="0"/>
    </xf>
    <xf numFmtId="0" fontId="17" fillId="0" borderId="10" xfId="0" applyFont="1" applyFill="1" applyBorder="1" applyAlignment="1" applyProtection="1">
      <alignment horizontal="center"/>
      <protection locked="0"/>
    </xf>
    <xf numFmtId="0" fontId="17" fillId="0" borderId="25" xfId="0" applyFont="1" applyFill="1" applyBorder="1" applyAlignment="1" applyProtection="1">
      <alignment horizontal="center"/>
      <protection locked="0"/>
    </xf>
    <xf numFmtId="0" fontId="17" fillId="0" borderId="11" xfId="0" applyFont="1" applyFill="1" applyBorder="1" applyAlignment="1" applyProtection="1">
      <alignment horizontal="center"/>
      <protection locked="0"/>
    </xf>
    <xf numFmtId="166" fontId="0" fillId="29" borderId="13" xfId="29" applyNumberFormat="1" applyFont="1" applyFill="1" applyBorder="1" applyProtection="1">
      <protection locked="0"/>
    </xf>
    <xf numFmtId="166" fontId="0" fillId="29" borderId="11" xfId="29" applyNumberFormat="1" applyFont="1" applyFill="1" applyBorder="1" applyProtection="1">
      <protection locked="0"/>
    </xf>
    <xf numFmtId="166" fontId="0" fillId="29" borderId="0" xfId="29" applyNumberFormat="1" applyFont="1" applyFill="1" applyBorder="1" applyProtection="1">
      <protection locked="0"/>
    </xf>
    <xf numFmtId="166" fontId="0" fillId="29" borderId="67" xfId="29" applyNumberFormat="1" applyFont="1" applyFill="1" applyBorder="1" applyProtection="1">
      <protection locked="0"/>
    </xf>
    <xf numFmtId="166" fontId="0" fillId="29" borderId="14" xfId="29" applyNumberFormat="1" applyFont="1" applyFill="1" applyBorder="1" applyProtection="1">
      <protection locked="0"/>
    </xf>
    <xf numFmtId="166" fontId="0" fillId="29" borderId="37" xfId="29" applyNumberFormat="1" applyFont="1" applyFill="1" applyBorder="1" applyProtection="1">
      <protection locked="0"/>
    </xf>
    <xf numFmtId="166" fontId="0" fillId="0" borderId="31" xfId="29" applyNumberFormat="1" applyFont="1" applyBorder="1" applyProtection="1">
      <protection locked="0"/>
    </xf>
    <xf numFmtId="0" fontId="0" fillId="0" borderId="0" xfId="0" applyAlignment="1" applyProtection="1">
      <alignment horizontal="center" vertical="center"/>
      <protection locked="0"/>
    </xf>
    <xf numFmtId="0" fontId="17" fillId="0" borderId="0" xfId="46" applyFont="1" applyAlignment="1" applyProtection="1">
      <alignment horizontal="left"/>
      <protection locked="0"/>
    </xf>
    <xf numFmtId="0" fontId="9" fillId="0" borderId="0" xfId="126" applyProtection="1">
      <protection locked="0"/>
    </xf>
    <xf numFmtId="0" fontId="16" fillId="0" borderId="100" xfId="46" applyFont="1" applyFill="1" applyBorder="1" applyAlignment="1" applyProtection="1">
      <alignment horizontal="right" vertical="top"/>
      <protection locked="0"/>
    </xf>
    <xf numFmtId="0" fontId="16" fillId="0" borderId="0" xfId="46" applyFont="1" applyFill="1" applyAlignment="1" applyProtection="1">
      <alignment horizontal="right" vertical="top"/>
      <protection locked="0"/>
    </xf>
    <xf numFmtId="0" fontId="8" fillId="0" borderId="0" xfId="126" applyFont="1" applyProtection="1">
      <protection locked="0"/>
    </xf>
    <xf numFmtId="10" fontId="92" fillId="0" borderId="0" xfId="128" applyNumberFormat="1" applyFont="1" applyBorder="1" applyProtection="1">
      <protection locked="0"/>
    </xf>
    <xf numFmtId="10" fontId="92" fillId="0" borderId="123" xfId="128" applyNumberFormat="1" applyFont="1" applyBorder="1" applyProtection="1">
      <protection locked="0"/>
    </xf>
    <xf numFmtId="10" fontId="92" fillId="0" borderId="29" xfId="128" applyNumberFormat="1" applyFont="1" applyBorder="1" applyProtection="1">
      <protection locked="0"/>
    </xf>
    <xf numFmtId="0" fontId="9" fillId="0" borderId="48" xfId="126" applyBorder="1" applyProtection="1">
      <protection locked="0"/>
    </xf>
    <xf numFmtId="9" fontId="0" fillId="65" borderId="0" xfId="128" applyFont="1" applyFill="1" applyProtection="1">
      <protection locked="0"/>
    </xf>
    <xf numFmtId="9" fontId="9" fillId="65" borderId="0" xfId="126" applyNumberFormat="1" applyFill="1" applyProtection="1">
      <protection locked="0"/>
    </xf>
    <xf numFmtId="9" fontId="9" fillId="0" borderId="0" xfId="126" applyNumberFormat="1" applyProtection="1">
      <protection locked="0"/>
    </xf>
    <xf numFmtId="10" fontId="92" fillId="0" borderId="124" xfId="128" applyNumberFormat="1" applyFont="1" applyBorder="1" applyProtection="1">
      <protection locked="0"/>
    </xf>
    <xf numFmtId="10" fontId="92" fillId="0" borderId="56" xfId="128" applyNumberFormat="1" applyFont="1" applyBorder="1" applyProtection="1">
      <protection locked="0"/>
    </xf>
    <xf numFmtId="43" fontId="92" fillId="29" borderId="0" xfId="127" applyNumberFormat="1" applyFont="1" applyFill="1" applyBorder="1" applyProtection="1">
      <protection locked="0"/>
    </xf>
    <xf numFmtId="43" fontId="92" fillId="29" borderId="123" xfId="127" applyNumberFormat="1" applyFont="1" applyFill="1" applyBorder="1" applyProtection="1">
      <protection locked="0"/>
    </xf>
    <xf numFmtId="43" fontId="92" fillId="0" borderId="29" xfId="127" applyNumberFormat="1" applyFont="1" applyBorder="1" applyProtection="1">
      <protection locked="0"/>
    </xf>
    <xf numFmtId="43" fontId="92" fillId="29" borderId="127" xfId="127" applyNumberFormat="1" applyFont="1" applyFill="1" applyBorder="1" applyProtection="1">
      <protection locked="0"/>
    </xf>
    <xf numFmtId="43" fontId="92" fillId="29" borderId="124" xfId="127" applyNumberFormat="1" applyFont="1" applyFill="1" applyBorder="1" applyProtection="1">
      <protection locked="0"/>
    </xf>
    <xf numFmtId="43" fontId="92" fillId="0" borderId="56" xfId="127" applyNumberFormat="1" applyFont="1" applyBorder="1" applyProtection="1">
      <protection locked="0"/>
    </xf>
    <xf numFmtId="0" fontId="77" fillId="0" borderId="46" xfId="126" applyFont="1" applyBorder="1" applyProtection="1">
      <protection locked="0"/>
    </xf>
    <xf numFmtId="43" fontId="77" fillId="0" borderId="30" xfId="127" applyNumberFormat="1" applyFont="1" applyBorder="1" applyProtection="1">
      <protection locked="0"/>
    </xf>
    <xf numFmtId="43" fontId="77" fillId="0" borderId="125" xfId="127" applyNumberFormat="1" applyFont="1" applyBorder="1" applyProtection="1">
      <protection locked="0"/>
    </xf>
    <xf numFmtId="0" fontId="77" fillId="0" borderId="0" xfId="126" applyFont="1" applyBorder="1" applyProtection="1">
      <protection locked="0"/>
    </xf>
    <xf numFmtId="43" fontId="77" fillId="0" borderId="0" xfId="127" applyNumberFormat="1" applyFont="1" applyBorder="1" applyProtection="1">
      <protection locked="0"/>
    </xf>
    <xf numFmtId="0" fontId="77" fillId="67" borderId="48" xfId="126" applyFont="1" applyFill="1" applyBorder="1" applyAlignment="1" applyProtection="1">
      <alignment horizontal="right"/>
      <protection locked="0"/>
    </xf>
    <xf numFmtId="0" fontId="77" fillId="67" borderId="0" xfId="126" applyFont="1" applyFill="1" applyBorder="1" applyAlignment="1" applyProtection="1">
      <alignment horizontal="right"/>
      <protection locked="0"/>
    </xf>
    <xf numFmtId="0" fontId="77" fillId="67" borderId="29" xfId="126" applyFont="1" applyFill="1" applyBorder="1" applyAlignment="1" applyProtection="1">
      <alignment horizontal="right"/>
      <protection locked="0"/>
    </xf>
    <xf numFmtId="0" fontId="77" fillId="0" borderId="162" xfId="126" applyFont="1" applyBorder="1" applyProtection="1">
      <protection locked="0"/>
    </xf>
    <xf numFmtId="10" fontId="77" fillId="0" borderId="163" xfId="126" applyNumberFormat="1" applyFont="1" applyBorder="1" applyProtection="1">
      <protection locked="0"/>
    </xf>
    <xf numFmtId="10" fontId="77" fillId="0" borderId="164" xfId="126" applyNumberFormat="1" applyFont="1" applyBorder="1" applyProtection="1">
      <protection locked="0"/>
    </xf>
    <xf numFmtId="10" fontId="77" fillId="0" borderId="165" xfId="126" applyNumberFormat="1" applyFont="1" applyBorder="1" applyProtection="1">
      <protection locked="0"/>
    </xf>
    <xf numFmtId="0" fontId="77" fillId="63" borderId="48" xfId="126" applyFont="1" applyFill="1" applyBorder="1" applyAlignment="1" applyProtection="1">
      <alignment horizontal="center"/>
      <protection locked="0"/>
    </xf>
    <xf numFmtId="0" fontId="77" fillId="63" borderId="0" xfId="126" applyFont="1" applyFill="1" applyBorder="1" applyAlignment="1" applyProtection="1">
      <alignment horizontal="center"/>
      <protection locked="0"/>
    </xf>
    <xf numFmtId="0" fontId="77" fillId="63" borderId="29" xfId="126" applyFont="1" applyFill="1" applyBorder="1" applyAlignment="1" applyProtection="1">
      <alignment horizontal="center"/>
      <protection locked="0"/>
    </xf>
    <xf numFmtId="0" fontId="77" fillId="28" borderId="29" xfId="126" applyFont="1" applyFill="1" applyBorder="1" applyAlignment="1" applyProtection="1">
      <alignment horizontal="center"/>
      <protection locked="0"/>
    </xf>
    <xf numFmtId="0" fontId="77" fillId="63" borderId="53" xfId="126" applyFont="1" applyFill="1" applyBorder="1" applyAlignment="1" applyProtection="1">
      <alignment horizontal="center"/>
      <protection locked="0"/>
    </xf>
    <xf numFmtId="0" fontId="77" fillId="63" borderId="12" xfId="126" applyFont="1" applyFill="1" applyBorder="1" applyAlignment="1" applyProtection="1">
      <alignment horizontal="center"/>
      <protection locked="0"/>
    </xf>
    <xf numFmtId="0" fontId="77" fillId="63" borderId="55" xfId="126" applyFont="1" applyFill="1" applyBorder="1" applyAlignment="1" applyProtection="1">
      <alignment horizontal="center"/>
      <protection locked="0"/>
    </xf>
    <xf numFmtId="0" fontId="77" fillId="63" borderId="12" xfId="126" applyFont="1" applyFill="1" applyBorder="1" applyAlignment="1" applyProtection="1">
      <alignment horizontal="center" vertical="center"/>
      <protection locked="0"/>
    </xf>
    <xf numFmtId="0" fontId="77" fillId="63" borderId="55" xfId="126" applyFont="1" applyFill="1" applyBorder="1" applyAlignment="1" applyProtection="1">
      <alignment horizontal="center" vertical="center" wrapText="1"/>
      <protection locked="0"/>
    </xf>
    <xf numFmtId="0" fontId="77" fillId="29" borderId="0" xfId="126" applyFont="1" applyFill="1" applyBorder="1" applyAlignment="1" applyProtection="1">
      <alignment vertical="top"/>
      <protection locked="0"/>
    </xf>
    <xf numFmtId="0" fontId="77" fillId="0" borderId="0" xfId="126" applyFont="1" applyFill="1" applyBorder="1" applyAlignment="1" applyProtection="1">
      <alignment vertical="top"/>
      <protection locked="0"/>
    </xf>
    <xf numFmtId="0" fontId="77" fillId="0" borderId="29" xfId="126" applyFont="1" applyFill="1" applyBorder="1" applyAlignment="1" applyProtection="1">
      <alignment horizontal="center" vertical="top" wrapText="1"/>
      <protection locked="0"/>
    </xf>
    <xf numFmtId="0" fontId="77" fillId="29" borderId="126" xfId="126" applyFont="1" applyFill="1" applyBorder="1" applyAlignment="1" applyProtection="1">
      <alignment vertical="top"/>
      <protection locked="0"/>
    </xf>
    <xf numFmtId="0" fontId="77" fillId="29" borderId="120" xfId="126" applyFont="1" applyFill="1" applyBorder="1" applyAlignment="1" applyProtection="1">
      <alignment vertical="top"/>
      <protection locked="0"/>
    </xf>
    <xf numFmtId="10" fontId="91" fillId="0" borderId="31" xfId="128" applyNumberFormat="1" applyFont="1" applyBorder="1" applyProtection="1">
      <protection locked="0"/>
    </xf>
    <xf numFmtId="0" fontId="77" fillId="0" borderId="0" xfId="126" applyFont="1" applyBorder="1" applyAlignment="1" applyProtection="1">
      <alignment vertical="top" wrapText="1"/>
      <protection locked="0"/>
    </xf>
    <xf numFmtId="10" fontId="91" fillId="0" borderId="0" xfId="128" applyNumberFormat="1" applyFont="1" applyBorder="1" applyProtection="1">
      <protection locked="0"/>
    </xf>
    <xf numFmtId="0" fontId="77" fillId="0" borderId="0" xfId="126" applyFont="1" applyFill="1" applyBorder="1" applyAlignment="1" applyProtection="1">
      <alignment vertical="top" wrapText="1"/>
      <protection locked="0"/>
    </xf>
    <xf numFmtId="0" fontId="9" fillId="0" borderId="0" xfId="126" applyBorder="1" applyProtection="1">
      <protection locked="0"/>
    </xf>
    <xf numFmtId="0" fontId="77" fillId="0" borderId="70" xfId="126" applyFont="1" applyBorder="1" applyAlignment="1" applyProtection="1">
      <alignment vertical="top" wrapText="1"/>
      <protection locked="0"/>
    </xf>
    <xf numFmtId="0" fontId="77" fillId="0" borderId="71" xfId="126" applyFont="1" applyFill="1" applyBorder="1" applyAlignment="1" applyProtection="1">
      <alignment horizontal="center" vertical="center" wrapText="1"/>
      <protection locked="0"/>
    </xf>
    <xf numFmtId="0" fontId="112" fillId="0" borderId="71" xfId="28" applyNumberFormat="1" applyFont="1" applyBorder="1" applyAlignment="1" applyProtection="1">
      <alignment horizontal="center" vertical="center"/>
      <protection locked="0"/>
    </xf>
    <xf numFmtId="0" fontId="9" fillId="0" borderId="45" xfId="126" applyBorder="1" applyProtection="1">
      <protection locked="0"/>
    </xf>
    <xf numFmtId="0" fontId="77" fillId="0" borderId="48" xfId="126" applyFont="1" applyBorder="1" applyAlignment="1" applyProtection="1">
      <alignment horizontal="left" vertical="center" wrapText="1"/>
      <protection locked="0"/>
    </xf>
    <xf numFmtId="0" fontId="77" fillId="28" borderId="10" xfId="126" applyFont="1" applyFill="1" applyBorder="1" applyAlignment="1" applyProtection="1">
      <alignment horizontal="center" vertical="center" wrapText="1"/>
      <protection locked="0"/>
    </xf>
    <xf numFmtId="10" fontId="91" fillId="0" borderId="29" xfId="128" applyNumberFormat="1" applyFont="1" applyBorder="1" applyAlignment="1" applyProtection="1">
      <alignment horizontal="center" vertical="center" wrapText="1"/>
      <protection locked="0"/>
    </xf>
    <xf numFmtId="0" fontId="87" fillId="0" borderId="46" xfId="126" applyFont="1" applyBorder="1" applyAlignment="1" applyProtection="1">
      <alignment horizontal="left" vertical="top" wrapText="1"/>
      <protection locked="0"/>
    </xf>
    <xf numFmtId="0" fontId="88" fillId="0" borderId="30" xfId="126" applyFont="1" applyBorder="1" applyAlignment="1" applyProtection="1">
      <alignment vertical="top" wrapText="1"/>
      <protection locked="0"/>
    </xf>
    <xf numFmtId="0" fontId="88" fillId="64" borderId="30" xfId="126" applyFont="1" applyFill="1" applyBorder="1" applyAlignment="1" applyProtection="1">
      <alignment vertical="top" wrapText="1"/>
      <protection locked="0"/>
    </xf>
    <xf numFmtId="0" fontId="87" fillId="0" borderId="0" xfId="126" applyFont="1" applyBorder="1" applyAlignment="1" applyProtection="1">
      <alignment horizontal="left" vertical="top" wrapText="1"/>
      <protection locked="0"/>
    </xf>
    <xf numFmtId="0" fontId="88" fillId="0" borderId="0" xfId="126" applyFont="1" applyBorder="1" applyAlignment="1" applyProtection="1">
      <alignment vertical="top" wrapText="1"/>
      <protection locked="0"/>
    </xf>
    <xf numFmtId="0" fontId="77" fillId="63" borderId="71" xfId="126" applyFont="1" applyFill="1" applyBorder="1" applyAlignment="1" applyProtection="1">
      <alignment horizontal="center" vertical="center"/>
      <protection locked="0"/>
    </xf>
    <xf numFmtId="0" fontId="77" fillId="63" borderId="45" xfId="126" applyFont="1" applyFill="1" applyBorder="1" applyAlignment="1" applyProtection="1">
      <alignment horizontal="center" vertical="center"/>
      <protection locked="0"/>
    </xf>
    <xf numFmtId="43" fontId="91" fillId="0" borderId="168" xfId="127" applyNumberFormat="1" applyFont="1" applyBorder="1" applyAlignment="1" applyProtection="1">
      <alignment horizontal="center" vertical="center"/>
      <protection locked="0"/>
    </xf>
    <xf numFmtId="43" fontId="91" fillId="0" borderId="163" xfId="127" applyNumberFormat="1" applyFont="1" applyBorder="1" applyAlignment="1" applyProtection="1">
      <alignment horizontal="center" vertical="center"/>
      <protection locked="0"/>
    </xf>
    <xf numFmtId="43" fontId="91" fillId="0" borderId="169" xfId="127" applyNumberFormat="1" applyFont="1" applyBorder="1" applyAlignment="1" applyProtection="1">
      <alignment horizontal="center" vertical="center"/>
      <protection locked="0"/>
    </xf>
    <xf numFmtId="43" fontId="91" fillId="64" borderId="84" xfId="127" applyNumberFormat="1" applyFont="1" applyFill="1" applyBorder="1" applyAlignment="1" applyProtection="1">
      <alignment horizontal="center" vertical="center"/>
      <protection locked="0"/>
    </xf>
    <xf numFmtId="43" fontId="91" fillId="67" borderId="13" xfId="127" applyNumberFormat="1" applyFont="1" applyFill="1" applyBorder="1" applyAlignment="1" applyProtection="1">
      <alignment horizontal="center" vertical="center"/>
      <protection locked="0"/>
    </xf>
    <xf numFmtId="43" fontId="91" fillId="67" borderId="12" xfId="127" applyNumberFormat="1" applyFont="1" applyFill="1" applyBorder="1" applyAlignment="1" applyProtection="1">
      <alignment horizontal="center" vertical="center"/>
      <protection locked="0"/>
    </xf>
    <xf numFmtId="43" fontId="91" fillId="67" borderId="51" xfId="127" applyNumberFormat="1" applyFont="1" applyFill="1" applyBorder="1" applyAlignment="1" applyProtection="1">
      <alignment horizontal="center" vertical="center"/>
      <protection locked="0"/>
    </xf>
    <xf numFmtId="10" fontId="91" fillId="29" borderId="0" xfId="128" applyNumberFormat="1" applyFont="1" applyFill="1" applyBorder="1" applyAlignment="1" applyProtection="1">
      <alignment horizontal="center" vertical="center"/>
      <protection locked="0"/>
    </xf>
    <xf numFmtId="43" fontId="91" fillId="0" borderId="0" xfId="127" applyNumberFormat="1" applyFont="1" applyBorder="1" applyAlignment="1" applyProtection="1">
      <alignment horizontal="center" vertical="center"/>
      <protection locked="0"/>
    </xf>
    <xf numFmtId="43" fontId="75" fillId="0" borderId="0" xfId="127" applyNumberFormat="1" applyFont="1" applyBorder="1" applyAlignment="1" applyProtection="1">
      <alignment horizontal="center" vertical="center"/>
      <protection locked="0"/>
    </xf>
    <xf numFmtId="43" fontId="91" fillId="0" borderId="18" xfId="127" applyNumberFormat="1" applyFont="1" applyBorder="1" applyAlignment="1" applyProtection="1">
      <alignment horizontal="center" vertical="center"/>
      <protection locked="0"/>
    </xf>
    <xf numFmtId="43" fontId="91" fillId="0" borderId="29" xfId="127" applyNumberFormat="1" applyFont="1" applyBorder="1" applyAlignment="1" applyProtection="1">
      <alignment horizontal="center" vertical="center"/>
      <protection locked="0"/>
    </xf>
    <xf numFmtId="43" fontId="91" fillId="0" borderId="30" xfId="127" applyNumberFormat="1" applyFont="1" applyBorder="1" applyAlignment="1" applyProtection="1">
      <alignment horizontal="center" vertical="center"/>
      <protection locked="0"/>
    </xf>
    <xf numFmtId="43" fontId="91" fillId="0" borderId="39" xfId="127" applyNumberFormat="1" applyFont="1" applyBorder="1" applyAlignment="1" applyProtection="1">
      <alignment horizontal="center" vertical="center"/>
      <protection locked="0"/>
    </xf>
    <xf numFmtId="43" fontId="91" fillId="64" borderId="35" xfId="127" applyNumberFormat="1" applyFont="1" applyFill="1" applyBorder="1" applyAlignment="1" applyProtection="1">
      <alignment horizontal="center" vertical="center"/>
      <protection locked="0"/>
    </xf>
    <xf numFmtId="0" fontId="77" fillId="0" borderId="0" xfId="126" applyFont="1" applyProtection="1">
      <protection locked="0"/>
    </xf>
    <xf numFmtId="0" fontId="0" fillId="0" borderId="10" xfId="0" applyBorder="1" applyProtection="1">
      <protection locked="0"/>
    </xf>
    <xf numFmtId="0" fontId="0" fillId="0" borderId="0" xfId="0" applyAlignment="1" applyProtection="1">
      <alignment horizontal="center" vertical="center" wrapText="1"/>
      <protection locked="0"/>
    </xf>
    <xf numFmtId="0" fontId="17" fillId="0" borderId="10" xfId="0" applyFont="1" applyFill="1" applyBorder="1" applyProtection="1">
      <protection locked="0"/>
    </xf>
    <xf numFmtId="0" fontId="61" fillId="0" borderId="93" xfId="46" applyFont="1" applyFill="1" applyBorder="1" applyAlignment="1" applyProtection="1">
      <alignment vertical="center" wrapText="1"/>
      <protection locked="0"/>
    </xf>
    <xf numFmtId="0" fontId="17" fillId="0" borderId="21" xfId="0" applyFont="1" applyFill="1" applyBorder="1" applyAlignment="1" applyProtection="1">
      <alignment horizontal="center" vertical="center" wrapText="1"/>
      <protection locked="0"/>
    </xf>
    <xf numFmtId="0" fontId="17" fillId="0" borderId="66" xfId="0" applyFont="1" applyFill="1" applyBorder="1" applyAlignment="1" applyProtection="1">
      <alignment horizontal="center" vertical="center" wrapText="1"/>
      <protection locked="0"/>
    </xf>
    <xf numFmtId="0" fontId="0" fillId="0" borderId="0" xfId="0" applyAlignment="1" applyProtection="1">
      <alignment vertical="center" wrapText="1"/>
      <protection locked="0"/>
    </xf>
    <xf numFmtId="0" fontId="84" fillId="0" borderId="20" xfId="46" applyFont="1" applyFill="1" applyBorder="1" applyAlignment="1" applyProtection="1">
      <alignment vertical="center" wrapText="1"/>
      <protection locked="0"/>
    </xf>
    <xf numFmtId="0" fontId="17" fillId="28" borderId="21" xfId="0" applyFont="1" applyFill="1" applyBorder="1" applyAlignment="1" applyProtection="1">
      <alignment horizontal="center" vertical="top" wrapText="1"/>
      <protection locked="0"/>
    </xf>
    <xf numFmtId="0" fontId="17" fillId="28" borderId="66" xfId="0" applyFont="1" applyFill="1" applyBorder="1" applyAlignment="1" applyProtection="1">
      <alignment horizontal="center" vertical="top" wrapText="1"/>
      <protection locked="0"/>
    </xf>
    <xf numFmtId="0" fontId="61" fillId="0" borderId="32" xfId="46" applyFont="1" applyBorder="1" applyAlignment="1" applyProtection="1">
      <alignment vertical="center" wrapText="1"/>
      <protection locked="0"/>
    </xf>
    <xf numFmtId="166" fontId="61" fillId="29" borderId="24" xfId="29" applyNumberFormat="1" applyFont="1" applyFill="1" applyBorder="1" applyAlignment="1" applyProtection="1">
      <alignment vertical="center" wrapText="1"/>
      <protection locked="0"/>
    </xf>
    <xf numFmtId="166" fontId="61" fillId="29" borderId="62" xfId="29" applyNumberFormat="1" applyFont="1" applyFill="1" applyBorder="1" applyAlignment="1" applyProtection="1">
      <alignment vertical="center" wrapText="1"/>
      <protection locked="0"/>
    </xf>
    <xf numFmtId="3" fontId="61" fillId="0" borderId="0" xfId="46" applyNumberFormat="1" applyFont="1" applyFill="1" applyBorder="1" applyAlignment="1" applyProtection="1">
      <alignment vertical="center" wrapText="1"/>
      <protection locked="0"/>
    </xf>
    <xf numFmtId="0" fontId="61" fillId="0" borderId="27" xfId="46" applyFont="1" applyBorder="1" applyAlignment="1" applyProtection="1">
      <alignment vertical="center" wrapText="1"/>
      <protection locked="0"/>
    </xf>
    <xf numFmtId="166" fontId="61" fillId="29" borderId="10" xfId="29" applyNumberFormat="1" applyFont="1" applyFill="1" applyBorder="1" applyAlignment="1" applyProtection="1">
      <alignment vertical="center" wrapText="1"/>
      <protection locked="0"/>
    </xf>
    <xf numFmtId="166" fontId="61" fillId="29" borderId="25" xfId="29" applyNumberFormat="1" applyFont="1" applyFill="1" applyBorder="1" applyAlignment="1" applyProtection="1">
      <alignment vertical="center" wrapText="1"/>
      <protection locked="0"/>
    </xf>
    <xf numFmtId="0" fontId="62" fillId="0" borderId="27" xfId="46" applyFont="1" applyBorder="1" applyAlignment="1" applyProtection="1">
      <alignment vertical="center" wrapText="1"/>
      <protection locked="0"/>
    </xf>
    <xf numFmtId="166" fontId="62" fillId="0" borderId="10" xfId="29" applyNumberFormat="1" applyFont="1" applyBorder="1" applyAlignment="1" applyProtection="1">
      <alignment vertical="center" wrapText="1"/>
      <protection locked="0"/>
    </xf>
    <xf numFmtId="166" fontId="62" fillId="0" borderId="25" xfId="29" applyNumberFormat="1" applyFont="1" applyBorder="1" applyAlignment="1" applyProtection="1">
      <alignment vertical="center" wrapText="1"/>
      <protection locked="0"/>
    </xf>
    <xf numFmtId="3" fontId="62" fillId="0" borderId="0" xfId="28" applyNumberFormat="1" applyFont="1" applyFill="1" applyBorder="1" applyAlignment="1" applyProtection="1">
      <alignment vertical="center" wrapText="1"/>
      <protection locked="0"/>
    </xf>
    <xf numFmtId="165" fontId="61" fillId="62" borderId="10" xfId="42" applyNumberFormat="1" applyFont="1" applyFill="1" applyBorder="1" applyAlignment="1" applyProtection="1">
      <alignment vertical="center" wrapText="1"/>
      <protection locked="0"/>
    </xf>
    <xf numFmtId="165" fontId="61" fillId="0" borderId="10" xfId="42" applyNumberFormat="1" applyFont="1" applyBorder="1" applyAlignment="1" applyProtection="1">
      <alignment vertical="center" wrapText="1"/>
      <protection locked="0"/>
    </xf>
    <xf numFmtId="165" fontId="61" fillId="0" borderId="25" xfId="42" applyNumberFormat="1" applyFont="1" applyBorder="1" applyAlignment="1" applyProtection="1">
      <alignment vertical="center" wrapText="1"/>
      <protection locked="0"/>
    </xf>
    <xf numFmtId="3" fontId="61" fillId="0" borderId="0" xfId="42" applyNumberFormat="1" applyFont="1" applyFill="1" applyBorder="1" applyAlignment="1" applyProtection="1">
      <alignment vertical="center" wrapText="1"/>
      <protection locked="0"/>
    </xf>
    <xf numFmtId="165" fontId="61" fillId="0" borderId="75" xfId="42" applyNumberFormat="1" applyFont="1" applyBorder="1" applyAlignment="1" applyProtection="1">
      <alignment vertical="center" wrapText="1"/>
      <protection locked="0"/>
    </xf>
    <xf numFmtId="165" fontId="61" fillId="0" borderId="13" xfId="42" applyNumberFormat="1" applyFont="1" applyBorder="1" applyAlignment="1" applyProtection="1">
      <alignment vertical="center" wrapText="1"/>
      <protection locked="0"/>
    </xf>
    <xf numFmtId="165" fontId="61" fillId="0" borderId="33" xfId="42" applyNumberFormat="1" applyFont="1" applyBorder="1" applyAlignment="1" applyProtection="1">
      <alignment vertical="center" wrapText="1"/>
      <protection locked="0"/>
    </xf>
    <xf numFmtId="0" fontId="61" fillId="0" borderId="28" xfId="46" applyFont="1" applyBorder="1" applyAlignment="1" applyProtection="1">
      <alignment vertical="center" wrapText="1"/>
      <protection locked="0"/>
    </xf>
    <xf numFmtId="3" fontId="61" fillId="62" borderId="26" xfId="28" applyNumberFormat="1" applyFont="1" applyFill="1" applyBorder="1" applyAlignment="1" applyProtection="1">
      <alignment vertical="center" wrapText="1"/>
      <protection locked="0"/>
    </xf>
    <xf numFmtId="165" fontId="61" fillId="62" borderId="26" xfId="42" applyNumberFormat="1" applyFont="1" applyFill="1" applyBorder="1" applyAlignment="1" applyProtection="1">
      <alignment vertical="center" wrapText="1"/>
      <protection locked="0"/>
    </xf>
    <xf numFmtId="165" fontId="61" fillId="0" borderId="26" xfId="42" applyNumberFormat="1" applyFont="1" applyBorder="1" applyAlignment="1" applyProtection="1">
      <alignment vertical="center" wrapText="1"/>
      <protection locked="0"/>
    </xf>
    <xf numFmtId="165" fontId="61" fillId="0" borderId="63" xfId="42" applyNumberFormat="1" applyFont="1" applyBorder="1" applyAlignment="1" applyProtection="1">
      <alignment vertical="center" wrapText="1"/>
      <protection locked="0"/>
    </xf>
    <xf numFmtId="167" fontId="14" fillId="0" borderId="0" xfId="28" applyNumberFormat="1" applyFont="1" applyAlignment="1" applyProtection="1">
      <alignment vertical="center" wrapText="1"/>
      <protection locked="0"/>
    </xf>
    <xf numFmtId="167" fontId="16" fillId="0" borderId="0" xfId="28" applyNumberFormat="1" applyFont="1" applyAlignment="1" applyProtection="1">
      <alignment vertical="center" wrapText="1"/>
      <protection locked="0"/>
    </xf>
    <xf numFmtId="0" fontId="0" fillId="0" borderId="0" xfId="0" applyFill="1" applyBorder="1" applyAlignment="1" applyProtection="1">
      <alignment vertical="center" wrapText="1"/>
      <protection locked="0"/>
    </xf>
    <xf numFmtId="0" fontId="61" fillId="0" borderId="32" xfId="46" applyFont="1" applyFill="1" applyBorder="1" applyAlignment="1" applyProtection="1">
      <alignment vertical="center" wrapText="1"/>
      <protection locked="0"/>
    </xf>
    <xf numFmtId="0" fontId="62" fillId="0" borderId="24" xfId="46" applyFont="1" applyFill="1" applyBorder="1" applyAlignment="1" applyProtection="1">
      <alignment horizontal="center" vertical="center" wrapText="1"/>
      <protection locked="0"/>
    </xf>
    <xf numFmtId="0" fontId="62" fillId="0" borderId="62" xfId="46" applyFont="1" applyFill="1" applyBorder="1" applyAlignment="1" applyProtection="1">
      <alignment horizontal="center" vertical="center" wrapText="1"/>
      <protection locked="0"/>
    </xf>
    <xf numFmtId="166" fontId="61" fillId="0" borderId="10" xfId="29" applyNumberFormat="1" applyFont="1" applyBorder="1" applyAlignment="1" applyProtection="1">
      <alignment vertical="center" wrapText="1"/>
      <protection locked="0"/>
    </xf>
    <xf numFmtId="166" fontId="61" fillId="0" borderId="25" xfId="29" applyNumberFormat="1" applyFont="1" applyBorder="1" applyAlignment="1" applyProtection="1">
      <alignment vertical="center" wrapText="1"/>
      <protection locked="0"/>
    </xf>
    <xf numFmtId="0" fontId="80" fillId="0" borderId="20" xfId="51" applyFont="1" applyBorder="1" applyAlignment="1" applyProtection="1">
      <alignment horizontal="center" vertical="center" wrapText="1"/>
      <protection locked="0"/>
    </xf>
    <xf numFmtId="0" fontId="81" fillId="0" borderId="21" xfId="51" applyFont="1" applyBorder="1" applyAlignment="1" applyProtection="1">
      <alignment horizontal="center" vertical="center" wrapText="1"/>
      <protection locked="0"/>
    </xf>
    <xf numFmtId="0" fontId="81" fillId="0" borderId="66" xfId="51" applyFont="1" applyBorder="1" applyAlignment="1" applyProtection="1">
      <alignment horizontal="center" vertical="center" wrapText="1"/>
      <protection locked="0"/>
    </xf>
    <xf numFmtId="0" fontId="81" fillId="0" borderId="76" xfId="51" applyFont="1" applyBorder="1" applyAlignment="1" applyProtection="1">
      <alignment vertical="center" wrapText="1"/>
      <protection locked="0"/>
    </xf>
    <xf numFmtId="166" fontId="61" fillId="0" borderId="19" xfId="29" applyNumberFormat="1" applyFont="1" applyBorder="1" applyAlignment="1" applyProtection="1">
      <alignment vertical="center" wrapText="1"/>
      <protection locked="0"/>
    </xf>
    <xf numFmtId="166" fontId="80" fillId="0" borderId="19" xfId="29" applyNumberFormat="1" applyFont="1" applyBorder="1" applyAlignment="1" applyProtection="1">
      <alignment vertical="center" wrapText="1"/>
      <protection locked="0"/>
    </xf>
    <xf numFmtId="166" fontId="80" fillId="0" borderId="64" xfId="29" applyNumberFormat="1" applyFont="1" applyBorder="1" applyAlignment="1" applyProtection="1">
      <alignment vertical="center" wrapText="1"/>
      <protection locked="0"/>
    </xf>
    <xf numFmtId="0" fontId="81" fillId="0" borderId="27" xfId="51" applyFont="1" applyBorder="1" applyAlignment="1" applyProtection="1">
      <alignment vertical="center" wrapText="1"/>
      <protection locked="0"/>
    </xf>
    <xf numFmtId="166" fontId="80" fillId="0" borderId="10" xfId="29" applyNumberFormat="1" applyFont="1" applyBorder="1" applyAlignment="1" applyProtection="1">
      <alignment vertical="center" wrapText="1"/>
      <protection locked="0"/>
    </xf>
    <xf numFmtId="166" fontId="80" fillId="0" borderId="25" xfId="29" applyNumberFormat="1" applyFont="1" applyBorder="1" applyAlignment="1" applyProtection="1">
      <alignment vertical="center" wrapText="1"/>
      <protection locked="0"/>
    </xf>
    <xf numFmtId="10" fontId="80" fillId="0" borderId="106" xfId="51" applyNumberFormat="1" applyFont="1" applyFill="1" applyBorder="1" applyAlignment="1" applyProtection="1">
      <alignment vertical="center" wrapText="1"/>
      <protection locked="0"/>
    </xf>
    <xf numFmtId="10" fontId="80" fillId="0" borderId="83" xfId="51" applyNumberFormat="1" applyFont="1" applyFill="1" applyBorder="1" applyAlignment="1" applyProtection="1">
      <alignment vertical="center" wrapText="1"/>
      <protection locked="0"/>
    </xf>
    <xf numFmtId="0" fontId="80" fillId="0" borderId="18" xfId="51" applyFont="1" applyFill="1" applyBorder="1" applyAlignment="1" applyProtection="1">
      <alignment vertical="center" wrapText="1"/>
      <protection locked="0"/>
    </xf>
    <xf numFmtId="0" fontId="80" fillId="0" borderId="106" xfId="51" applyFont="1" applyFill="1" applyBorder="1" applyAlignment="1" applyProtection="1">
      <alignment vertical="center" wrapText="1"/>
      <protection locked="0"/>
    </xf>
    <xf numFmtId="0" fontId="80" fillId="0" borderId="83" xfId="51" applyFont="1" applyFill="1" applyBorder="1" applyAlignment="1" applyProtection="1">
      <alignment vertical="center" wrapText="1"/>
      <protection locked="0"/>
    </xf>
    <xf numFmtId="0" fontId="80" fillId="0" borderId="59" xfId="51" applyFont="1" applyFill="1" applyBorder="1" applyAlignment="1" applyProtection="1">
      <alignment vertical="center" wrapText="1"/>
      <protection locked="0"/>
    </xf>
    <xf numFmtId="10" fontId="80" fillId="0" borderId="110" xfId="51" applyNumberFormat="1" applyFont="1" applyFill="1" applyBorder="1" applyAlignment="1" applyProtection="1">
      <alignment vertical="center" wrapText="1"/>
      <protection locked="0"/>
    </xf>
    <xf numFmtId="10" fontId="80" fillId="0" borderId="0" xfId="51" applyNumberFormat="1" applyFont="1" applyFill="1" applyBorder="1" applyAlignment="1" applyProtection="1">
      <alignment vertical="center" wrapText="1"/>
      <protection locked="0"/>
    </xf>
    <xf numFmtId="9" fontId="80" fillId="0" borderId="10" xfId="42" applyFont="1" applyBorder="1" applyAlignment="1" applyProtection="1">
      <alignment vertical="center" wrapText="1"/>
      <protection locked="0"/>
    </xf>
    <xf numFmtId="0" fontId="80" fillId="0" borderId="15" xfId="51" applyFont="1" applyFill="1" applyBorder="1" applyAlignment="1" applyProtection="1">
      <alignment vertical="center" wrapText="1"/>
      <protection locked="0"/>
    </xf>
    <xf numFmtId="0" fontId="80" fillId="0" borderId="110" xfId="51" applyFont="1" applyFill="1" applyBorder="1" applyAlignment="1" applyProtection="1">
      <alignment vertical="center" wrapText="1"/>
      <protection locked="0"/>
    </xf>
    <xf numFmtId="0" fontId="80" fillId="0" borderId="0" xfId="51" applyFont="1" applyFill="1" applyBorder="1" applyAlignment="1" applyProtection="1">
      <alignment vertical="center" wrapText="1"/>
      <protection locked="0"/>
    </xf>
    <xf numFmtId="0" fontId="80" fillId="0" borderId="29" xfId="51" applyFont="1" applyFill="1" applyBorder="1" applyAlignment="1" applyProtection="1">
      <alignment vertical="center" wrapText="1"/>
      <protection locked="0"/>
    </xf>
    <xf numFmtId="10" fontId="80" fillId="0" borderId="77" xfId="51" applyNumberFormat="1" applyFont="1" applyFill="1" applyBorder="1" applyAlignment="1" applyProtection="1">
      <alignment vertical="center" wrapText="1"/>
      <protection locked="0"/>
    </xf>
    <xf numFmtId="10" fontId="80" fillId="0" borderId="12" xfId="51" applyNumberFormat="1" applyFont="1" applyFill="1" applyBorder="1" applyAlignment="1" applyProtection="1">
      <alignment vertical="center" wrapText="1"/>
      <protection locked="0"/>
    </xf>
    <xf numFmtId="0" fontId="80" fillId="0" borderId="13" xfId="51" applyFont="1" applyFill="1" applyBorder="1" applyAlignment="1" applyProtection="1">
      <alignment vertical="center" wrapText="1"/>
      <protection locked="0"/>
    </xf>
    <xf numFmtId="0" fontId="80" fillId="0" borderId="16" xfId="51" applyFont="1" applyFill="1" applyBorder="1" applyAlignment="1" applyProtection="1">
      <alignment vertical="center" wrapText="1"/>
      <protection locked="0"/>
    </xf>
    <xf numFmtId="10" fontId="80" fillId="0" borderId="10" xfId="51" applyNumberFormat="1" applyFont="1" applyBorder="1" applyAlignment="1" applyProtection="1">
      <alignment vertical="center" wrapText="1"/>
      <protection locked="0"/>
    </xf>
    <xf numFmtId="0" fontId="80" fillId="0" borderId="77" xfId="51" applyFont="1" applyFill="1" applyBorder="1" applyAlignment="1" applyProtection="1">
      <alignment vertical="center" wrapText="1"/>
      <protection locked="0"/>
    </xf>
    <xf numFmtId="0" fontId="80" fillId="0" borderId="12" xfId="51" applyFont="1" applyFill="1" applyBorder="1" applyAlignment="1" applyProtection="1">
      <alignment vertical="center" wrapText="1"/>
      <protection locked="0"/>
    </xf>
    <xf numFmtId="0" fontId="80" fillId="0" borderId="55" xfId="51" applyFont="1" applyFill="1" applyBorder="1" applyAlignment="1" applyProtection="1">
      <alignment vertical="center" wrapText="1"/>
      <protection locked="0"/>
    </xf>
    <xf numFmtId="10" fontId="80" fillId="0" borderId="13" xfId="51" applyNumberFormat="1" applyFont="1" applyBorder="1" applyAlignment="1" applyProtection="1">
      <alignment vertical="center" wrapText="1"/>
      <protection locked="0"/>
    </xf>
    <xf numFmtId="9" fontId="80" fillId="0" borderId="25" xfId="42" applyFont="1" applyFill="1" applyBorder="1" applyAlignment="1" applyProtection="1">
      <alignment vertical="center" wrapText="1"/>
      <protection locked="0"/>
    </xf>
    <xf numFmtId="165" fontId="80" fillId="0" borderId="25" xfId="42" applyNumberFormat="1" applyFont="1" applyFill="1" applyBorder="1" applyAlignment="1" applyProtection="1">
      <alignment vertical="center" wrapText="1"/>
      <protection locked="0"/>
    </xf>
    <xf numFmtId="0" fontId="81" fillId="0" borderId="28" xfId="51" applyFont="1" applyBorder="1" applyAlignment="1" applyProtection="1">
      <alignment vertical="center" wrapText="1"/>
      <protection locked="0"/>
    </xf>
    <xf numFmtId="10" fontId="80" fillId="0" borderId="78" xfId="51" applyNumberFormat="1" applyFont="1" applyFill="1" applyBorder="1" applyAlignment="1" applyProtection="1">
      <alignment vertical="center" wrapText="1"/>
      <protection locked="0"/>
    </xf>
    <xf numFmtId="10" fontId="80" fillId="0" borderId="30" xfId="51" applyNumberFormat="1" applyFont="1" applyFill="1" applyBorder="1" applyAlignment="1" applyProtection="1">
      <alignment vertical="center" wrapText="1"/>
      <protection locked="0"/>
    </xf>
    <xf numFmtId="0" fontId="80" fillId="0" borderId="30" xfId="51" applyFont="1" applyFill="1" applyBorder="1" applyAlignment="1" applyProtection="1">
      <alignment vertical="center" wrapText="1"/>
      <protection locked="0"/>
    </xf>
    <xf numFmtId="0" fontId="80" fillId="0" borderId="39" xfId="51" applyFont="1" applyFill="1" applyBorder="1" applyAlignment="1" applyProtection="1">
      <alignment vertical="center" wrapText="1"/>
      <protection locked="0"/>
    </xf>
    <xf numFmtId="10" fontId="80" fillId="0" borderId="26" xfId="51" applyNumberFormat="1" applyFont="1" applyBorder="1" applyAlignment="1" applyProtection="1">
      <alignment vertical="center" wrapText="1"/>
      <protection locked="0"/>
    </xf>
    <xf numFmtId="0" fontId="80" fillId="0" borderId="78" xfId="51" applyFont="1" applyFill="1" applyBorder="1" applyAlignment="1" applyProtection="1">
      <alignment vertical="center" wrapText="1"/>
      <protection locked="0"/>
    </xf>
    <xf numFmtId="0" fontId="80" fillId="0" borderId="31" xfId="51" applyFont="1" applyFill="1" applyBorder="1" applyAlignment="1" applyProtection="1">
      <alignment vertical="center" wrapText="1"/>
      <protection locked="0"/>
    </xf>
    <xf numFmtId="0" fontId="17" fillId="0" borderId="0" xfId="0" applyFont="1" applyAlignment="1" applyProtection="1">
      <alignment vertical="center" wrapText="1"/>
      <protection locked="0"/>
    </xf>
    <xf numFmtId="0" fontId="14" fillId="0" borderId="0" xfId="0" applyFont="1" applyAlignment="1" applyProtection="1">
      <alignment vertical="center" wrapText="1"/>
      <protection locked="0"/>
    </xf>
    <xf numFmtId="0" fontId="17" fillId="0" borderId="32" xfId="0" applyFont="1" applyBorder="1" applyAlignment="1" applyProtection="1">
      <alignment vertical="center"/>
      <protection locked="0"/>
    </xf>
    <xf numFmtId="0" fontId="17" fillId="0" borderId="73" xfId="0" applyFont="1" applyFill="1" applyBorder="1" applyAlignment="1" applyProtection="1">
      <alignment horizontal="center" vertical="center" wrapText="1"/>
      <protection locked="0"/>
    </xf>
    <xf numFmtId="0" fontId="84" fillId="0" borderId="0" xfId="46" applyFont="1" applyFill="1" applyBorder="1" applyAlignment="1" applyProtection="1">
      <alignment vertical="center" wrapText="1"/>
      <protection locked="0"/>
    </xf>
    <xf numFmtId="0" fontId="17" fillId="0" borderId="54" xfId="0" applyFont="1" applyBorder="1" applyProtection="1">
      <protection locked="0"/>
    </xf>
    <xf numFmtId="166" fontId="0" fillId="29" borderId="44" xfId="29" applyNumberFormat="1" applyFont="1" applyFill="1" applyBorder="1" applyProtection="1">
      <protection locked="0"/>
    </xf>
    <xf numFmtId="166" fontId="0" fillId="0" borderId="33" xfId="29" applyNumberFormat="1" applyFont="1" applyBorder="1" applyProtection="1">
      <protection locked="0"/>
    </xf>
    <xf numFmtId="0" fontId="0" fillId="29" borderId="27" xfId="0" applyFill="1" applyBorder="1" applyProtection="1">
      <protection locked="0"/>
    </xf>
    <xf numFmtId="0" fontId="14" fillId="29" borderId="27" xfId="0" applyFont="1" applyFill="1" applyBorder="1" applyProtection="1">
      <protection locked="0"/>
    </xf>
    <xf numFmtId="166" fontId="0" fillId="29" borderId="17" xfId="29" applyNumberFormat="1" applyFont="1" applyFill="1" applyBorder="1" applyProtection="1">
      <protection locked="0"/>
    </xf>
    <xf numFmtId="0" fontId="17" fillId="0" borderId="38" xfId="0" applyFont="1" applyBorder="1" applyProtection="1">
      <protection locked="0"/>
    </xf>
    <xf numFmtId="166" fontId="0" fillId="0" borderId="57" xfId="29" applyNumberFormat="1" applyFont="1" applyBorder="1" applyProtection="1">
      <protection locked="0"/>
    </xf>
    <xf numFmtId="3" fontId="0" fillId="29" borderId="11" xfId="0" applyNumberFormat="1" applyFill="1" applyBorder="1" applyProtection="1">
      <protection locked="0"/>
    </xf>
    <xf numFmtId="3" fontId="0" fillId="64" borderId="10" xfId="29" applyNumberFormat="1" applyFont="1" applyFill="1" applyBorder="1" applyProtection="1">
      <protection locked="0"/>
    </xf>
    <xf numFmtId="3" fontId="0" fillId="29" borderId="10" xfId="0" applyNumberFormat="1" applyFill="1" applyBorder="1" applyProtection="1">
      <protection locked="0"/>
    </xf>
    <xf numFmtId="3" fontId="0" fillId="29" borderId="17" xfId="0" applyNumberFormat="1" applyFill="1" applyBorder="1" applyProtection="1">
      <protection locked="0"/>
    </xf>
    <xf numFmtId="3" fontId="0" fillId="64" borderId="17" xfId="29" applyNumberFormat="1" applyFont="1" applyFill="1" applyBorder="1" applyProtection="1">
      <protection locked="0"/>
    </xf>
    <xf numFmtId="0" fontId="0" fillId="0" borderId="20" xfId="0" applyBorder="1" applyProtection="1">
      <protection locked="0"/>
    </xf>
    <xf numFmtId="0" fontId="17" fillId="64" borderId="21" xfId="0" applyFont="1" applyFill="1" applyBorder="1" applyAlignment="1" applyProtection="1">
      <alignment horizontal="center" vertical="center" wrapText="1"/>
      <protection locked="0"/>
    </xf>
    <xf numFmtId="167" fontId="14" fillId="29" borderId="10" xfId="28" applyNumberFormat="1" applyFill="1" applyBorder="1" applyProtection="1">
      <protection locked="0"/>
    </xf>
    <xf numFmtId="167" fontId="14" fillId="0" borderId="10" xfId="28" applyNumberFormat="1" applyBorder="1" applyProtection="1">
      <protection locked="0"/>
    </xf>
    <xf numFmtId="166" fontId="14" fillId="0" borderId="10" xfId="29" applyNumberFormat="1" applyBorder="1" applyProtection="1">
      <protection locked="0"/>
    </xf>
    <xf numFmtId="0" fontId="17" fillId="0" borderId="0" xfId="0" applyFont="1" applyFill="1" applyBorder="1" applyAlignment="1" applyProtection="1">
      <alignment vertical="top"/>
      <protection locked="0"/>
    </xf>
    <xf numFmtId="0" fontId="22" fillId="0" borderId="0" xfId="0" applyFont="1" applyFill="1" applyBorder="1" applyProtection="1">
      <protection locked="0"/>
    </xf>
    <xf numFmtId="0" fontId="17" fillId="0" borderId="70" xfId="0" applyFont="1" applyBorder="1" applyAlignment="1" applyProtection="1">
      <protection locked="0"/>
    </xf>
    <xf numFmtId="0" fontId="0" fillId="0" borderId="69" xfId="0" applyBorder="1" applyAlignment="1" applyProtection="1">
      <protection locked="0"/>
    </xf>
    <xf numFmtId="0" fontId="17" fillId="64" borderId="10" xfId="0" applyFont="1" applyFill="1" applyBorder="1" applyAlignment="1" applyProtection="1">
      <alignment horizontal="center" vertical="center" wrapText="1"/>
      <protection locked="0"/>
    </xf>
    <xf numFmtId="167" fontId="17" fillId="29" borderId="19" xfId="28" applyNumberFormat="1" applyFont="1" applyFill="1" applyBorder="1" applyProtection="1">
      <protection locked="0"/>
    </xf>
    <xf numFmtId="167" fontId="17" fillId="29" borderId="64" xfId="28" applyNumberFormat="1" applyFont="1" applyFill="1" applyBorder="1" applyProtection="1">
      <protection locked="0"/>
    </xf>
    <xf numFmtId="166" fontId="17" fillId="29" borderId="10" xfId="29" applyNumberFormat="1" applyFont="1" applyFill="1" applyBorder="1" applyProtection="1">
      <protection locked="0"/>
    </xf>
    <xf numFmtId="166" fontId="17" fillId="29" borderId="25" xfId="29" applyNumberFormat="1" applyFont="1" applyFill="1" applyBorder="1" applyProtection="1">
      <protection locked="0"/>
    </xf>
    <xf numFmtId="44" fontId="17" fillId="0" borderId="10" xfId="29" applyFont="1" applyBorder="1" applyProtection="1">
      <protection locked="0"/>
    </xf>
    <xf numFmtId="44" fontId="17" fillId="0" borderId="25" xfId="29" applyFont="1" applyBorder="1" applyProtection="1">
      <protection locked="0"/>
    </xf>
    <xf numFmtId="0" fontId="17" fillId="29" borderId="10" xfId="0" applyFont="1" applyFill="1" applyBorder="1" applyProtection="1">
      <protection locked="0"/>
    </xf>
    <xf numFmtId="0" fontId="17" fillId="29" borderId="25" xfId="0" applyFont="1" applyFill="1" applyBorder="1" applyProtection="1">
      <protection locked="0"/>
    </xf>
    <xf numFmtId="43" fontId="17" fillId="0" borderId="10" xfId="28" applyFont="1" applyBorder="1" applyProtection="1">
      <protection locked="0"/>
    </xf>
    <xf numFmtId="43" fontId="17" fillId="0" borderId="25" xfId="28" applyFont="1" applyBorder="1" applyProtection="1">
      <protection locked="0"/>
    </xf>
    <xf numFmtId="0" fontId="14" fillId="0" borderId="0" xfId="0" quotePrefix="1" applyFont="1" applyAlignment="1" applyProtection="1">
      <alignment horizontal="center"/>
      <protection locked="0"/>
    </xf>
    <xf numFmtId="0" fontId="23" fillId="0" borderId="0" xfId="0" applyFont="1" applyProtection="1">
      <protection locked="0"/>
    </xf>
    <xf numFmtId="0" fontId="17" fillId="0" borderId="24" xfId="0" applyFont="1" applyBorder="1" applyAlignment="1" applyProtection="1">
      <alignment horizontal="center" vertical="center" wrapText="1"/>
      <protection locked="0"/>
    </xf>
    <xf numFmtId="0" fontId="17" fillId="0" borderId="62" xfId="0" applyFont="1" applyBorder="1" applyAlignment="1" applyProtection="1">
      <alignment horizontal="center" vertical="center" wrapText="1"/>
      <protection locked="0"/>
    </xf>
    <xf numFmtId="0" fontId="0" fillId="0" borderId="25" xfId="0" quotePrefix="1" applyBorder="1" applyAlignment="1" applyProtection="1">
      <alignment horizontal="center"/>
      <protection locked="0"/>
    </xf>
    <xf numFmtId="0" fontId="17" fillId="0" borderId="27" xfId="0" applyFont="1" applyBorder="1" applyAlignment="1" applyProtection="1">
      <alignment horizontal="center" vertical="top"/>
      <protection locked="0"/>
    </xf>
    <xf numFmtId="0" fontId="0" fillId="0" borderId="10" xfId="0" applyBorder="1" applyAlignment="1" applyProtection="1">
      <alignment vertical="top" wrapText="1"/>
      <protection locked="0"/>
    </xf>
    <xf numFmtId="0" fontId="0" fillId="29" borderId="10" xfId="0" applyFill="1" applyBorder="1" applyAlignment="1" applyProtection="1">
      <alignment vertical="top"/>
      <protection locked="0"/>
    </xf>
    <xf numFmtId="166" fontId="0" fillId="29" borderId="10" xfId="29" applyNumberFormat="1" applyFont="1" applyFill="1" applyBorder="1" applyAlignment="1" applyProtection="1">
      <alignment vertical="top"/>
      <protection locked="0"/>
    </xf>
    <xf numFmtId="0" fontId="0" fillId="28" borderId="10" xfId="0" applyFill="1" applyBorder="1" applyAlignment="1" applyProtection="1">
      <alignment vertical="top"/>
      <protection locked="0"/>
    </xf>
    <xf numFmtId="10" fontId="0" fillId="0" borderId="10" xfId="42" applyNumberFormat="1" applyFont="1" applyBorder="1" applyAlignment="1" applyProtection="1">
      <alignment vertical="top"/>
      <protection locked="0"/>
    </xf>
    <xf numFmtId="10" fontId="0" fillId="0" borderId="25" xfId="42" applyNumberFormat="1" applyFont="1" applyBorder="1" applyAlignment="1" applyProtection="1">
      <alignment vertical="top"/>
      <protection locked="0"/>
    </xf>
    <xf numFmtId="0" fontId="17" fillId="0" borderId="28" xfId="0" applyFont="1" applyBorder="1" applyAlignment="1" applyProtection="1">
      <alignment horizontal="center" vertical="top"/>
      <protection locked="0"/>
    </xf>
    <xf numFmtId="0" fontId="0" fillId="0" borderId="26" xfId="0" applyBorder="1" applyAlignment="1" applyProtection="1">
      <alignment vertical="top" wrapText="1"/>
      <protection locked="0"/>
    </xf>
    <xf numFmtId="166" fontId="0" fillId="29" borderId="26" xfId="29" applyNumberFormat="1" applyFont="1" applyFill="1" applyBorder="1" applyAlignment="1" applyProtection="1">
      <alignment vertical="top"/>
      <protection locked="0"/>
    </xf>
    <xf numFmtId="10" fontId="0" fillId="0" borderId="26" xfId="42" applyNumberFormat="1" applyFont="1" applyBorder="1" applyAlignment="1" applyProtection="1">
      <alignment vertical="top"/>
      <protection locked="0"/>
    </xf>
    <xf numFmtId="10" fontId="0" fillId="0" borderId="63" xfId="42" applyNumberFormat="1" applyFont="1" applyBorder="1" applyAlignment="1" applyProtection="1">
      <alignment vertical="top"/>
      <protection locked="0"/>
    </xf>
    <xf numFmtId="0" fontId="17" fillId="0" borderId="76" xfId="0" applyFont="1" applyBorder="1" applyAlignment="1" applyProtection="1">
      <alignment horizontal="center" vertical="top"/>
      <protection locked="0"/>
    </xf>
    <xf numFmtId="0" fontId="0" fillId="0" borderId="19" xfId="0" applyBorder="1" applyAlignment="1" applyProtection="1">
      <alignment vertical="top" wrapText="1"/>
      <protection locked="0"/>
    </xf>
    <xf numFmtId="0" fontId="0" fillId="62" borderId="19" xfId="0" applyFill="1" applyBorder="1" applyAlignment="1" applyProtection="1">
      <alignment vertical="top"/>
      <protection locked="0"/>
    </xf>
    <xf numFmtId="166" fontId="0" fillId="0" borderId="19" xfId="29" applyNumberFormat="1" applyFont="1" applyBorder="1" applyAlignment="1" applyProtection="1">
      <alignment vertical="top"/>
      <protection locked="0"/>
    </xf>
    <xf numFmtId="10" fontId="0" fillId="0" borderId="19" xfId="42" applyNumberFormat="1" applyFont="1" applyBorder="1" applyAlignment="1" applyProtection="1">
      <alignment vertical="top"/>
      <protection locked="0"/>
    </xf>
    <xf numFmtId="10" fontId="0" fillId="0" borderId="64" xfId="42" applyNumberFormat="1" applyFont="1" applyBorder="1" applyAlignment="1" applyProtection="1">
      <alignment vertical="top"/>
      <protection locked="0"/>
    </xf>
    <xf numFmtId="0" fontId="17" fillId="0" borderId="72" xfId="0" applyFont="1" applyBorder="1" applyAlignment="1" applyProtection="1">
      <alignment horizontal="center" vertical="top"/>
      <protection locked="0"/>
    </xf>
    <xf numFmtId="0" fontId="0" fillId="0" borderId="36" xfId="0" applyBorder="1" applyAlignment="1" applyProtection="1">
      <alignment vertical="top" wrapText="1"/>
      <protection locked="0"/>
    </xf>
    <xf numFmtId="0" fontId="0" fillId="62" borderId="36" xfId="0" applyFill="1" applyBorder="1" applyAlignment="1" applyProtection="1">
      <alignment vertical="top"/>
      <protection locked="0"/>
    </xf>
    <xf numFmtId="166" fontId="0" fillId="0" borderId="36" xfId="29" applyNumberFormat="1" applyFont="1" applyBorder="1" applyAlignment="1" applyProtection="1">
      <alignment vertical="top"/>
      <protection locked="0"/>
    </xf>
    <xf numFmtId="10" fontId="0" fillId="0" borderId="36" xfId="42" applyNumberFormat="1" applyFont="1" applyBorder="1" applyAlignment="1" applyProtection="1">
      <alignment vertical="top"/>
      <protection locked="0"/>
    </xf>
    <xf numFmtId="10" fontId="0" fillId="0" borderId="37" xfId="42" applyNumberFormat="1" applyFont="1" applyBorder="1" applyAlignment="1" applyProtection="1">
      <alignment vertical="top"/>
      <protection locked="0"/>
    </xf>
    <xf numFmtId="0" fontId="17" fillId="0" borderId="38" xfId="0" applyFont="1" applyBorder="1" applyAlignment="1" applyProtection="1">
      <alignment horizontal="center" vertical="top"/>
      <protection locked="0"/>
    </xf>
    <xf numFmtId="0" fontId="0" fillId="0" borderId="34" xfId="0" applyBorder="1" applyAlignment="1" applyProtection="1">
      <alignment vertical="top" wrapText="1"/>
      <protection locked="0"/>
    </xf>
    <xf numFmtId="0" fontId="0" fillId="62" borderId="34" xfId="0" applyFill="1" applyBorder="1" applyAlignment="1" applyProtection="1">
      <alignment vertical="top"/>
      <protection locked="0"/>
    </xf>
    <xf numFmtId="166" fontId="0" fillId="0" borderId="34" xfId="29" applyNumberFormat="1" applyFont="1" applyBorder="1" applyAlignment="1" applyProtection="1">
      <alignment vertical="top"/>
      <protection locked="0"/>
    </xf>
    <xf numFmtId="10" fontId="0" fillId="0" borderId="34" xfId="42" applyNumberFormat="1" applyFont="1" applyBorder="1" applyAlignment="1" applyProtection="1">
      <alignment vertical="top"/>
      <protection locked="0"/>
    </xf>
    <xf numFmtId="10" fontId="0" fillId="0" borderId="35" xfId="42" applyNumberFormat="1" applyFont="1" applyBorder="1" applyAlignment="1" applyProtection="1">
      <alignment vertical="top"/>
      <protection locked="0"/>
    </xf>
    <xf numFmtId="0" fontId="17" fillId="64" borderId="93" xfId="0" applyFont="1" applyFill="1" applyBorder="1" applyAlignment="1" applyProtection="1">
      <alignment horizontal="center" vertical="center" wrapText="1"/>
      <protection locked="0"/>
    </xf>
    <xf numFmtId="0" fontId="17" fillId="0" borderId="32" xfId="0" applyFont="1" applyBorder="1" applyAlignment="1" applyProtection="1">
      <alignment horizontal="center" vertical="top"/>
      <protection locked="0"/>
    </xf>
    <xf numFmtId="0" fontId="14" fillId="0" borderId="79" xfId="0" applyFont="1" applyBorder="1" applyAlignment="1" applyProtection="1">
      <alignment vertical="top" wrapText="1"/>
      <protection locked="0"/>
    </xf>
    <xf numFmtId="0" fontId="0" fillId="29" borderId="32" xfId="0" applyFill="1" applyBorder="1" applyAlignment="1" applyProtection="1">
      <alignment horizontal="right" vertical="center"/>
      <protection locked="0"/>
    </xf>
    <xf numFmtId="0" fontId="14" fillId="0" borderId="10" xfId="0" applyFont="1" applyBorder="1" applyAlignment="1" applyProtection="1">
      <alignment vertical="top" wrapText="1"/>
      <protection locked="0"/>
    </xf>
    <xf numFmtId="0" fontId="14" fillId="0" borderId="75" xfId="0" applyFont="1" applyBorder="1" applyAlignment="1" applyProtection="1">
      <alignment vertical="top" wrapText="1"/>
      <protection locked="0"/>
    </xf>
    <xf numFmtId="0" fontId="0" fillId="29" borderId="27" xfId="0" applyFill="1" applyBorder="1" applyAlignment="1" applyProtection="1">
      <alignment horizontal="right" vertical="center"/>
      <protection locked="0"/>
    </xf>
    <xf numFmtId="0" fontId="0" fillId="0" borderId="80" xfId="0" applyBorder="1" applyAlignment="1" applyProtection="1">
      <alignment vertical="top" wrapText="1"/>
      <protection locked="0"/>
    </xf>
    <xf numFmtId="0" fontId="45" fillId="29" borderId="0" xfId="0" applyFont="1" applyFill="1" applyProtection="1">
      <protection locked="0"/>
    </xf>
    <xf numFmtId="0" fontId="45" fillId="25" borderId="0" xfId="0" applyFont="1" applyFill="1" applyProtection="1">
      <protection locked="0"/>
    </xf>
    <xf numFmtId="0" fontId="17" fillId="25" borderId="10" xfId="0" applyFont="1" applyFill="1" applyBorder="1" applyAlignment="1" applyProtection="1">
      <alignment horizontal="center"/>
      <protection locked="0"/>
    </xf>
    <xf numFmtId="0" fontId="17" fillId="25" borderId="0" xfId="0" applyFont="1" applyFill="1" applyBorder="1" applyAlignment="1" applyProtection="1">
      <alignment horizontal="center"/>
      <protection locked="0"/>
    </xf>
    <xf numFmtId="0" fontId="0" fillId="25" borderId="0" xfId="0" applyFill="1" applyBorder="1" applyProtection="1">
      <protection locked="0"/>
    </xf>
    <xf numFmtId="0" fontId="0" fillId="29" borderId="28" xfId="0" applyFill="1" applyBorder="1" applyProtection="1">
      <protection locked="0"/>
    </xf>
    <xf numFmtId="0" fontId="0" fillId="29" borderId="26" xfId="0" applyFill="1" applyBorder="1" applyProtection="1">
      <protection locked="0"/>
    </xf>
    <xf numFmtId="0" fontId="17" fillId="25" borderId="25" xfId="0" applyFont="1" applyFill="1" applyBorder="1" applyAlignment="1" applyProtection="1">
      <alignment horizontal="center"/>
      <protection locked="0"/>
    </xf>
    <xf numFmtId="0" fontId="0" fillId="29" borderId="63" xfId="0" applyFill="1" applyBorder="1" applyProtection="1">
      <protection locked="0"/>
    </xf>
    <xf numFmtId="0" fontId="17" fillId="0" borderId="0" xfId="0" applyFont="1" applyAlignment="1" applyProtection="1">
      <alignment horizontal="center" vertical="top" wrapText="1"/>
      <protection locked="0"/>
    </xf>
    <xf numFmtId="0" fontId="17" fillId="0" borderId="0" xfId="0" applyFont="1" applyAlignment="1" applyProtection="1">
      <alignment vertical="top" wrapText="1"/>
      <protection locked="0"/>
    </xf>
    <xf numFmtId="0" fontId="17" fillId="0" borderId="0" xfId="0" applyFont="1" applyAlignment="1" applyProtection="1">
      <alignment horizontal="left" vertical="center" indent="4"/>
      <protection locked="0"/>
    </xf>
    <xf numFmtId="0" fontId="98" fillId="0" borderId="0" xfId="0" applyFont="1" applyAlignment="1" applyProtection="1">
      <alignment horizontal="left" vertical="center" indent="2"/>
      <protection locked="0"/>
    </xf>
    <xf numFmtId="0" fontId="17" fillId="0" borderId="0" xfId="46" applyFont="1" applyBorder="1" applyAlignment="1" applyProtection="1">
      <alignment vertical="center"/>
      <protection locked="0"/>
    </xf>
    <xf numFmtId="0" fontId="17" fillId="0" borderId="0" xfId="46" applyFont="1" applyBorder="1" applyAlignment="1" applyProtection="1">
      <alignment horizontal="center" vertical="center"/>
      <protection locked="0"/>
    </xf>
    <xf numFmtId="0" fontId="14" fillId="0" borderId="0" xfId="46" applyBorder="1" applyAlignment="1" applyProtection="1">
      <alignment horizontal="center"/>
      <protection locked="0"/>
    </xf>
    <xf numFmtId="0" fontId="14" fillId="0" borderId="0" xfId="46" quotePrefix="1" applyBorder="1" applyAlignment="1" applyProtection="1">
      <alignment horizontal="center"/>
      <protection locked="0"/>
    </xf>
    <xf numFmtId="0" fontId="14" fillId="0" borderId="0" xfId="46" quotePrefix="1" applyBorder="1" applyAlignment="1" applyProtection="1">
      <alignment horizontal="right"/>
      <protection locked="0"/>
    </xf>
    <xf numFmtId="0" fontId="17" fillId="0" borderId="12" xfId="46" applyFont="1" applyBorder="1" applyProtection="1">
      <protection locked="0"/>
    </xf>
    <xf numFmtId="0" fontId="14" fillId="0" borderId="0" xfId="46" quotePrefix="1" applyBorder="1" applyProtection="1">
      <protection locked="0"/>
    </xf>
    <xf numFmtId="10" fontId="14" fillId="29" borderId="0" xfId="42" applyNumberFormat="1" applyFont="1" applyFill="1" applyBorder="1" applyProtection="1">
      <protection locked="0"/>
    </xf>
    <xf numFmtId="10" fontId="14" fillId="0" borderId="0" xfId="42" applyNumberFormat="1" applyFont="1" applyFill="1" applyBorder="1" applyProtection="1">
      <protection locked="0"/>
    </xf>
    <xf numFmtId="173" fontId="14" fillId="0" borderId="0" xfId="29" applyNumberFormat="1" applyFont="1" applyBorder="1" applyProtection="1">
      <protection locked="0"/>
    </xf>
    <xf numFmtId="10" fontId="14" fillId="29" borderId="12" xfId="42" applyNumberFormat="1" applyFont="1" applyFill="1" applyBorder="1" applyProtection="1">
      <protection locked="0"/>
    </xf>
    <xf numFmtId="173" fontId="14" fillId="0" borderId="12" xfId="29" applyNumberFormat="1" applyFont="1" applyBorder="1" applyProtection="1">
      <protection locked="0"/>
    </xf>
    <xf numFmtId="165" fontId="14" fillId="0" borderId="14" xfId="42" applyNumberFormat="1" applyFont="1" applyBorder="1" applyProtection="1">
      <protection locked="0"/>
    </xf>
    <xf numFmtId="165" fontId="14" fillId="0" borderId="14" xfId="42" applyNumberFormat="1" applyFont="1" applyFill="1" applyBorder="1" applyProtection="1">
      <protection locked="0"/>
    </xf>
    <xf numFmtId="173" fontId="14" fillId="0" borderId="14" xfId="29" applyNumberFormat="1" applyFont="1" applyBorder="1" applyProtection="1">
      <protection locked="0"/>
    </xf>
    <xf numFmtId="10" fontId="14" fillId="0" borderId="14" xfId="42" applyNumberFormat="1" applyFont="1" applyBorder="1" applyProtection="1">
      <protection locked="0"/>
    </xf>
    <xf numFmtId="0" fontId="14" fillId="64" borderId="0" xfId="46" applyFill="1" applyBorder="1" applyProtection="1">
      <protection locked="0"/>
    </xf>
    <xf numFmtId="165" fontId="14" fillId="0" borderId="0" xfId="42" applyNumberFormat="1" applyFont="1" applyBorder="1" applyProtection="1">
      <protection locked="0"/>
    </xf>
    <xf numFmtId="165" fontId="14" fillId="0" borderId="0" xfId="42" applyNumberFormat="1" applyFont="1" applyFill="1" applyBorder="1" applyProtection="1">
      <protection locked="0"/>
    </xf>
    <xf numFmtId="173" fontId="14" fillId="0" borderId="0" xfId="46" applyNumberFormat="1" applyBorder="1" applyProtection="1">
      <protection locked="0"/>
    </xf>
    <xf numFmtId="10" fontId="14" fillId="0" borderId="0" xfId="42" applyNumberFormat="1" applyFont="1" applyBorder="1" applyProtection="1">
      <protection locked="0"/>
    </xf>
    <xf numFmtId="0" fontId="17" fillId="0" borderId="0" xfId="46" applyFont="1" applyBorder="1" applyAlignment="1" applyProtection="1">
      <protection locked="0"/>
    </xf>
    <xf numFmtId="0" fontId="14" fillId="0" borderId="0" xfId="46" applyBorder="1" applyAlignment="1" applyProtection="1">
      <protection locked="0"/>
    </xf>
    <xf numFmtId="0" fontId="14" fillId="0" borderId="0" xfId="46" quotePrefix="1" applyBorder="1" applyAlignment="1" applyProtection="1">
      <protection locked="0"/>
    </xf>
    <xf numFmtId="10" fontId="14" fillId="29" borderId="0" xfId="42" applyNumberFormat="1" applyFont="1" applyFill="1" applyBorder="1" applyAlignment="1" applyProtection="1">
      <protection locked="0"/>
    </xf>
    <xf numFmtId="10" fontId="14" fillId="0" borderId="0" xfId="42" applyNumberFormat="1" applyFont="1" applyFill="1" applyBorder="1" applyAlignment="1" applyProtection="1">
      <protection locked="0"/>
    </xf>
    <xf numFmtId="173" fontId="14" fillId="0" borderId="0" xfId="29" applyNumberFormat="1" applyFont="1" applyBorder="1" applyAlignment="1" applyProtection="1">
      <protection locked="0"/>
    </xf>
    <xf numFmtId="10" fontId="14" fillId="29" borderId="12" xfId="42" applyNumberFormat="1" applyFont="1" applyFill="1" applyBorder="1" applyAlignment="1" applyProtection="1">
      <protection locked="0"/>
    </xf>
    <xf numFmtId="173" fontId="14" fillId="0" borderId="12" xfId="29" applyNumberFormat="1" applyFont="1" applyBorder="1" applyAlignment="1" applyProtection="1">
      <protection locked="0"/>
    </xf>
    <xf numFmtId="165" fontId="14" fillId="0" borderId="120" xfId="46" applyNumberFormat="1" applyBorder="1" applyProtection="1">
      <protection locked="0"/>
    </xf>
    <xf numFmtId="9" fontId="14" fillId="0" borderId="120" xfId="46" applyNumberFormat="1" applyBorder="1" applyProtection="1">
      <protection locked="0"/>
    </xf>
    <xf numFmtId="173" fontId="14" fillId="29" borderId="120" xfId="29" applyNumberFormat="1" applyFont="1" applyFill="1" applyBorder="1" applyProtection="1">
      <protection locked="0"/>
    </xf>
    <xf numFmtId="10" fontId="14" fillId="0" borderId="120" xfId="42" applyNumberFormat="1" applyFont="1" applyBorder="1" applyProtection="1">
      <protection locked="0"/>
    </xf>
    <xf numFmtId="173" fontId="14" fillId="0" borderId="120" xfId="29" applyNumberFormat="1" applyFont="1" applyBorder="1" applyProtection="1">
      <protection locked="0"/>
    </xf>
    <xf numFmtId="0" fontId="17" fillId="0" borderId="0" xfId="46" quotePrefix="1" applyFont="1" applyAlignment="1" applyProtection="1">
      <alignment horizontal="center" vertical="center"/>
      <protection locked="0"/>
    </xf>
    <xf numFmtId="0" fontId="17" fillId="0" borderId="0" xfId="0" applyFont="1" applyAlignment="1" applyProtection="1">
      <protection locked="0"/>
    </xf>
    <xf numFmtId="0" fontId="17" fillId="0" borderId="0" xfId="0" applyFont="1" applyAlignment="1" applyProtection="1">
      <alignment horizontal="left" indent="4"/>
      <protection locked="0"/>
    </xf>
    <xf numFmtId="0" fontId="19" fillId="0" borderId="0" xfId="0" applyFont="1" applyAlignment="1" applyProtection="1">
      <alignment horizontal="center" vertical="center"/>
      <protection locked="0"/>
    </xf>
    <xf numFmtId="0" fontId="0" fillId="28" borderId="10" xfId="0" applyFill="1" applyBorder="1" applyProtection="1">
      <protection locked="0"/>
    </xf>
    <xf numFmtId="0" fontId="14" fillId="0" borderId="32" xfId="0" applyFont="1"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4" xfId="0" applyBorder="1" applyAlignment="1" applyProtection="1">
      <alignment horizontal="center" vertical="center" wrapText="1"/>
      <protection locked="0"/>
    </xf>
    <xf numFmtId="0" fontId="14" fillId="0" borderId="24" xfId="0" applyFont="1" applyBorder="1" applyAlignment="1" applyProtection="1">
      <alignment horizontal="center" vertical="center" wrapText="1"/>
      <protection locked="0"/>
    </xf>
    <xf numFmtId="0" fontId="14" fillId="0" borderId="62" xfId="0" applyFont="1" applyBorder="1" applyAlignment="1" applyProtection="1">
      <alignment horizontal="center" vertical="center" wrapText="1"/>
      <protection locked="0"/>
    </xf>
    <xf numFmtId="0" fontId="0" fillId="0" borderId="27" xfId="0" applyBorder="1" applyProtection="1">
      <protection locked="0"/>
    </xf>
    <xf numFmtId="171" fontId="0" fillId="29" borderId="10" xfId="0" applyNumberFormat="1" applyFill="1" applyBorder="1" applyProtection="1">
      <protection locked="0"/>
    </xf>
    <xf numFmtId="44" fontId="0" fillId="0" borderId="10" xfId="29" applyFont="1" applyFill="1" applyBorder="1" applyProtection="1">
      <protection locked="0"/>
    </xf>
    <xf numFmtId="0" fontId="0" fillId="0" borderId="25" xfId="0" applyBorder="1" applyProtection="1">
      <protection locked="0"/>
    </xf>
    <xf numFmtId="0" fontId="0" fillId="0" borderId="72" xfId="0" applyBorder="1" applyProtection="1">
      <protection locked="0"/>
    </xf>
    <xf numFmtId="0" fontId="0" fillId="0" borderId="36" xfId="0" applyBorder="1" applyProtection="1">
      <protection locked="0"/>
    </xf>
    <xf numFmtId="0" fontId="0" fillId="0" borderId="17" xfId="0" applyBorder="1" applyProtection="1">
      <protection locked="0"/>
    </xf>
    <xf numFmtId="0" fontId="0" fillId="0" borderId="38" xfId="0" applyBorder="1" applyProtection="1">
      <protection locked="0"/>
    </xf>
    <xf numFmtId="0" fontId="0" fillId="0" borderId="34" xfId="0" applyBorder="1" applyProtection="1">
      <protection locked="0"/>
    </xf>
    <xf numFmtId="0" fontId="0" fillId="0" borderId="57" xfId="0" applyBorder="1" applyProtection="1">
      <protection locked="0"/>
    </xf>
    <xf numFmtId="44" fontId="0" fillId="0" borderId="34" xfId="0" applyNumberFormat="1" applyBorder="1" applyProtection="1">
      <protection locked="0"/>
    </xf>
    <xf numFmtId="0" fontId="0" fillId="0" borderId="63" xfId="0" applyBorder="1" applyProtection="1">
      <protection locked="0"/>
    </xf>
    <xf numFmtId="0" fontId="0" fillId="0" borderId="0" xfId="0" applyAlignment="1" applyProtection="1">
      <alignment horizontal="center" vertical="top"/>
      <protection locked="0"/>
    </xf>
    <xf numFmtId="166" fontId="0" fillId="0" borderId="26" xfId="29" applyNumberFormat="1" applyFont="1" applyBorder="1" applyProtection="1">
      <protection locked="0"/>
    </xf>
    <xf numFmtId="0" fontId="14" fillId="0" borderId="0" xfId="0" applyFont="1" applyAlignment="1" applyProtection="1">
      <protection locked="0"/>
    </xf>
    <xf numFmtId="0" fontId="17" fillId="0" borderId="0" xfId="0" applyFont="1" applyFill="1" applyAlignment="1" applyProtection="1">
      <alignment horizontal="left" vertical="center"/>
      <protection locked="0"/>
    </xf>
    <xf numFmtId="0" fontId="0" fillId="0" borderId="0" xfId="0" applyFill="1" applyAlignment="1" applyProtection="1">
      <alignment horizontal="left" vertical="center"/>
      <protection locked="0"/>
    </xf>
    <xf numFmtId="169" fontId="0" fillId="0" borderId="0" xfId="0" applyNumberFormat="1" applyFill="1" applyAlignment="1" applyProtection="1">
      <alignment horizontal="left" vertical="center"/>
      <protection locked="0"/>
    </xf>
    <xf numFmtId="0" fontId="21" fillId="0" borderId="0" xfId="0" applyFont="1" applyFill="1" applyAlignment="1" applyProtection="1">
      <alignment horizontal="center" vertical="center"/>
      <protection locked="0"/>
    </xf>
    <xf numFmtId="0" fontId="82" fillId="0" borderId="0" xfId="0" applyFont="1" applyFill="1" applyAlignment="1" applyProtection="1">
      <alignment vertical="center"/>
      <protection locked="0"/>
    </xf>
    <xf numFmtId="0" fontId="19" fillId="0" borderId="0" xfId="0" applyFont="1" applyAlignment="1" applyProtection="1">
      <alignment horizontal="left"/>
      <protection locked="0"/>
    </xf>
    <xf numFmtId="0" fontId="17" fillId="0" borderId="0" xfId="0" applyFont="1" applyFill="1" applyProtection="1">
      <protection locked="0"/>
    </xf>
    <xf numFmtId="0" fontId="17" fillId="0" borderId="10" xfId="0" quotePrefix="1" applyFont="1" applyFill="1" applyBorder="1" applyAlignment="1" applyProtection="1">
      <alignment horizontal="center"/>
      <protection locked="0"/>
    </xf>
    <xf numFmtId="0" fontId="17" fillId="0" borderId="10" xfId="0" quotePrefix="1" applyFont="1" applyBorder="1" applyAlignment="1" applyProtection="1">
      <alignment horizontal="center"/>
      <protection locked="0"/>
    </xf>
    <xf numFmtId="0" fontId="14" fillId="0" borderId="110" xfId="0" applyFont="1" applyBorder="1" applyProtection="1">
      <protection locked="0"/>
    </xf>
    <xf numFmtId="0" fontId="17" fillId="0" borderId="10" xfId="0" applyFont="1" applyFill="1" applyBorder="1" applyAlignment="1" applyProtection="1">
      <alignment vertical="center"/>
      <protection locked="0"/>
    </xf>
    <xf numFmtId="0" fontId="17" fillId="0" borderId="10" xfId="0" applyFont="1" applyFill="1" applyBorder="1" applyAlignment="1" applyProtection="1">
      <alignment horizontal="left" vertical="top" wrapText="1"/>
      <protection locked="0"/>
    </xf>
    <xf numFmtId="0" fontId="14" fillId="0" borderId="10" xfId="0" quotePrefix="1" applyFont="1" applyBorder="1" applyAlignment="1" applyProtection="1">
      <alignment horizontal="center" vertical="center"/>
      <protection locked="0"/>
    </xf>
    <xf numFmtId="0" fontId="14" fillId="0" borderId="10" xfId="0" applyFont="1" applyBorder="1" applyAlignment="1" applyProtection="1">
      <alignment horizontal="left" vertical="top" wrapText="1" indent="1"/>
      <protection locked="0"/>
    </xf>
    <xf numFmtId="44" fontId="14" fillId="29" borderId="10" xfId="29" applyFont="1" applyFill="1" applyBorder="1" applyAlignment="1" applyProtection="1">
      <alignment vertical="center"/>
      <protection locked="0"/>
    </xf>
    <xf numFmtId="44" fontId="14" fillId="0" borderId="10" xfId="29" applyFont="1" applyBorder="1" applyAlignment="1" applyProtection="1">
      <alignment vertical="center"/>
      <protection locked="0"/>
    </xf>
    <xf numFmtId="0" fontId="17" fillId="0" borderId="0" xfId="0" applyFont="1" applyFill="1" applyAlignment="1" applyProtection="1">
      <alignment horizontal="center"/>
      <protection locked="0"/>
    </xf>
    <xf numFmtId="0" fontId="17" fillId="29" borderId="10" xfId="0" applyFont="1" applyFill="1" applyBorder="1" applyAlignment="1" applyProtection="1">
      <alignment horizontal="left" vertical="top" wrapText="1" indent="1"/>
      <protection locked="0"/>
    </xf>
    <xf numFmtId="0" fontId="14" fillId="0" borderId="10" xfId="0" applyFont="1" applyFill="1" applyBorder="1" applyAlignment="1" applyProtection="1">
      <alignment horizontal="left" vertical="top" wrapText="1" indent="1"/>
      <protection locked="0"/>
    </xf>
    <xf numFmtId="0" fontId="14" fillId="0" borderId="0" xfId="0" applyFont="1" applyFill="1" applyAlignment="1" applyProtection="1">
      <protection locked="0"/>
    </xf>
    <xf numFmtId="0" fontId="14" fillId="0" borderId="13" xfId="0" applyFont="1" applyBorder="1" applyAlignment="1" applyProtection="1">
      <alignment horizontal="left" vertical="top" wrapText="1" indent="1"/>
      <protection locked="0"/>
    </xf>
    <xf numFmtId="0" fontId="14" fillId="0" borderId="13" xfId="0" applyFont="1" applyBorder="1" applyAlignment="1" applyProtection="1">
      <alignment vertical="center"/>
      <protection locked="0"/>
    </xf>
    <xf numFmtId="0" fontId="17" fillId="0" borderId="10" xfId="0" applyFont="1" applyBorder="1" applyAlignment="1" applyProtection="1">
      <alignment vertical="center"/>
      <protection locked="0"/>
    </xf>
    <xf numFmtId="0" fontId="17" fillId="0" borderId="110" xfId="0" applyFont="1" applyBorder="1" applyAlignment="1" applyProtection="1">
      <alignment vertical="center"/>
      <protection locked="0"/>
    </xf>
    <xf numFmtId="0" fontId="14" fillId="0" borderId="10" xfId="0" applyFont="1" applyBorder="1" applyAlignment="1" applyProtection="1">
      <alignment vertical="center" wrapText="1"/>
      <protection locked="0"/>
    </xf>
    <xf numFmtId="0" fontId="14" fillId="0" borderId="10" xfId="0" applyFont="1" applyBorder="1" applyAlignment="1" applyProtection="1">
      <alignment horizontal="center" vertical="center"/>
      <protection locked="0"/>
    </xf>
    <xf numFmtId="43" fontId="14" fillId="29" borderId="10" xfId="28" applyFont="1" applyFill="1" applyBorder="1" applyProtection="1">
      <protection locked="0"/>
    </xf>
    <xf numFmtId="167" fontId="14" fillId="29" borderId="10" xfId="28" applyNumberFormat="1" applyFont="1" applyFill="1" applyBorder="1" applyProtection="1">
      <protection locked="0"/>
    </xf>
    <xf numFmtId="10" fontId="14" fillId="0" borderId="10" xfId="42" applyNumberFormat="1" applyFont="1" applyBorder="1" applyProtection="1">
      <protection locked="0"/>
    </xf>
    <xf numFmtId="0" fontId="14" fillId="0" borderId="10" xfId="0" applyFont="1" applyFill="1" applyBorder="1" applyAlignment="1" applyProtection="1">
      <alignment vertical="center" wrapText="1"/>
      <protection locked="0"/>
    </xf>
    <xf numFmtId="0" fontId="17" fillId="0" borderId="10" xfId="0" applyFont="1" applyBorder="1" applyAlignment="1" applyProtection="1">
      <alignment horizontal="left" vertical="center"/>
      <protection locked="0"/>
    </xf>
    <xf numFmtId="0" fontId="14" fillId="0" borderId="10" xfId="0" applyFont="1" applyBorder="1" applyProtection="1">
      <protection locked="0"/>
    </xf>
    <xf numFmtId="0" fontId="14" fillId="0" borderId="10" xfId="0" quotePrefix="1" applyFont="1" applyBorder="1" applyAlignment="1" applyProtection="1">
      <alignment horizontal="center"/>
      <protection locked="0"/>
    </xf>
    <xf numFmtId="0" fontId="14" fillId="0" borderId="10" xfId="0" quotePrefix="1" applyFont="1" applyFill="1" applyBorder="1" applyAlignment="1" applyProtection="1">
      <alignment horizontal="center"/>
      <protection locked="0"/>
    </xf>
    <xf numFmtId="0" fontId="17" fillId="0" borderId="0" xfId="0" applyFont="1" applyBorder="1" applyAlignment="1" applyProtection="1">
      <alignment vertical="center"/>
      <protection locked="0"/>
    </xf>
    <xf numFmtId="168" fontId="14" fillId="0" borderId="10" xfId="29" applyNumberFormat="1" applyFont="1" applyBorder="1" applyProtection="1">
      <protection locked="0"/>
    </xf>
    <xf numFmtId="44" fontId="14" fillId="0" borderId="10" xfId="0" applyNumberFormat="1" applyFont="1" applyBorder="1" applyProtection="1">
      <protection locked="0"/>
    </xf>
    <xf numFmtId="168" fontId="14" fillId="0" borderId="10" xfId="0" applyNumberFormat="1" applyFont="1" applyBorder="1" applyProtection="1">
      <protection locked="0"/>
    </xf>
    <xf numFmtId="4" fontId="14" fillId="0" borderId="10" xfId="42" applyNumberFormat="1" applyFont="1" applyBorder="1" applyProtection="1">
      <protection locked="0"/>
    </xf>
    <xf numFmtId="4" fontId="14" fillId="0" borderId="10" xfId="0" applyNumberFormat="1" applyFont="1" applyBorder="1" applyProtection="1">
      <protection locked="0"/>
    </xf>
    <xf numFmtId="0" fontId="17" fillId="0" borderId="10" xfId="0" applyFont="1" applyBorder="1" applyAlignment="1" applyProtection="1">
      <alignment vertical="center" wrapText="1"/>
      <protection locked="0"/>
    </xf>
    <xf numFmtId="44" fontId="17" fillId="0" borderId="10" xfId="0" applyNumberFormat="1" applyFont="1" applyBorder="1" applyProtection="1">
      <protection locked="0"/>
    </xf>
    <xf numFmtId="168" fontId="17" fillId="0" borderId="10" xfId="29" applyNumberFormat="1" applyFont="1" applyBorder="1" applyProtection="1">
      <protection locked="0"/>
    </xf>
    <xf numFmtId="168" fontId="17" fillId="0" borderId="10" xfId="0" applyNumberFormat="1" applyFont="1" applyBorder="1" applyProtection="1">
      <protection locked="0"/>
    </xf>
    <xf numFmtId="4" fontId="17" fillId="0" borderId="10" xfId="0" applyNumberFormat="1" applyFont="1" applyFill="1" applyBorder="1" applyAlignment="1" applyProtection="1">
      <alignment vertical="center"/>
      <protection locked="0"/>
    </xf>
    <xf numFmtId="0" fontId="14" fillId="0" borderId="30" xfId="0" applyFont="1" applyBorder="1" applyProtection="1">
      <protection locked="0"/>
    </xf>
    <xf numFmtId="0" fontId="17" fillId="0" borderId="43" xfId="0" quotePrefix="1" applyFont="1" applyBorder="1" applyAlignment="1" applyProtection="1">
      <alignment horizontal="center"/>
      <protection locked="0"/>
    </xf>
    <xf numFmtId="0" fontId="17" fillId="0" borderId="45" xfId="0" quotePrefix="1" applyFont="1" applyBorder="1" applyAlignment="1" applyProtection="1">
      <alignment horizontal="center"/>
      <protection locked="0"/>
    </xf>
    <xf numFmtId="0" fontId="14" fillId="0" borderId="40" xfId="0" applyFont="1" applyBorder="1" applyProtection="1">
      <protection locked="0"/>
    </xf>
    <xf numFmtId="0" fontId="17" fillId="0" borderId="40" xfId="0" applyFont="1" applyBorder="1" applyAlignment="1" applyProtection="1">
      <alignment horizontal="center"/>
      <protection locked="0"/>
    </xf>
    <xf numFmtId="0" fontId="17" fillId="0" borderId="29" xfId="0" applyFont="1" applyBorder="1" applyAlignment="1" applyProtection="1">
      <alignment horizontal="center"/>
      <protection locked="0"/>
    </xf>
    <xf numFmtId="0" fontId="14" fillId="0" borderId="29" xfId="0" applyFont="1" applyBorder="1" applyProtection="1">
      <protection locked="0"/>
    </xf>
    <xf numFmtId="0" fontId="14" fillId="0" borderId="41" xfId="0" applyFont="1" applyBorder="1" applyProtection="1">
      <protection locked="0"/>
    </xf>
    <xf numFmtId="0" fontId="14" fillId="0" borderId="41" xfId="0" quotePrefix="1" applyFont="1" applyBorder="1" applyAlignment="1" applyProtection="1">
      <alignment horizontal="center"/>
      <protection locked="0"/>
    </xf>
    <xf numFmtId="0" fontId="14" fillId="0" borderId="29" xfId="0" quotePrefix="1" applyFont="1" applyBorder="1" applyAlignment="1" applyProtection="1">
      <alignment horizontal="center"/>
      <protection locked="0"/>
    </xf>
    <xf numFmtId="0" fontId="14" fillId="0" borderId="41" xfId="0" applyFont="1" applyBorder="1" applyAlignment="1" applyProtection="1">
      <alignment horizontal="center"/>
      <protection locked="0"/>
    </xf>
    <xf numFmtId="0" fontId="14" fillId="0" borderId="43" xfId="0" applyFont="1" applyBorder="1" applyProtection="1">
      <protection locked="0"/>
    </xf>
    <xf numFmtId="10" fontId="14" fillId="29" borderId="42" xfId="42" applyNumberFormat="1" applyFont="1" applyFill="1" applyBorder="1" applyProtection="1">
      <protection locked="0"/>
    </xf>
    <xf numFmtId="10" fontId="14" fillId="29" borderId="41" xfId="42" applyNumberFormat="1" applyFont="1" applyFill="1" applyBorder="1" applyProtection="1">
      <protection locked="0"/>
    </xf>
    <xf numFmtId="10" fontId="14" fillId="29" borderId="31" xfId="42" applyNumberFormat="1" applyFont="1" applyFill="1" applyBorder="1" applyProtection="1">
      <protection locked="0"/>
    </xf>
    <xf numFmtId="0" fontId="14" fillId="0" borderId="44" xfId="0" applyFont="1" applyBorder="1" applyProtection="1">
      <protection locked="0"/>
    </xf>
    <xf numFmtId="10" fontId="14" fillId="0" borderId="44" xfId="42" applyNumberFormat="1" applyFont="1" applyBorder="1" applyProtection="1">
      <protection locked="0"/>
    </xf>
    <xf numFmtId="0" fontId="14" fillId="0" borderId="22" xfId="0" applyFont="1" applyBorder="1" applyProtection="1">
      <protection locked="0"/>
    </xf>
    <xf numFmtId="9" fontId="14" fillId="29" borderId="22" xfId="42" applyFont="1" applyFill="1" applyBorder="1" applyProtection="1">
      <protection locked="0"/>
    </xf>
    <xf numFmtId="0" fontId="17" fillId="0" borderId="41" xfId="0" applyFont="1" applyBorder="1" applyProtection="1">
      <protection locked="0"/>
    </xf>
    <xf numFmtId="10" fontId="14" fillId="0" borderId="41" xfId="42" applyNumberFormat="1" applyFont="1" applyBorder="1" applyProtection="1">
      <protection locked="0"/>
    </xf>
    <xf numFmtId="0" fontId="14" fillId="0" borderId="31" xfId="0" applyFont="1" applyBorder="1" applyProtection="1">
      <protection locked="0"/>
    </xf>
    <xf numFmtId="0" fontId="17" fillId="29" borderId="10" xfId="0" applyFont="1" applyFill="1" applyBorder="1" applyAlignment="1" applyProtection="1">
      <alignment horizontal="center" vertical="center"/>
      <protection locked="0"/>
    </xf>
    <xf numFmtId="0" fontId="0" fillId="0" borderId="27" xfId="0" applyFill="1" applyBorder="1" applyProtection="1">
      <protection locked="0"/>
    </xf>
    <xf numFmtId="0" fontId="17" fillId="0" borderId="27" xfId="0" applyFont="1" applyBorder="1" applyAlignment="1" applyProtection="1">
      <alignment vertical="top"/>
      <protection locked="0"/>
    </xf>
    <xf numFmtId="167" fontId="0" fillId="29" borderId="10" xfId="28" applyNumberFormat="1" applyFont="1" applyFill="1" applyBorder="1" applyAlignment="1" applyProtection="1">
      <alignment horizontal="right" vertical="center"/>
      <protection locked="0"/>
    </xf>
    <xf numFmtId="167" fontId="0" fillId="0" borderId="25" xfId="28" applyNumberFormat="1" applyFont="1" applyBorder="1" applyAlignment="1" applyProtection="1">
      <alignment horizontal="right" vertical="center"/>
      <protection locked="0"/>
    </xf>
    <xf numFmtId="167" fontId="0" fillId="0" borderId="10" xfId="28" applyNumberFormat="1" applyFont="1" applyFill="1" applyBorder="1" applyAlignment="1" applyProtection="1">
      <alignment horizontal="right" vertical="center"/>
      <protection locked="0"/>
    </xf>
    <xf numFmtId="167" fontId="0" fillId="0" borderId="25" xfId="28" applyNumberFormat="1" applyFont="1" applyFill="1" applyBorder="1" applyAlignment="1" applyProtection="1">
      <alignment horizontal="right" vertical="center"/>
      <protection locked="0"/>
    </xf>
    <xf numFmtId="167" fontId="14" fillId="29" borderId="10" xfId="28" applyNumberFormat="1" applyFont="1" applyFill="1" applyBorder="1" applyAlignment="1" applyProtection="1">
      <alignment horizontal="right" vertical="center"/>
      <protection locked="0"/>
    </xf>
    <xf numFmtId="179" fontId="0" fillId="0" borderId="10" xfId="0" applyNumberFormat="1" applyFill="1" applyBorder="1" applyAlignment="1" applyProtection="1">
      <alignment horizontal="right" vertical="center"/>
      <protection locked="0"/>
    </xf>
    <xf numFmtId="0" fontId="0" fillId="0" borderId="27" xfId="0" applyFill="1" applyBorder="1" applyAlignment="1" applyProtection="1">
      <alignment vertical="top"/>
      <protection locked="0"/>
    </xf>
    <xf numFmtId="179" fontId="0" fillId="29" borderId="10" xfId="0" applyNumberFormat="1" applyFill="1" applyBorder="1" applyAlignment="1" applyProtection="1">
      <alignment horizontal="right" vertical="center"/>
      <protection locked="0"/>
    </xf>
    <xf numFmtId="179" fontId="0" fillId="0" borderId="25" xfId="0" applyNumberFormat="1" applyBorder="1" applyAlignment="1" applyProtection="1">
      <alignment horizontal="right" vertical="center"/>
      <protection locked="0"/>
    </xf>
    <xf numFmtId="0" fontId="0" fillId="0" borderId="28" xfId="0" applyBorder="1" applyAlignment="1" applyProtection="1">
      <alignment vertical="top"/>
      <protection locked="0"/>
    </xf>
    <xf numFmtId="179" fontId="0" fillId="0" borderId="26" xfId="0" applyNumberFormat="1" applyBorder="1" applyAlignment="1" applyProtection="1">
      <alignment horizontal="right" vertical="center"/>
      <protection locked="0"/>
    </xf>
    <xf numFmtId="179" fontId="0" fillId="0" borderId="63" xfId="0" applyNumberFormat="1" applyBorder="1" applyAlignment="1" applyProtection="1">
      <alignment horizontal="right" vertical="center"/>
      <protection locked="0"/>
    </xf>
    <xf numFmtId="0" fontId="37" fillId="0" borderId="0" xfId="0" applyFont="1" applyAlignment="1" applyProtection="1">
      <alignment horizontal="center"/>
      <protection locked="0"/>
    </xf>
    <xf numFmtId="0" fontId="37" fillId="0" borderId="0" xfId="0" applyFont="1" applyProtection="1">
      <protection locked="0"/>
    </xf>
    <xf numFmtId="0" fontId="17" fillId="0" borderId="32" xfId="0" applyFont="1" applyFill="1" applyBorder="1" applyAlignment="1" applyProtection="1">
      <alignment horizontal="center" vertical="center"/>
      <protection locked="0"/>
    </xf>
    <xf numFmtId="0" fontId="17" fillId="0" borderId="24" xfId="0" applyFont="1" applyFill="1" applyBorder="1" applyAlignment="1" applyProtection="1">
      <alignment horizontal="center" vertical="center"/>
      <protection locked="0"/>
    </xf>
    <xf numFmtId="0" fontId="17" fillId="0" borderId="62" xfId="0" applyFont="1" applyFill="1" applyBorder="1" applyAlignment="1" applyProtection="1">
      <alignment horizontal="center" vertical="center" wrapText="1"/>
      <protection locked="0"/>
    </xf>
    <xf numFmtId="0" fontId="17" fillId="0" borderId="27" xfId="0" applyFont="1" applyFill="1" applyBorder="1" applyAlignment="1" applyProtection="1">
      <alignment horizontal="center"/>
      <protection locked="0"/>
    </xf>
    <xf numFmtId="0" fontId="17" fillId="0" borderId="25" xfId="0" quotePrefix="1" applyFont="1" applyFill="1" applyBorder="1" applyAlignment="1" applyProtection="1">
      <alignment horizontal="center"/>
      <protection locked="0"/>
    </xf>
    <xf numFmtId="0" fontId="0" fillId="0" borderId="27" xfId="0" applyBorder="1" applyAlignment="1" applyProtection="1">
      <alignment horizontal="center"/>
      <protection locked="0"/>
    </xf>
    <xf numFmtId="0" fontId="0" fillId="0" borderId="10" xfId="0" applyBorder="1" applyAlignment="1" applyProtection="1">
      <alignment horizontal="center"/>
      <protection locked="0"/>
    </xf>
    <xf numFmtId="166" fontId="0" fillId="0" borderId="25" xfId="29" applyNumberFormat="1" applyFont="1" applyBorder="1" applyProtection="1">
      <protection locked="0"/>
    </xf>
    <xf numFmtId="0" fontId="0" fillId="0" borderId="90"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28" xfId="0" applyBorder="1" applyAlignment="1" applyProtection="1">
      <alignment horizontal="center"/>
      <protection locked="0"/>
    </xf>
    <xf numFmtId="0" fontId="0" fillId="0" borderId="26" xfId="0" quotePrefix="1" applyBorder="1" applyAlignment="1" applyProtection="1">
      <alignment horizontal="center"/>
      <protection locked="0"/>
    </xf>
    <xf numFmtId="166" fontId="0" fillId="29" borderId="26" xfId="29" applyNumberFormat="1" applyFont="1" applyFill="1" applyBorder="1" applyProtection="1">
      <protection locked="0"/>
    </xf>
    <xf numFmtId="166" fontId="0" fillId="0" borderId="63" xfId="29" applyNumberFormat="1" applyFont="1" applyBorder="1" applyProtection="1">
      <protection locked="0"/>
    </xf>
    <xf numFmtId="0" fontId="0" fillId="0" borderId="0" xfId="0" quotePrefix="1" applyProtection="1">
      <protection locked="0"/>
    </xf>
    <xf numFmtId="0" fontId="42" fillId="0" borderId="0" xfId="0" applyFont="1" applyProtection="1">
      <protection locked="0"/>
    </xf>
    <xf numFmtId="0" fontId="14" fillId="0" borderId="69" xfId="46" applyBorder="1" applyProtection="1">
      <protection locked="0"/>
    </xf>
    <xf numFmtId="0" fontId="17" fillId="0" borderId="74" xfId="46" applyFont="1" applyFill="1" applyBorder="1" applyAlignment="1" applyProtection="1">
      <alignment horizontal="center"/>
      <protection locked="0"/>
    </xf>
    <xf numFmtId="0" fontId="14" fillId="0" borderId="15" xfId="46" applyBorder="1" applyProtection="1">
      <protection locked="0"/>
    </xf>
    <xf numFmtId="0" fontId="17" fillId="0" borderId="67" xfId="46" applyFont="1" applyFill="1" applyBorder="1" applyAlignment="1" applyProtection="1">
      <alignment horizontal="center"/>
      <protection locked="0"/>
    </xf>
    <xf numFmtId="0" fontId="14" fillId="0" borderId="34" xfId="46" applyBorder="1" applyProtection="1">
      <protection locked="0"/>
    </xf>
    <xf numFmtId="0" fontId="17" fillId="64" borderId="67" xfId="46" applyFont="1" applyFill="1" applyBorder="1" applyAlignment="1" applyProtection="1">
      <alignment horizontal="center"/>
      <protection locked="0"/>
    </xf>
    <xf numFmtId="0" fontId="17" fillId="64" borderId="64" xfId="46" applyFont="1" applyFill="1" applyBorder="1" applyAlignment="1" applyProtection="1">
      <alignment horizontal="center"/>
      <protection locked="0"/>
    </xf>
    <xf numFmtId="166" fontId="14" fillId="0" borderId="25" xfId="29" applyNumberFormat="1" applyFill="1" applyBorder="1" applyProtection="1">
      <protection locked="0"/>
    </xf>
    <xf numFmtId="166" fontId="14" fillId="29" borderId="160" xfId="29" applyNumberFormat="1" applyFill="1" applyBorder="1" applyProtection="1">
      <protection locked="0"/>
    </xf>
    <xf numFmtId="166" fontId="14" fillId="0" borderId="35" xfId="29" applyNumberFormat="1" applyBorder="1" applyProtection="1">
      <protection locked="0"/>
    </xf>
    <xf numFmtId="0" fontId="17" fillId="0" borderId="41" xfId="46" applyFont="1" applyFill="1" applyBorder="1" applyAlignment="1" applyProtection="1">
      <alignment horizontal="center"/>
      <protection locked="0"/>
    </xf>
    <xf numFmtId="0" fontId="17" fillId="0" borderId="35" xfId="46" applyFont="1" applyFill="1" applyBorder="1" applyAlignment="1" applyProtection="1">
      <alignment horizontal="center"/>
      <protection locked="0"/>
    </xf>
    <xf numFmtId="0" fontId="17" fillId="0" borderId="46" xfId="46" applyFont="1" applyFill="1" applyBorder="1" applyAlignment="1" applyProtection="1">
      <alignment horizontal="center"/>
      <protection locked="0"/>
    </xf>
    <xf numFmtId="0" fontId="14" fillId="0" borderId="30" xfId="46" applyFill="1" applyBorder="1" applyAlignment="1" applyProtection="1">
      <protection locked="0"/>
    </xf>
    <xf numFmtId="0" fontId="14" fillId="0" borderId="31" xfId="46" applyFill="1" applyBorder="1" applyAlignment="1" applyProtection="1">
      <protection locked="0"/>
    </xf>
    <xf numFmtId="166" fontId="14" fillId="29" borderId="64" xfId="29" applyNumberFormat="1" applyFill="1" applyBorder="1" applyProtection="1">
      <protection locked="0"/>
    </xf>
    <xf numFmtId="166" fontId="14" fillId="0" borderId="64" xfId="29" applyNumberFormat="1" applyFill="1" applyBorder="1" applyProtection="1">
      <protection locked="0"/>
    </xf>
    <xf numFmtId="166" fontId="14" fillId="0" borderId="128" xfId="29" applyNumberFormat="1" applyFill="1" applyBorder="1" applyProtection="1">
      <protection locked="0"/>
    </xf>
    <xf numFmtId="166" fontId="14" fillId="0" borderId="37" xfId="29" applyNumberFormat="1" applyFill="1" applyBorder="1" applyProtection="1">
      <protection locked="0"/>
    </xf>
    <xf numFmtId="0" fontId="17" fillId="0" borderId="0" xfId="0" applyFont="1" applyAlignment="1" applyProtection="1">
      <alignment horizontal="center" vertical="center"/>
      <protection locked="0"/>
    </xf>
    <xf numFmtId="0" fontId="14" fillId="0" borderId="0" xfId="46" applyFont="1" applyAlignment="1" applyProtection="1">
      <alignment vertical="center" wrapText="1"/>
      <protection locked="0"/>
    </xf>
    <xf numFmtId="0" fontId="0" fillId="0" borderId="10" xfId="0" applyBorder="1" applyAlignment="1" applyProtection="1">
      <alignment horizontal="center" vertical="center"/>
      <protection locked="0"/>
    </xf>
    <xf numFmtId="42" fontId="14" fillId="29" borderId="151" xfId="0" applyNumberFormat="1" applyFont="1" applyFill="1" applyBorder="1" applyAlignment="1" applyProtection="1">
      <alignment horizontal="center" vertical="center" wrapText="1"/>
      <protection locked="0"/>
    </xf>
    <xf numFmtId="42" fontId="14" fillId="29" borderId="152" xfId="0" applyNumberFormat="1" applyFont="1" applyFill="1" applyBorder="1" applyAlignment="1" applyProtection="1">
      <alignment horizontal="center" vertical="center" wrapText="1"/>
      <protection locked="0"/>
    </xf>
    <xf numFmtId="42" fontId="14" fillId="29" borderId="153" xfId="0" applyNumberFormat="1" applyFont="1" applyFill="1" applyBorder="1" applyAlignment="1" applyProtection="1">
      <alignment horizontal="center" vertical="center" wrapText="1"/>
      <protection locked="0"/>
    </xf>
    <xf numFmtId="0" fontId="17" fillId="64" borderId="0" xfId="46" applyFont="1" applyFill="1" applyAlignment="1" applyProtection="1">
      <alignment horizontal="left"/>
      <protection locked="0"/>
    </xf>
    <xf numFmtId="0" fontId="21" fillId="0" borderId="0" xfId="0" applyFont="1" applyAlignment="1" applyProtection="1">
      <alignment horizontal="center"/>
      <protection locked="0"/>
    </xf>
    <xf numFmtId="0" fontId="14" fillId="0" borderId="0" xfId="0" applyFont="1" applyAlignment="1" applyProtection="1">
      <alignment horizontal="left" vertical="top" wrapText="1"/>
      <protection locked="0"/>
    </xf>
    <xf numFmtId="0" fontId="14" fillId="0" borderId="44" xfId="0" applyFont="1" applyFill="1" applyBorder="1" applyAlignment="1" applyProtection="1">
      <alignment horizontal="center" vertical="center" wrapText="1"/>
      <protection locked="0"/>
    </xf>
    <xf numFmtId="0" fontId="14" fillId="0" borderId="0" xfId="46" applyFont="1" applyAlignment="1" applyProtection="1">
      <alignment horizontal="left" vertical="center" wrapText="1"/>
      <protection locked="0"/>
    </xf>
    <xf numFmtId="0" fontId="21" fillId="0" borderId="0" xfId="46" applyFont="1" applyAlignment="1" applyProtection="1">
      <alignment horizontal="center"/>
      <protection locked="0"/>
    </xf>
    <xf numFmtId="0" fontId="14" fillId="0" borderId="0" xfId="46" applyAlignment="1" applyProtection="1">
      <alignment horizontal="left" wrapText="1"/>
      <protection locked="0"/>
    </xf>
    <xf numFmtId="0" fontId="20" fillId="0" borderId="0" xfId="46" applyFont="1" applyAlignment="1" applyProtection="1">
      <alignment horizontal="left"/>
      <protection locked="0"/>
    </xf>
    <xf numFmtId="0" fontId="14" fillId="0" borderId="0" xfId="46" applyFont="1" applyAlignment="1" applyProtection="1">
      <alignment horizontal="left" wrapText="1"/>
      <protection locked="0"/>
    </xf>
    <xf numFmtId="0" fontId="20" fillId="0" borderId="0" xfId="46" applyFont="1" applyFill="1" applyAlignment="1" applyProtection="1">
      <alignment horizontal="left"/>
      <protection locked="0"/>
    </xf>
    <xf numFmtId="0" fontId="14" fillId="0" borderId="0" xfId="46" applyFont="1" applyAlignment="1" applyProtection="1">
      <alignment horizontal="left" vertical="top" wrapText="1"/>
      <protection locked="0"/>
    </xf>
    <xf numFmtId="0" fontId="21" fillId="0" borderId="0" xfId="46" applyFont="1" applyAlignment="1" applyProtection="1">
      <alignment horizontal="center" vertical="top"/>
      <protection locked="0"/>
    </xf>
    <xf numFmtId="0" fontId="90" fillId="63" borderId="10" xfId="46" applyFont="1" applyFill="1" applyBorder="1" applyAlignment="1" applyProtection="1">
      <alignment horizontal="center" vertical="center" wrapText="1"/>
      <protection locked="0"/>
    </xf>
    <xf numFmtId="0" fontId="17" fillId="63" borderId="10" xfId="46" applyFont="1" applyFill="1" applyBorder="1" applyAlignment="1" applyProtection="1">
      <alignment horizontal="center" vertical="center"/>
      <protection locked="0"/>
    </xf>
    <xf numFmtId="0" fontId="21" fillId="0" borderId="0" xfId="46" applyFont="1" applyBorder="1" applyAlignment="1" applyProtection="1">
      <alignment horizontal="center" vertical="center" wrapText="1"/>
      <protection locked="0"/>
    </xf>
    <xf numFmtId="0" fontId="17" fillId="63" borderId="17" xfId="46" applyFont="1" applyFill="1" applyBorder="1" applyAlignment="1" applyProtection="1">
      <alignment horizontal="center" vertical="center"/>
      <protection locked="0"/>
    </xf>
    <xf numFmtId="0" fontId="14" fillId="0" borderId="24" xfId="46" applyBorder="1" applyAlignment="1" applyProtection="1">
      <alignment horizontal="center" vertical="center"/>
      <protection locked="0"/>
    </xf>
    <xf numFmtId="0" fontId="14" fillId="0" borderId="10" xfId="46" applyBorder="1" applyAlignment="1" applyProtection="1">
      <alignment horizontal="center" vertical="center"/>
      <protection locked="0"/>
    </xf>
    <xf numFmtId="0" fontId="14" fillId="0" borderId="10" xfId="46" applyFont="1" applyBorder="1" applyAlignment="1" applyProtection="1">
      <alignment horizontal="left" vertical="center"/>
      <protection locked="0"/>
    </xf>
    <xf numFmtId="0" fontId="14" fillId="0" borderId="10" xfId="46" applyFont="1" applyBorder="1" applyAlignment="1" applyProtection="1">
      <alignment horizontal="left"/>
      <protection locked="0"/>
    </xf>
    <xf numFmtId="0" fontId="14" fillId="0" borderId="10" xfId="46" applyBorder="1" applyAlignment="1" applyProtection="1">
      <alignment horizontal="left" vertical="center"/>
      <protection locked="0"/>
    </xf>
    <xf numFmtId="0" fontId="14" fillId="0" borderId="17" xfId="46" applyBorder="1" applyAlignment="1" applyProtection="1">
      <alignment horizontal="center" vertical="center"/>
      <protection locked="0"/>
    </xf>
    <xf numFmtId="0" fontId="14" fillId="0" borderId="19" xfId="46" applyBorder="1" applyAlignment="1" applyProtection="1">
      <alignment horizontal="center" vertical="center"/>
      <protection locked="0"/>
    </xf>
    <xf numFmtId="0" fontId="14" fillId="0" borderId="27" xfId="46" applyBorder="1" applyAlignment="1" applyProtection="1">
      <alignment horizontal="center" vertical="center"/>
      <protection locked="0"/>
    </xf>
    <xf numFmtId="0" fontId="83" fillId="0" borderId="0" xfId="46" applyFont="1" applyBorder="1" applyAlignment="1" applyProtection="1">
      <alignment horizontal="center" vertical="center"/>
      <protection locked="0"/>
    </xf>
    <xf numFmtId="0" fontId="14" fillId="0" borderId="0" xfId="46" applyFont="1" applyAlignment="1" applyProtection="1">
      <alignment vertical="top" wrapText="1"/>
      <protection locked="0"/>
    </xf>
    <xf numFmtId="0" fontId="17" fillId="0" borderId="0" xfId="46" applyFont="1" applyAlignment="1" applyProtection="1">
      <alignment horizontal="center" vertical="center" wrapText="1"/>
      <protection locked="0"/>
    </xf>
    <xf numFmtId="0" fontId="14" fillId="0" borderId="0" xfId="46" applyFont="1" applyAlignment="1" applyProtection="1">
      <alignment wrapText="1"/>
      <protection locked="0"/>
    </xf>
    <xf numFmtId="0" fontId="54" fillId="0" borderId="0" xfId="47" applyFont="1" applyAlignment="1" applyProtection="1">
      <alignment horizontal="left" vertical="center" wrapText="1"/>
      <protection locked="0"/>
    </xf>
    <xf numFmtId="0" fontId="14" fillId="0" borderId="0" xfId="46" applyAlignment="1" applyProtection="1">
      <alignment horizontal="center"/>
      <protection locked="0"/>
    </xf>
    <xf numFmtId="0" fontId="14" fillId="0" borderId="0" xfId="46" applyAlignment="1" applyProtection="1">
      <protection locked="0"/>
    </xf>
    <xf numFmtId="0" fontId="17" fillId="0" borderId="0" xfId="46" applyFont="1" applyAlignment="1" applyProtection="1">
      <alignment horizontal="center" vertical="center"/>
      <protection locked="0"/>
    </xf>
    <xf numFmtId="0" fontId="14" fillId="0" borderId="0" xfId="0" applyFont="1" applyAlignment="1" applyProtection="1">
      <alignment horizontal="left" vertical="top"/>
      <protection locked="0"/>
    </xf>
    <xf numFmtId="0" fontId="54" fillId="0" borderId="0" xfId="0" applyFont="1" applyBorder="1" applyAlignment="1" applyProtection="1">
      <alignment horizontal="left"/>
      <protection locked="0"/>
    </xf>
    <xf numFmtId="0" fontId="14" fillId="0" borderId="0" xfId="0" applyFont="1" applyFill="1" applyBorder="1" applyAlignment="1" applyProtection="1">
      <protection locked="0"/>
    </xf>
    <xf numFmtId="0" fontId="0" fillId="0" borderId="0" xfId="0" applyFill="1" applyBorder="1" applyAlignment="1" applyProtection="1">
      <protection locked="0"/>
    </xf>
    <xf numFmtId="0" fontId="48" fillId="0" borderId="42" xfId="93" applyFont="1" applyBorder="1" applyAlignment="1" applyProtection="1">
      <alignment horizontal="center" vertical="center"/>
      <protection locked="0"/>
    </xf>
    <xf numFmtId="0" fontId="0" fillId="0" borderId="0" xfId="0" applyAlignment="1" applyProtection="1">
      <alignment horizontal="left"/>
      <protection locked="0"/>
    </xf>
    <xf numFmtId="0" fontId="62" fillId="0" borderId="0" xfId="46" applyFont="1" applyFill="1" applyBorder="1" applyAlignment="1" applyProtection="1">
      <alignment horizontal="center" vertical="center" wrapText="1"/>
      <protection locked="0"/>
    </xf>
    <xf numFmtId="0" fontId="14" fillId="0" borderId="0" xfId="0" applyFont="1" applyAlignment="1" applyProtection="1">
      <alignment wrapText="1"/>
      <protection locked="0"/>
    </xf>
    <xf numFmtId="0" fontId="0" fillId="0" borderId="10" xfId="0" quotePrefix="1" applyBorder="1" applyAlignment="1" applyProtection="1">
      <alignment horizontal="center"/>
      <protection locked="0"/>
    </xf>
    <xf numFmtId="0" fontId="17" fillId="25" borderId="24" xfId="0" applyFont="1" applyFill="1" applyBorder="1" applyAlignment="1" applyProtection="1">
      <alignment horizontal="center"/>
      <protection locked="0"/>
    </xf>
    <xf numFmtId="0" fontId="17" fillId="0" borderId="0" xfId="0" applyFont="1" applyAlignment="1" applyProtection="1">
      <alignment horizontal="left" vertical="top" wrapText="1"/>
      <protection locked="0"/>
    </xf>
    <xf numFmtId="0" fontId="83" fillId="0" borderId="0" xfId="46" applyFont="1" applyAlignment="1" applyProtection="1">
      <alignment horizontal="center" vertical="center"/>
      <protection locked="0"/>
    </xf>
    <xf numFmtId="0" fontId="17" fillId="0" borderId="12" xfId="46" applyFont="1" applyBorder="1" applyAlignment="1" applyProtection="1">
      <alignment horizontal="center" vertical="center"/>
      <protection locked="0"/>
    </xf>
    <xf numFmtId="0" fontId="17" fillId="0" borderId="24" xfId="0" applyFont="1" applyFill="1" applyBorder="1" applyAlignment="1" applyProtection="1">
      <alignment horizontal="center"/>
      <protection locked="0"/>
    </xf>
    <xf numFmtId="0" fontId="17" fillId="0" borderId="10" xfId="0" applyFont="1" applyFill="1" applyBorder="1" applyAlignment="1" applyProtection="1">
      <alignment horizontal="center" vertical="center" wrapText="1"/>
      <protection locked="0"/>
    </xf>
    <xf numFmtId="0" fontId="14" fillId="0" borderId="0" xfId="0" applyFont="1" applyAlignment="1" applyProtection="1">
      <alignment vertical="top" wrapText="1"/>
      <protection locked="0"/>
    </xf>
    <xf numFmtId="0" fontId="14" fillId="0" borderId="0" xfId="46" applyAlignment="1" applyProtection="1">
      <alignment wrapText="1"/>
      <protection locked="0"/>
    </xf>
    <xf numFmtId="0" fontId="14" fillId="0" borderId="0" xfId="46" applyFont="1" applyAlignment="1" applyProtection="1">
      <alignment horizontal="center" vertical="top"/>
      <protection locked="0"/>
    </xf>
    <xf numFmtId="0" fontId="14" fillId="29" borderId="89" xfId="46" applyFill="1" applyBorder="1" applyAlignment="1" applyProtection="1">
      <alignment horizontal="left" wrapText="1"/>
      <protection locked="0"/>
    </xf>
    <xf numFmtId="0" fontId="16" fillId="0" borderId="0" xfId="46" applyFont="1" applyAlignment="1" applyProtection="1">
      <alignment horizontal="right" vertical="top"/>
      <protection locked="0"/>
    </xf>
    <xf numFmtId="0" fontId="16" fillId="29" borderId="0" xfId="46" applyFont="1" applyFill="1" applyAlignment="1" applyProtection="1">
      <alignment horizontal="right" vertical="top"/>
      <protection locked="0"/>
    </xf>
    <xf numFmtId="0" fontId="17" fillId="0" borderId="24" xfId="0" applyFont="1" applyFill="1" applyBorder="1" applyAlignment="1" applyProtection="1">
      <alignment horizontal="center"/>
      <protection locked="0"/>
    </xf>
    <xf numFmtId="0" fontId="0" fillId="28" borderId="94" xfId="0" applyNumberFormat="1" applyFill="1" applyBorder="1" applyAlignment="1" applyProtection="1">
      <alignment vertical="center"/>
      <protection locked="0"/>
    </xf>
    <xf numFmtId="0" fontId="17" fillId="64" borderId="92" xfId="46" applyFont="1" applyFill="1" applyBorder="1" applyAlignment="1" applyProtection="1">
      <alignment horizontal="center" wrapText="1"/>
      <protection locked="0"/>
    </xf>
    <xf numFmtId="0" fontId="21" fillId="0" borderId="0" xfId="46" applyFont="1" applyAlignment="1" applyProtection="1">
      <alignment horizontal="center"/>
      <protection locked="0"/>
    </xf>
    <xf numFmtId="0" fontId="61" fillId="0" borderId="0" xfId="93" applyFont="1" applyAlignment="1" applyProtection="1">
      <alignment horizontal="left"/>
      <protection locked="0"/>
    </xf>
    <xf numFmtId="166" fontId="0" fillId="0" borderId="17" xfId="29" applyNumberFormat="1" applyFont="1" applyBorder="1" applyProtection="1">
      <protection locked="0"/>
    </xf>
    <xf numFmtId="166" fontId="0" fillId="0" borderId="68" xfId="29" applyNumberFormat="1" applyFont="1" applyBorder="1" applyProtection="1">
      <protection locked="0"/>
    </xf>
    <xf numFmtId="44" fontId="0" fillId="0" borderId="29" xfId="29" applyFont="1" applyBorder="1"/>
    <xf numFmtId="0" fontId="21" fillId="0" borderId="0" xfId="46" applyFont="1" applyAlignment="1" applyProtection="1">
      <alignment horizontal="center"/>
      <protection locked="0"/>
    </xf>
    <xf numFmtId="0" fontId="14" fillId="0" borderId="0" xfId="46" applyAlignment="1" applyProtection="1">
      <alignment horizontal="left" wrapText="1"/>
      <protection locked="0"/>
    </xf>
    <xf numFmtId="0" fontId="96" fillId="0" borderId="0" xfId="46" applyFont="1" applyAlignment="1" applyProtection="1">
      <alignment horizontal="left" vertical="center" wrapText="1"/>
      <protection locked="0"/>
    </xf>
    <xf numFmtId="0" fontId="20" fillId="0" borderId="0" xfId="46" applyFont="1" applyAlignment="1" applyProtection="1">
      <alignment horizontal="left"/>
      <protection locked="0"/>
    </xf>
    <xf numFmtId="0" fontId="14" fillId="0" borderId="0" xfId="46" applyFont="1" applyFill="1" applyAlignment="1" applyProtection="1">
      <alignment horizontal="left" vertical="top" wrapText="1"/>
      <protection locked="0"/>
    </xf>
    <xf numFmtId="0" fontId="20" fillId="0" borderId="0" xfId="46" applyFont="1" applyFill="1" applyAlignment="1" applyProtection="1">
      <alignment horizontal="left"/>
      <protection locked="0"/>
    </xf>
    <xf numFmtId="0" fontId="21" fillId="0" borderId="0" xfId="46" applyFont="1" applyAlignment="1" applyProtection="1">
      <alignment horizontal="center" vertical="center" wrapText="1"/>
      <protection locked="0"/>
    </xf>
    <xf numFmtId="0" fontId="17" fillId="0" borderId="0" xfId="46" applyFont="1" applyAlignment="1" applyProtection="1">
      <alignment horizontal="center" vertical="center" wrapText="1"/>
      <protection locked="0"/>
    </xf>
    <xf numFmtId="0" fontId="19" fillId="0" borderId="0" xfId="46" applyFont="1" applyAlignment="1" applyProtection="1">
      <alignment horizontal="center"/>
      <protection locked="0"/>
    </xf>
    <xf numFmtId="0" fontId="14" fillId="0" borderId="0" xfId="46" applyBorder="1" applyAlignment="1" applyProtection="1">
      <alignment horizontal="left" vertical="center" wrapText="1"/>
      <protection locked="0"/>
    </xf>
    <xf numFmtId="0" fontId="21" fillId="0" borderId="0" xfId="46" applyFont="1" applyAlignment="1" applyProtection="1">
      <alignment horizontal="center"/>
      <protection locked="0"/>
    </xf>
    <xf numFmtId="0" fontId="17" fillId="0" borderId="0" xfId="46" applyFont="1" applyAlignment="1" applyProtection="1">
      <alignment horizontal="center" vertical="center" wrapText="1"/>
      <protection locked="0"/>
    </xf>
    <xf numFmtId="0" fontId="54" fillId="0" borderId="33" xfId="47" applyFont="1" applyBorder="1" applyAlignment="1" applyProtection="1">
      <alignment horizontal="center"/>
      <protection locked="0"/>
    </xf>
    <xf numFmtId="0" fontId="19" fillId="0" borderId="0" xfId="46" applyFont="1" applyBorder="1" applyAlignment="1" applyProtection="1">
      <alignment horizontal="center"/>
      <protection locked="0"/>
    </xf>
    <xf numFmtId="0" fontId="17" fillId="0" borderId="10" xfId="46" applyFont="1" applyBorder="1" applyAlignment="1" applyProtection="1">
      <alignment horizontal="center" vertical="center" wrapText="1"/>
      <protection locked="0"/>
    </xf>
    <xf numFmtId="0" fontId="98" fillId="0" borderId="0" xfId="46" applyFont="1" applyProtection="1">
      <protection locked="0"/>
    </xf>
    <xf numFmtId="170" fontId="14" fillId="0" borderId="10" xfId="29" applyNumberFormat="1" applyFont="1" applyFill="1" applyBorder="1" applyAlignment="1" applyProtection="1">
      <alignment horizontal="center" vertical="center"/>
      <protection locked="0"/>
    </xf>
    <xf numFmtId="170" fontId="14" fillId="0" borderId="0" xfId="29" applyNumberFormat="1" applyFont="1" applyFill="1" applyBorder="1" applyAlignment="1" applyProtection="1">
      <alignment horizontal="center" vertical="center"/>
      <protection locked="0"/>
    </xf>
    <xf numFmtId="0" fontId="17" fillId="0" borderId="0" xfId="46" applyFont="1" applyBorder="1" applyAlignment="1" applyProtection="1">
      <alignment vertical="center" wrapText="1"/>
      <protection locked="0"/>
    </xf>
    <xf numFmtId="170" fontId="14" fillId="0" borderId="0" xfId="29" applyNumberFormat="1" applyFont="1" applyFill="1" applyBorder="1" applyAlignment="1" applyProtection="1">
      <alignment vertical="center"/>
      <protection locked="0"/>
    </xf>
    <xf numFmtId="0" fontId="17" fillId="0" borderId="75" xfId="46" applyFont="1" applyBorder="1" applyAlignment="1" applyProtection="1">
      <alignment horizontal="center" vertical="center" wrapText="1"/>
      <protection locked="0"/>
    </xf>
    <xf numFmtId="176" fontId="17" fillId="0" borderId="10" xfId="46" applyNumberFormat="1" applyFont="1" applyBorder="1" applyAlignment="1" applyProtection="1">
      <alignment horizontal="center" vertical="center" wrapText="1"/>
      <protection locked="0"/>
    </xf>
    <xf numFmtId="176" fontId="14" fillId="0" borderId="10" xfId="46" applyNumberFormat="1" applyBorder="1" applyAlignment="1" applyProtection="1">
      <alignment horizontal="center" vertical="center" wrapText="1"/>
      <protection locked="0"/>
    </xf>
    <xf numFmtId="170" fontId="14" fillId="0" borderId="10" xfId="29" applyNumberFormat="1" applyFont="1" applyFill="1" applyBorder="1" applyAlignment="1" applyProtection="1">
      <alignment horizontal="center" vertical="center" wrapText="1"/>
      <protection locked="0"/>
    </xf>
    <xf numFmtId="0" fontId="14" fillId="0" borderId="0" xfId="46" applyBorder="1" applyAlignment="1" applyProtection="1">
      <alignment horizontal="center" vertical="center"/>
      <protection locked="0"/>
    </xf>
    <xf numFmtId="170" fontId="14" fillId="0" borderId="0" xfId="29" applyNumberFormat="1" applyFont="1" applyFill="1" applyBorder="1" applyAlignment="1" applyProtection="1">
      <alignment horizontal="center" vertical="center" wrapText="1"/>
      <protection locked="0"/>
    </xf>
    <xf numFmtId="0" fontId="14" fillId="0" borderId="92" xfId="46" applyBorder="1" applyAlignment="1" applyProtection="1">
      <alignment horizontal="center"/>
      <protection locked="0"/>
    </xf>
    <xf numFmtId="0" fontId="14" fillId="0" borderId="55" xfId="46" applyBorder="1" applyAlignment="1" applyProtection="1">
      <alignment horizontal="center"/>
      <protection locked="0"/>
    </xf>
    <xf numFmtId="0" fontId="17" fillId="66" borderId="42" xfId="46" applyFont="1" applyFill="1" applyBorder="1" applyAlignment="1" applyProtection="1">
      <alignment horizontal="center" wrapText="1"/>
      <protection locked="0"/>
    </xf>
    <xf numFmtId="0" fontId="14" fillId="0" borderId="0" xfId="46" applyFont="1" applyFill="1" applyAlignment="1" applyProtection="1">
      <alignment horizontal="left"/>
      <protection locked="0"/>
    </xf>
    <xf numFmtId="176" fontId="17" fillId="25" borderId="101" xfId="46" applyNumberFormat="1" applyFont="1" applyFill="1" applyBorder="1" applyAlignment="1" applyProtection="1">
      <alignment horizontal="center" vertical="center" wrapText="1"/>
      <protection locked="0"/>
    </xf>
    <xf numFmtId="176" fontId="17" fillId="25" borderId="77" xfId="46" quotePrefix="1" applyNumberFormat="1" applyFont="1" applyFill="1" applyBorder="1" applyAlignment="1" applyProtection="1">
      <alignment horizontal="center"/>
      <protection locked="0"/>
    </xf>
    <xf numFmtId="176" fontId="17" fillId="25" borderId="45" xfId="46" applyNumberFormat="1" applyFont="1" applyFill="1" applyBorder="1" applyAlignment="1" applyProtection="1">
      <alignment horizontal="center" vertical="center" wrapText="1"/>
      <protection locked="0"/>
    </xf>
    <xf numFmtId="176" fontId="17" fillId="25" borderId="55" xfId="46" quotePrefix="1" applyNumberFormat="1" applyFont="1" applyFill="1" applyBorder="1" applyAlignment="1" applyProtection="1">
      <alignment horizontal="center"/>
      <protection locked="0"/>
    </xf>
    <xf numFmtId="0" fontId="17" fillId="0" borderId="0" xfId="46" applyFont="1" applyAlignment="1" applyProtection="1">
      <alignment horizontal="right" vertical="center"/>
      <protection locked="0"/>
    </xf>
    <xf numFmtId="0" fontId="48" fillId="29" borderId="0" xfId="46" applyFont="1" applyFill="1" applyAlignment="1" applyProtection="1">
      <alignment vertical="center"/>
      <protection locked="0"/>
    </xf>
    <xf numFmtId="0" fontId="14" fillId="0" borderId="0" xfId="46" applyFont="1" applyAlignment="1" applyProtection="1">
      <alignment horizontal="center" vertical="center" wrapText="1"/>
      <protection locked="0"/>
    </xf>
    <xf numFmtId="0" fontId="21" fillId="0" borderId="0" xfId="46" applyFont="1" applyAlignment="1" applyProtection="1">
      <alignment horizontal="center"/>
      <protection locked="0"/>
    </xf>
    <xf numFmtId="0" fontId="14" fillId="0" borderId="0" xfId="46" applyFont="1" applyAlignment="1" applyProtection="1">
      <alignment horizontal="left" vertical="top" wrapText="1"/>
      <protection locked="0"/>
    </xf>
    <xf numFmtId="0" fontId="14" fillId="0" borderId="27" xfId="46" applyBorder="1" applyAlignment="1" applyProtection="1">
      <alignment horizontal="center" vertical="center"/>
      <protection locked="0"/>
    </xf>
    <xf numFmtId="0" fontId="14" fillId="0" borderId="10" xfId="46" applyBorder="1" applyAlignment="1" applyProtection="1">
      <alignment horizontal="left" vertical="center"/>
      <protection locked="0"/>
    </xf>
    <xf numFmtId="0" fontId="14" fillId="0" borderId="10" xfId="46" applyBorder="1" applyAlignment="1" applyProtection="1">
      <alignment horizontal="center" vertical="center"/>
      <protection locked="0"/>
    </xf>
    <xf numFmtId="0" fontId="14" fillId="0" borderId="0" xfId="46" applyFont="1" applyAlignment="1" applyProtection="1">
      <alignment vertical="top" wrapText="1"/>
      <protection locked="0"/>
    </xf>
    <xf numFmtId="0" fontId="19" fillId="0" borderId="0" xfId="46" applyFont="1" applyAlignment="1" applyProtection="1">
      <alignment horizontal="center"/>
      <protection locked="0"/>
    </xf>
    <xf numFmtId="0" fontId="16" fillId="0" borderId="0" xfId="46" applyFont="1" applyAlignment="1" applyProtection="1">
      <alignment horizontal="right" vertical="top"/>
      <protection locked="0"/>
    </xf>
    <xf numFmtId="0" fontId="16" fillId="29" borderId="0" xfId="46" applyFont="1" applyFill="1" applyAlignment="1" applyProtection="1">
      <alignment horizontal="right" vertical="top"/>
      <protection locked="0"/>
    </xf>
    <xf numFmtId="0" fontId="14" fillId="0" borderId="33" xfId="46" applyBorder="1" applyAlignment="1" applyProtection="1">
      <alignment vertical="center"/>
      <protection locked="0"/>
    </xf>
    <xf numFmtId="0" fontId="14" fillId="0" borderId="75" xfId="46" applyBorder="1" applyAlignment="1" applyProtection="1">
      <alignment horizontal="right" vertical="center"/>
      <protection locked="0"/>
    </xf>
    <xf numFmtId="0" fontId="17" fillId="25" borderId="0" xfId="46" applyFont="1" applyFill="1" applyBorder="1" applyAlignment="1" applyProtection="1">
      <alignment horizontal="center" vertical="center" wrapText="1"/>
      <protection locked="0"/>
    </xf>
    <xf numFmtId="0" fontId="17" fillId="25" borderId="0" xfId="46" quotePrefix="1" applyFont="1" applyFill="1" applyBorder="1" applyAlignment="1" applyProtection="1">
      <alignment horizontal="center"/>
      <protection locked="0"/>
    </xf>
    <xf numFmtId="0" fontId="17" fillId="25" borderId="0" xfId="46" applyFont="1" applyFill="1" applyBorder="1" applyAlignment="1" applyProtection="1">
      <alignment horizontal="center" wrapText="1"/>
      <protection locked="0"/>
    </xf>
    <xf numFmtId="166" fontId="17" fillId="0" borderId="0" xfId="46" applyNumberFormat="1" applyFont="1" applyFill="1" applyBorder="1" applyProtection="1">
      <protection locked="0"/>
    </xf>
    <xf numFmtId="0" fontId="17" fillId="64" borderId="92" xfId="46" applyFont="1" applyFill="1" applyBorder="1" applyAlignment="1" applyProtection="1">
      <alignment horizontal="center" wrapText="1"/>
      <protection locked="0"/>
    </xf>
    <xf numFmtId="0" fontId="14" fillId="0" borderId="0" xfId="46" applyFont="1" applyFill="1" applyAlignment="1" applyProtection="1">
      <alignment wrapText="1"/>
      <protection locked="0"/>
    </xf>
    <xf numFmtId="0" fontId="96" fillId="0" borderId="0" xfId="46" applyFont="1" applyAlignment="1" applyProtection="1">
      <alignment horizontal="left" vertical="center" wrapText="1"/>
      <protection locked="0"/>
    </xf>
    <xf numFmtId="0" fontId="17" fillId="64" borderId="40" xfId="46" applyFont="1" applyFill="1" applyBorder="1" applyAlignment="1" applyProtection="1">
      <alignment vertical="center"/>
      <protection locked="0"/>
    </xf>
    <xf numFmtId="0" fontId="21" fillId="0" borderId="0" xfId="0" applyFont="1" applyAlignment="1" applyProtection="1">
      <alignment horizontal="center"/>
      <protection locked="0"/>
    </xf>
    <xf numFmtId="0" fontId="111" fillId="0" borderId="0" xfId="126" applyFont="1" applyBorder="1" applyAlignment="1" applyProtection="1">
      <alignment horizontal="center" vertical="top" wrapText="1"/>
      <protection locked="0"/>
    </xf>
    <xf numFmtId="0" fontId="77" fillId="63" borderId="71" xfId="126" applyFont="1" applyFill="1" applyBorder="1" applyAlignment="1" applyProtection="1">
      <alignment horizontal="center"/>
      <protection locked="0"/>
    </xf>
    <xf numFmtId="0" fontId="77" fillId="63" borderId="29" xfId="126" applyFont="1" applyFill="1" applyBorder="1" applyAlignment="1" applyProtection="1">
      <alignment horizontal="center" wrapText="1"/>
      <protection locked="0"/>
    </xf>
    <xf numFmtId="0" fontId="16" fillId="0" borderId="0" xfId="46" applyFont="1" applyAlignment="1" applyProtection="1">
      <alignment horizontal="right" vertical="top"/>
      <protection locked="0"/>
    </xf>
    <xf numFmtId="0" fontId="16" fillId="29" borderId="0" xfId="46" applyFont="1" applyFill="1" applyAlignment="1" applyProtection="1">
      <alignment horizontal="right" vertical="top"/>
      <protection locked="0"/>
    </xf>
    <xf numFmtId="0" fontId="17" fillId="0" borderId="33" xfId="0" applyFont="1" applyBorder="1" applyAlignment="1" applyProtection="1">
      <alignment horizontal="left"/>
      <protection locked="0"/>
    </xf>
    <xf numFmtId="0" fontId="16" fillId="0" borderId="0" xfId="46" applyFont="1" applyAlignment="1" applyProtection="1">
      <alignment horizontal="right" vertical="top"/>
      <protection locked="0"/>
    </xf>
    <xf numFmtId="0" fontId="5" fillId="0" borderId="0" xfId="126" applyFont="1" applyAlignment="1" applyProtection="1">
      <alignment horizontal="left" vertical="top" wrapText="1"/>
      <protection locked="0"/>
    </xf>
    <xf numFmtId="0" fontId="9" fillId="0" borderId="0" xfId="126" applyAlignment="1" applyProtection="1">
      <alignment wrapText="1"/>
      <protection locked="0"/>
    </xf>
    <xf numFmtId="0" fontId="5" fillId="0" borderId="48" xfId="126" applyFont="1" applyBorder="1" applyProtection="1">
      <protection locked="0"/>
    </xf>
    <xf numFmtId="0" fontId="5" fillId="69" borderId="0" xfId="126" applyFont="1" applyFill="1" applyBorder="1" applyProtection="1">
      <protection locked="0"/>
    </xf>
    <xf numFmtId="10" fontId="92" fillId="69" borderId="0" xfId="128" applyNumberFormat="1" applyFont="1" applyFill="1" applyBorder="1" applyProtection="1">
      <protection locked="0"/>
    </xf>
    <xf numFmtId="0" fontId="5" fillId="0" borderId="52" xfId="126" applyFont="1" applyBorder="1" applyProtection="1">
      <protection locked="0"/>
    </xf>
    <xf numFmtId="0" fontId="5" fillId="69" borderId="120" xfId="126" applyFont="1" applyFill="1" applyBorder="1" applyProtection="1">
      <protection locked="0"/>
    </xf>
    <xf numFmtId="43" fontId="92" fillId="69" borderId="0" xfId="127" applyNumberFormat="1" applyFont="1" applyFill="1" applyBorder="1" applyProtection="1">
      <protection locked="0"/>
    </xf>
    <xf numFmtId="43" fontId="92" fillId="29" borderId="0" xfId="128" applyNumberFormat="1" applyFont="1" applyFill="1" applyBorder="1" applyProtection="1">
      <protection locked="0"/>
    </xf>
    <xf numFmtId="43" fontId="92" fillId="69" borderId="120" xfId="127" applyNumberFormat="1" applyFont="1" applyFill="1" applyBorder="1" applyProtection="1">
      <protection locked="0"/>
    </xf>
    <xf numFmtId="0" fontId="122" fillId="0" borderId="0" xfId="126" applyFont="1" applyFill="1" applyAlignment="1" applyProtection="1">
      <alignment vertical="top" wrapText="1"/>
      <protection locked="0"/>
    </xf>
    <xf numFmtId="0" fontId="5" fillId="0" borderId="0" xfId="126" applyFont="1" applyBorder="1" applyAlignment="1" applyProtection="1">
      <alignment vertical="top" wrapText="1"/>
      <protection locked="0"/>
    </xf>
    <xf numFmtId="0" fontId="5" fillId="0" borderId="0" xfId="126" applyFont="1" applyAlignment="1" applyProtection="1">
      <alignment vertical="top" wrapText="1"/>
      <protection locked="0"/>
    </xf>
    <xf numFmtId="0" fontId="5" fillId="63" borderId="48" xfId="126" applyFont="1" applyFill="1" applyBorder="1" applyAlignment="1" applyProtection="1">
      <alignment vertical="top"/>
      <protection locked="0"/>
    </xf>
    <xf numFmtId="0" fontId="5" fillId="63" borderId="0" xfId="126" applyFont="1" applyFill="1" applyBorder="1" applyAlignment="1" applyProtection="1">
      <alignment vertical="top"/>
      <protection locked="0"/>
    </xf>
    <xf numFmtId="0" fontId="5" fillId="0" borderId="48" xfId="126" applyFont="1" applyFill="1" applyBorder="1" applyAlignment="1" applyProtection="1">
      <alignment vertical="top"/>
      <protection locked="0"/>
    </xf>
    <xf numFmtId="0" fontId="5" fillId="0" borderId="0" xfId="126" applyFont="1" applyFill="1" applyBorder="1" applyAlignment="1" applyProtection="1">
      <alignment vertical="top"/>
      <protection locked="0"/>
    </xf>
    <xf numFmtId="0" fontId="0" fillId="0" borderId="52" xfId="126" applyFont="1" applyFill="1" applyBorder="1" applyAlignment="1" applyProtection="1">
      <alignment vertical="top"/>
      <protection locked="0"/>
    </xf>
    <xf numFmtId="0" fontId="5" fillId="0" borderId="120" xfId="126" applyFont="1" applyFill="1" applyBorder="1" applyAlignment="1" applyProtection="1">
      <alignment vertical="top"/>
      <protection locked="0"/>
    </xf>
    <xf numFmtId="0" fontId="77" fillId="0" borderId="120" xfId="126" applyFont="1" applyFill="1" applyBorder="1" applyAlignment="1" applyProtection="1">
      <alignment vertical="top"/>
      <protection locked="0"/>
    </xf>
    <xf numFmtId="0" fontId="77" fillId="0" borderId="56" xfId="126" applyFont="1" applyFill="1" applyBorder="1" applyAlignment="1" applyProtection="1">
      <alignment horizontal="center" vertical="top" wrapText="1"/>
      <protection locked="0"/>
    </xf>
    <xf numFmtId="0" fontId="5" fillId="0" borderId="30" xfId="126" applyFont="1" applyFill="1" applyBorder="1" applyProtection="1">
      <protection locked="0"/>
    </xf>
    <xf numFmtId="0" fontId="5" fillId="0" borderId="30" xfId="126" applyFont="1" applyBorder="1" applyProtection="1">
      <protection locked="0"/>
    </xf>
    <xf numFmtId="0" fontId="5" fillId="0" borderId="0" xfId="126" applyFont="1" applyFill="1" applyBorder="1" applyProtection="1">
      <protection locked="0"/>
    </xf>
    <xf numFmtId="0" fontId="5" fillId="0" borderId="0" xfId="126" applyFont="1" applyBorder="1" applyProtection="1">
      <protection locked="0"/>
    </xf>
    <xf numFmtId="0" fontId="5" fillId="0" borderId="0" xfId="126" applyFont="1" applyBorder="1" applyAlignment="1" applyProtection="1">
      <alignment horizontal="left" vertical="top" wrapText="1"/>
      <protection locked="0"/>
    </xf>
    <xf numFmtId="0" fontId="77" fillId="0" borderId="10" xfId="126" applyFont="1" applyFill="1" applyBorder="1" applyAlignment="1" applyProtection="1">
      <alignment horizontal="center" vertical="center" wrapText="1"/>
      <protection locked="0"/>
    </xf>
    <xf numFmtId="0" fontId="5" fillId="0" borderId="0" xfId="126" applyFont="1" applyProtection="1">
      <protection locked="0"/>
    </xf>
    <xf numFmtId="0" fontId="5" fillId="0" borderId="93" xfId="126" applyFont="1" applyBorder="1" applyProtection="1">
      <protection locked="0"/>
    </xf>
    <xf numFmtId="0" fontId="77" fillId="63" borderId="88" xfId="126" applyFont="1" applyFill="1" applyBorder="1" applyAlignment="1" applyProtection="1">
      <alignment horizontal="center"/>
      <protection locked="0"/>
    </xf>
    <xf numFmtId="0" fontId="5" fillId="67" borderId="54" xfId="126" applyFont="1" applyFill="1" applyBorder="1" applyAlignment="1" applyProtection="1">
      <alignment wrapText="1"/>
      <protection locked="0"/>
    </xf>
    <xf numFmtId="43" fontId="5" fillId="67" borderId="13" xfId="126" applyNumberFormat="1" applyFont="1" applyFill="1" applyBorder="1" applyAlignment="1" applyProtection="1">
      <alignment horizontal="center" vertical="center"/>
      <protection locked="0"/>
    </xf>
    <xf numFmtId="43" fontId="5" fillId="67" borderId="51" xfId="126" applyNumberFormat="1" applyFont="1" applyFill="1" applyBorder="1" applyAlignment="1" applyProtection="1">
      <alignment horizontal="center" vertical="center"/>
      <protection locked="0"/>
    </xf>
    <xf numFmtId="0" fontId="0" fillId="0" borderId="72" xfId="126" applyFont="1" applyBorder="1" applyAlignment="1" applyProtection="1">
      <alignment wrapText="1"/>
      <protection locked="0"/>
    </xf>
    <xf numFmtId="43" fontId="5" fillId="0" borderId="83" xfId="126" applyNumberFormat="1" applyFont="1" applyBorder="1" applyAlignment="1" applyProtection="1">
      <alignment horizontal="center" vertical="center"/>
      <protection locked="0"/>
    </xf>
    <xf numFmtId="43" fontId="5" fillId="0" borderId="14" xfId="126" applyNumberFormat="1" applyFont="1" applyBorder="1" applyAlignment="1" applyProtection="1">
      <alignment horizontal="center" vertical="center"/>
      <protection locked="0"/>
    </xf>
    <xf numFmtId="43" fontId="5" fillId="0" borderId="18" xfId="126" applyNumberFormat="1" applyFont="1" applyBorder="1" applyAlignment="1" applyProtection="1">
      <alignment horizontal="center" vertical="center"/>
      <protection locked="0"/>
    </xf>
    <xf numFmtId="43" fontId="5" fillId="0" borderId="59" xfId="126" applyNumberFormat="1" applyFont="1" applyBorder="1" applyAlignment="1" applyProtection="1">
      <alignment horizontal="center" vertical="center"/>
      <protection locked="0"/>
    </xf>
    <xf numFmtId="0" fontId="5" fillId="67" borderId="52" xfId="126" applyFont="1" applyFill="1" applyBorder="1" applyAlignment="1" applyProtection="1">
      <alignment wrapText="1"/>
      <protection locked="0"/>
    </xf>
    <xf numFmtId="43" fontId="5" fillId="67" borderId="166" xfId="126" applyNumberFormat="1" applyFont="1" applyFill="1" applyBorder="1" applyAlignment="1" applyProtection="1">
      <alignment horizontal="center" vertical="center"/>
      <protection locked="0"/>
    </xf>
    <xf numFmtId="43" fontId="5" fillId="67" borderId="0" xfId="126" applyNumberFormat="1" applyFont="1" applyFill="1" applyBorder="1" applyAlignment="1" applyProtection="1">
      <alignment horizontal="center" vertical="center"/>
      <protection locked="0"/>
    </xf>
    <xf numFmtId="43" fontId="5" fillId="67" borderId="167" xfId="126" applyNumberFormat="1" applyFont="1" applyFill="1" applyBorder="1" applyAlignment="1" applyProtection="1">
      <alignment horizontal="center" vertical="center"/>
      <protection locked="0"/>
    </xf>
    <xf numFmtId="0" fontId="0" fillId="64" borderId="76" xfId="126" applyFont="1" applyFill="1" applyBorder="1" applyAlignment="1" applyProtection="1">
      <alignment wrapText="1"/>
      <protection locked="0"/>
    </xf>
    <xf numFmtId="0" fontId="0" fillId="64" borderId="38" xfId="126" applyFont="1" applyFill="1" applyBorder="1" applyAlignment="1" applyProtection="1">
      <alignment wrapText="1"/>
      <protection locked="0"/>
    </xf>
    <xf numFmtId="0" fontId="5" fillId="0" borderId="0" xfId="126" applyFont="1" applyBorder="1" applyAlignment="1" applyProtection="1">
      <alignment wrapText="1"/>
      <protection locked="0"/>
    </xf>
    <xf numFmtId="0" fontId="5" fillId="0" borderId="109" xfId="126" applyFont="1" applyBorder="1" applyAlignment="1" applyProtection="1">
      <alignment vertical="center" wrapText="1"/>
      <protection locked="0"/>
    </xf>
    <xf numFmtId="0" fontId="14" fillId="28" borderId="0" xfId="0" applyFont="1" applyFill="1" applyAlignment="1">
      <alignment vertical="top"/>
    </xf>
    <xf numFmtId="0" fontId="17" fillId="0" borderId="0" xfId="0" applyFont="1" applyAlignment="1">
      <alignment horizontal="center" vertical="top"/>
    </xf>
    <xf numFmtId="44" fontId="0" fillId="0" borderId="31" xfId="29" applyFont="1" applyBorder="1"/>
    <xf numFmtId="44" fontId="0" fillId="0" borderId="56" xfId="29" applyFont="1" applyBorder="1"/>
    <xf numFmtId="0" fontId="17" fillId="0" borderId="41" xfId="0" applyFont="1" applyBorder="1" applyAlignment="1">
      <alignment wrapText="1"/>
    </xf>
    <xf numFmtId="0" fontId="17" fillId="0" borderId="44" xfId="0" applyFont="1" applyBorder="1" applyAlignment="1">
      <alignment vertical="top"/>
    </xf>
    <xf numFmtId="0" fontId="17" fillId="0" borderId="22" xfId="0" applyFont="1" applyBorder="1" applyAlignment="1">
      <alignment horizontal="center" vertical="top"/>
    </xf>
    <xf numFmtId="44" fontId="0" fillId="29" borderId="29" xfId="29" applyFont="1" applyFill="1" applyBorder="1"/>
    <xf numFmtId="44" fontId="0" fillId="29" borderId="56" xfId="29" applyFont="1" applyFill="1" applyBorder="1"/>
    <xf numFmtId="44" fontId="0" fillId="0" borderId="108" xfId="29" applyFont="1" applyBorder="1"/>
    <xf numFmtId="0" fontId="14" fillId="0" borderId="41" xfId="0" quotePrefix="1" applyFont="1" applyBorder="1"/>
    <xf numFmtId="0" fontId="17" fillId="0" borderId="44" xfId="0" applyFont="1" applyBorder="1"/>
    <xf numFmtId="0" fontId="17" fillId="0" borderId="44" xfId="0" applyFont="1" applyBorder="1" applyAlignment="1">
      <alignment horizontal="center" vertical="top" wrapText="1"/>
    </xf>
    <xf numFmtId="44" fontId="0" fillId="29" borderId="40" xfId="29" applyFont="1" applyFill="1" applyBorder="1"/>
    <xf numFmtId="44" fontId="0" fillId="29" borderId="47" xfId="29" applyFont="1" applyFill="1" applyBorder="1"/>
    <xf numFmtId="44" fontId="0" fillId="0" borderId="41" xfId="29" applyFont="1" applyBorder="1"/>
    <xf numFmtId="0" fontId="17" fillId="0" borderId="44" xfId="0" applyFont="1" applyBorder="1" applyAlignment="1">
      <alignment horizontal="center" vertical="top"/>
    </xf>
    <xf numFmtId="44" fontId="0" fillId="0" borderId="105" xfId="29" applyFont="1" applyBorder="1"/>
    <xf numFmtId="44" fontId="0" fillId="29" borderId="92" xfId="29" applyFont="1" applyFill="1" applyBorder="1"/>
    <xf numFmtId="44" fontId="0" fillId="29" borderId="55" xfId="29" applyFont="1" applyFill="1" applyBorder="1"/>
    <xf numFmtId="44" fontId="0" fillId="0" borderId="55" xfId="29" applyFont="1" applyBorder="1"/>
    <xf numFmtId="0" fontId="0" fillId="0" borderId="42" xfId="0" applyBorder="1"/>
    <xf numFmtId="0" fontId="0" fillId="0" borderId="159" xfId="0" applyBorder="1"/>
    <xf numFmtId="0" fontId="17" fillId="0" borderId="42" xfId="0" applyFont="1" applyBorder="1"/>
    <xf numFmtId="0" fontId="14" fillId="0" borderId="128" xfId="0" quotePrefix="1" applyFont="1" applyBorder="1"/>
    <xf numFmtId="0" fontId="14" fillId="0" borderId="102" xfId="0" quotePrefix="1" applyFont="1" applyBorder="1"/>
    <xf numFmtId="44" fontId="0" fillId="0" borderId="41" xfId="29" applyFont="1" applyBorder="1" applyAlignment="1">
      <alignment vertical="center"/>
    </xf>
    <xf numFmtId="44" fontId="0" fillId="0" borderId="105" xfId="29" applyFont="1" applyBorder="1" applyAlignment="1">
      <alignment vertical="center"/>
    </xf>
    <xf numFmtId="44" fontId="0" fillId="0" borderId="108" xfId="29" applyFont="1" applyBorder="1" applyAlignment="1">
      <alignment vertical="center"/>
    </xf>
    <xf numFmtId="44" fontId="0" fillId="0" borderId="31" xfId="29" applyFont="1" applyBorder="1" applyAlignment="1">
      <alignment vertical="center"/>
    </xf>
    <xf numFmtId="0" fontId="17" fillId="0" borderId="54" xfId="0" quotePrefix="1" applyFont="1" applyBorder="1" applyAlignment="1" applyProtection="1">
      <alignment horizontal="left"/>
      <protection locked="0"/>
    </xf>
    <xf numFmtId="166" fontId="17" fillId="0" borderId="10" xfId="29" applyNumberFormat="1" applyFont="1" applyFill="1" applyBorder="1" applyProtection="1">
      <protection locked="0"/>
    </xf>
    <xf numFmtId="166" fontId="17" fillId="0" borderId="25" xfId="29" applyNumberFormat="1" applyFont="1" applyFill="1" applyBorder="1" applyProtection="1">
      <protection locked="0"/>
    </xf>
    <xf numFmtId="166" fontId="17" fillId="0" borderId="19" xfId="29" applyNumberFormat="1" applyFont="1" applyFill="1" applyBorder="1" applyProtection="1">
      <protection locked="0"/>
    </xf>
    <xf numFmtId="0" fontId="4" fillId="0" borderId="0" xfId="90" applyFont="1" applyProtection="1">
      <protection locked="0"/>
    </xf>
    <xf numFmtId="0" fontId="0" fillId="0" borderId="0" xfId="0" applyAlignment="1">
      <alignment vertical="top"/>
    </xf>
    <xf numFmtId="0" fontId="14" fillId="0" borderId="0" xfId="46" applyFont="1" applyAlignment="1" applyProtection="1">
      <alignment vertical="top" wrapText="1"/>
      <protection locked="0"/>
    </xf>
    <xf numFmtId="0" fontId="17" fillId="0" borderId="40" xfId="46" applyFont="1" applyFill="1" applyBorder="1" applyAlignment="1" applyProtection="1">
      <alignment horizontal="center" wrapText="1"/>
      <protection locked="0"/>
    </xf>
    <xf numFmtId="0" fontId="17" fillId="0" borderId="41" xfId="46" applyFont="1" applyFill="1" applyBorder="1" applyAlignment="1" applyProtection="1">
      <alignment horizontal="center" wrapText="1"/>
      <protection locked="0"/>
    </xf>
    <xf numFmtId="0" fontId="14" fillId="0" borderId="0" xfId="46" applyAlignment="1" applyProtection="1">
      <alignment horizontal="center"/>
      <protection locked="0"/>
    </xf>
    <xf numFmtId="0" fontId="16" fillId="0" borderId="0" xfId="46" applyFont="1" applyAlignment="1" applyProtection="1">
      <alignment horizontal="right" vertical="top"/>
      <protection locked="0"/>
    </xf>
    <xf numFmtId="0" fontId="16" fillId="0" borderId="0" xfId="46" applyFont="1" applyAlignment="1" applyProtection="1">
      <alignment horizontal="right" vertical="top"/>
      <protection locked="0"/>
    </xf>
    <xf numFmtId="0" fontId="123" fillId="0" borderId="0" xfId="0" applyFont="1" applyAlignment="1">
      <alignment horizontal="left" vertical="top" wrapText="1"/>
    </xf>
    <xf numFmtId="0" fontId="49" fillId="0" borderId="0" xfId="0" quotePrefix="1" applyFont="1" applyAlignment="1">
      <alignment horizontal="left" vertical="top"/>
    </xf>
    <xf numFmtId="0" fontId="17" fillId="0" borderId="71" xfId="0" applyFont="1" applyBorder="1"/>
    <xf numFmtId="0" fontId="14" fillId="0" borderId="0" xfId="0" applyFont="1" applyBorder="1" applyAlignment="1">
      <alignment horizontal="center" vertical="center"/>
    </xf>
    <xf numFmtId="0" fontId="14" fillId="0" borderId="0" xfId="0" applyFont="1" applyBorder="1" applyAlignment="1">
      <alignment horizontal="center" vertical="center" wrapText="1"/>
    </xf>
    <xf numFmtId="0" fontId="0" fillId="66" borderId="29" xfId="0" applyFill="1" applyBorder="1"/>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14" fillId="0" borderId="30" xfId="0" applyFont="1" applyBorder="1" applyAlignment="1">
      <alignment horizontal="center" vertical="center" wrapText="1"/>
    </xf>
    <xf numFmtId="0" fontId="14" fillId="0" borderId="31" xfId="0" applyFont="1" applyBorder="1" applyAlignment="1">
      <alignment horizontal="center" vertical="center"/>
    </xf>
    <xf numFmtId="0" fontId="14" fillId="0" borderId="43" xfId="0" applyFont="1" applyBorder="1"/>
    <xf numFmtId="0" fontId="0" fillId="0" borderId="40" xfId="0" applyBorder="1"/>
    <xf numFmtId="0" fontId="17" fillId="0" borderId="40" xfId="0" applyFont="1" applyBorder="1"/>
    <xf numFmtId="0" fontId="17" fillId="0" borderId="41" xfId="0" applyFont="1" applyBorder="1"/>
    <xf numFmtId="0" fontId="17" fillId="0" borderId="43" xfId="0" applyFont="1" applyBorder="1"/>
    <xf numFmtId="0" fontId="0" fillId="0" borderId="40" xfId="0" applyBorder="1" applyAlignment="1">
      <alignment horizontal="center" vertical="center"/>
    </xf>
    <xf numFmtId="0" fontId="0" fillId="0" borderId="41" xfId="0" applyBorder="1" applyAlignment="1">
      <alignment horizontal="center" vertical="center"/>
    </xf>
    <xf numFmtId="0" fontId="0" fillId="0" borderId="41" xfId="0" applyBorder="1"/>
    <xf numFmtId="0" fontId="17" fillId="0" borderId="45" xfId="0" applyFont="1" applyBorder="1"/>
    <xf numFmtId="0" fontId="0" fillId="66" borderId="31" xfId="0" applyFill="1" applyBorder="1"/>
    <xf numFmtId="0" fontId="17" fillId="0" borderId="30" xfId="0" applyFont="1" applyBorder="1"/>
    <xf numFmtId="0" fontId="17" fillId="0" borderId="31"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31" xfId="0" applyFont="1" applyBorder="1"/>
    <xf numFmtId="0" fontId="0" fillId="66" borderId="45" xfId="0" applyFill="1" applyBorder="1"/>
    <xf numFmtId="0" fontId="17" fillId="0" borderId="31" xfId="0" applyFont="1" applyBorder="1" applyAlignment="1">
      <alignment horizontal="center" vertical="center" wrapText="1"/>
    </xf>
    <xf numFmtId="0" fontId="14" fillId="0" borderId="93" xfId="0" applyFont="1" applyBorder="1" applyAlignment="1">
      <alignment horizontal="center" vertical="center"/>
    </xf>
    <xf numFmtId="0" fontId="14" fillId="0" borderId="109" xfId="0" applyFont="1" applyBorder="1" applyAlignment="1">
      <alignment horizontal="center" vertical="center"/>
    </xf>
    <xf numFmtId="0" fontId="14" fillId="0" borderId="38" xfId="0" applyFont="1" applyBorder="1" applyAlignment="1">
      <alignment horizontal="center" vertical="center"/>
    </xf>
    <xf numFmtId="0" fontId="17" fillId="0" borderId="28" xfId="0" applyFont="1" applyBorder="1" applyAlignment="1">
      <alignment horizontal="center" vertical="center" wrapText="1"/>
    </xf>
    <xf numFmtId="0" fontId="0" fillId="66" borderId="109" xfId="0" applyFill="1" applyBorder="1"/>
    <xf numFmtId="0" fontId="0" fillId="66" borderId="38" xfId="0" applyFill="1" applyBorder="1"/>
    <xf numFmtId="0" fontId="17" fillId="0" borderId="70" xfId="0" applyFont="1" applyBorder="1"/>
    <xf numFmtId="0" fontId="14" fillId="65" borderId="0" xfId="0" applyFont="1" applyFill="1"/>
    <xf numFmtId="0" fontId="0" fillId="65" borderId="0" xfId="0" applyFill="1"/>
    <xf numFmtId="0" fontId="123" fillId="0" borderId="0" xfId="0" applyFont="1" applyAlignment="1">
      <alignment horizontal="left" vertical="top"/>
    </xf>
    <xf numFmtId="0" fontId="0" fillId="0" borderId="0" xfId="0" applyFill="1" applyBorder="1" applyAlignment="1">
      <alignment horizontal="left" vertical="top"/>
    </xf>
    <xf numFmtId="0" fontId="14" fillId="0" borderId="0" xfId="0" applyFont="1" applyFill="1" applyBorder="1" applyAlignment="1">
      <alignment horizontal="center" vertical="center"/>
    </xf>
    <xf numFmtId="0" fontId="14" fillId="0" borderId="30" xfId="0" applyFont="1" applyFill="1" applyBorder="1" applyAlignment="1">
      <alignment horizontal="center" vertical="center"/>
    </xf>
    <xf numFmtId="0" fontId="14" fillId="29" borderId="0" xfId="0" applyFont="1" applyFill="1" applyBorder="1" applyAlignment="1">
      <alignment horizontal="center" vertical="center"/>
    </xf>
    <xf numFmtId="0" fontId="17" fillId="0" borderId="30" xfId="0" applyFont="1" applyFill="1" applyBorder="1" applyAlignment="1">
      <alignment horizontal="center"/>
    </xf>
    <xf numFmtId="0" fontId="17" fillId="0" borderId="29" xfId="0" applyFont="1" applyBorder="1" applyAlignment="1">
      <alignment horizontal="center"/>
    </xf>
    <xf numFmtId="0" fontId="0" fillId="0" borderId="29" xfId="0" applyFill="1" applyBorder="1"/>
    <xf numFmtId="0" fontId="0" fillId="0" borderId="31" xfId="0" applyFill="1" applyBorder="1"/>
    <xf numFmtId="0" fontId="0" fillId="0" borderId="0" xfId="0" applyFill="1"/>
    <xf numFmtId="0" fontId="14" fillId="28" borderId="109" xfId="0" applyFont="1" applyFill="1" applyBorder="1" applyAlignment="1">
      <alignment horizontal="center" vertical="center"/>
    </xf>
    <xf numFmtId="167" fontId="14" fillId="29" borderId="0" xfId="28" applyNumberFormat="1" applyFont="1" applyFill="1" applyBorder="1" applyAlignment="1">
      <alignment horizontal="center" vertical="center"/>
    </xf>
    <xf numFmtId="167" fontId="14" fillId="29" borderId="30" xfId="28" applyNumberFormat="1" applyFont="1" applyFill="1" applyBorder="1" applyAlignment="1">
      <alignment horizontal="center" vertical="center"/>
    </xf>
    <xf numFmtId="0" fontId="0" fillId="29" borderId="0" xfId="0" applyFill="1" applyBorder="1"/>
    <xf numFmtId="0" fontId="0" fillId="29" borderId="30" xfId="0" applyFill="1" applyBorder="1"/>
    <xf numFmtId="0" fontId="17" fillId="0" borderId="103" xfId="0" applyFont="1" applyBorder="1" applyAlignment="1">
      <alignment vertical="center" wrapText="1"/>
    </xf>
    <xf numFmtId="0" fontId="17" fillId="0" borderId="82" xfId="0" applyFont="1" applyBorder="1" applyAlignment="1">
      <alignment vertical="center" wrapText="1"/>
    </xf>
    <xf numFmtId="0" fontId="0" fillId="0" borderId="30" xfId="0" applyFill="1" applyBorder="1"/>
    <xf numFmtId="0" fontId="17" fillId="0" borderId="48" xfId="0" applyFont="1" applyBorder="1"/>
    <xf numFmtId="0" fontId="0" fillId="0" borderId="48" xfId="0" applyBorder="1"/>
    <xf numFmtId="0" fontId="0" fillId="0" borderId="46" xfId="0" applyBorder="1"/>
    <xf numFmtId="166" fontId="14" fillId="29" borderId="0" xfId="29" applyNumberFormat="1" applyFont="1" applyFill="1" applyBorder="1" applyAlignment="1">
      <alignment horizontal="center" vertical="center"/>
    </xf>
    <xf numFmtId="166" fontId="14" fillId="29" borderId="30" xfId="29" applyNumberFormat="1" applyFont="1" applyFill="1" applyBorder="1" applyAlignment="1">
      <alignment horizontal="center" vertical="center"/>
    </xf>
    <xf numFmtId="0" fontId="14" fillId="0" borderId="93" xfId="0" applyFont="1" applyFill="1" applyBorder="1" applyAlignment="1">
      <alignment horizontal="center" vertical="center"/>
    </xf>
    <xf numFmtId="0" fontId="14" fillId="0" borderId="109" xfId="0" applyFont="1" applyFill="1" applyBorder="1" applyAlignment="1">
      <alignment horizontal="center" vertical="center"/>
    </xf>
    <xf numFmtId="0" fontId="14" fillId="0" borderId="38" xfId="0" applyFont="1" applyFill="1" applyBorder="1" applyAlignment="1">
      <alignment horizontal="center" vertical="center"/>
    </xf>
    <xf numFmtId="0" fontId="0" fillId="0" borderId="0" xfId="0" applyFill="1" applyBorder="1" applyAlignment="1"/>
    <xf numFmtId="0" fontId="0" fillId="28" borderId="44" xfId="0" applyFill="1" applyBorder="1" applyAlignment="1"/>
    <xf numFmtId="0" fontId="17" fillId="0" borderId="0" xfId="0" applyFont="1" applyAlignment="1">
      <alignment horizontal="center" vertical="center"/>
    </xf>
    <xf numFmtId="0" fontId="0" fillId="0" borderId="46" xfId="0" applyBorder="1" applyAlignment="1">
      <alignment horizontal="center" vertical="center"/>
    </xf>
    <xf numFmtId="0" fontId="123" fillId="29" borderId="0" xfId="0" applyFont="1" applyFill="1" applyAlignment="1">
      <alignment horizontal="left" vertical="top"/>
    </xf>
    <xf numFmtId="0" fontId="123" fillId="28" borderId="0" xfId="0" applyFont="1" applyFill="1" applyAlignment="1">
      <alignment horizontal="left" vertical="top"/>
    </xf>
    <xf numFmtId="0" fontId="123" fillId="0" borderId="0" xfId="0" applyFont="1" applyFill="1" applyAlignment="1">
      <alignment horizontal="left" vertical="top"/>
    </xf>
    <xf numFmtId="0" fontId="123" fillId="67" borderId="0" xfId="0" applyFont="1" applyFill="1" applyAlignment="1">
      <alignment horizontal="left" vertical="top"/>
    </xf>
    <xf numFmtId="0" fontId="0" fillId="67" borderId="29" xfId="0" applyFill="1" applyBorder="1"/>
    <xf numFmtId="0" fontId="14" fillId="67" borderId="29" xfId="0" applyFont="1" applyFill="1" applyBorder="1" applyAlignment="1">
      <alignment horizontal="center" vertical="center"/>
    </xf>
    <xf numFmtId="0" fontId="0" fillId="67" borderId="31" xfId="0" applyFill="1" applyBorder="1"/>
    <xf numFmtId="0" fontId="123" fillId="0" borderId="10" xfId="0" applyFont="1" applyBorder="1" applyAlignment="1">
      <alignment horizontal="left" vertical="top"/>
    </xf>
    <xf numFmtId="44" fontId="14" fillId="67" borderId="29" xfId="29" applyFont="1" applyFill="1" applyBorder="1" applyAlignment="1">
      <alignment horizontal="center" vertical="center"/>
    </xf>
    <xf numFmtId="0" fontId="0" fillId="0" borderId="0" xfId="0" applyBorder="1"/>
    <xf numFmtId="0" fontId="0" fillId="67" borderId="0" xfId="0" applyFill="1" applyBorder="1"/>
    <xf numFmtId="167" fontId="14" fillId="0" borderId="0" xfId="28" applyNumberFormat="1" applyFont="1" applyFill="1" applyBorder="1" applyAlignment="1">
      <alignment horizontal="center" vertical="center"/>
    </xf>
    <xf numFmtId="0" fontId="0" fillId="29" borderId="0" xfId="0" applyFill="1" applyBorder="1" applyAlignment="1">
      <alignment horizontal="center" vertical="center"/>
    </xf>
    <xf numFmtId="0" fontId="0" fillId="29" borderId="30" xfId="0" applyFill="1" applyBorder="1" applyAlignment="1">
      <alignment horizontal="center" vertical="center"/>
    </xf>
    <xf numFmtId="0" fontId="0" fillId="29" borderId="0" xfId="0" applyFill="1" applyBorder="1" applyAlignment="1">
      <alignment horizontal="center"/>
    </xf>
    <xf numFmtId="0" fontId="0" fillId="29" borderId="30" xfId="0" applyFill="1" applyBorder="1" applyAlignment="1">
      <alignment horizontal="center"/>
    </xf>
    <xf numFmtId="0" fontId="125" fillId="0" borderId="0" xfId="0" applyFont="1" applyAlignment="1">
      <alignment horizontal="left" vertical="top"/>
    </xf>
    <xf numFmtId="0" fontId="125" fillId="0" borderId="0" xfId="0" applyFont="1" applyFill="1" applyAlignment="1">
      <alignment horizontal="left" vertical="top"/>
    </xf>
    <xf numFmtId="167" fontId="14" fillId="0" borderId="30" xfId="28" applyNumberFormat="1" applyFont="1" applyFill="1" applyBorder="1" applyAlignment="1">
      <alignment horizontal="center" vertical="center"/>
    </xf>
    <xf numFmtId="0" fontId="124" fillId="0" borderId="0" xfId="0" applyFont="1" applyFill="1"/>
    <xf numFmtId="0" fontId="17" fillId="0" borderId="45" xfId="0" applyFont="1" applyFill="1" applyBorder="1"/>
    <xf numFmtId="0" fontId="17" fillId="0" borderId="0" xfId="0" applyFont="1" applyFill="1" applyBorder="1" applyAlignment="1">
      <alignment wrapText="1"/>
    </xf>
    <xf numFmtId="0" fontId="123" fillId="0" borderId="30" xfId="0" applyFont="1" applyBorder="1" applyAlignment="1">
      <alignment horizontal="left" vertical="top"/>
    </xf>
    <xf numFmtId="0" fontId="17" fillId="0" borderId="31" xfId="0" applyFont="1" applyFill="1" applyBorder="1"/>
    <xf numFmtId="0" fontId="17" fillId="0" borderId="46" xfId="0" applyFont="1" applyBorder="1"/>
    <xf numFmtId="0" fontId="0" fillId="0" borderId="71" xfId="0" applyBorder="1"/>
    <xf numFmtId="0" fontId="17" fillId="0" borderId="70" xfId="0" applyFont="1" applyFill="1" applyBorder="1" applyAlignment="1">
      <alignment horizontal="left" vertical="top"/>
    </xf>
    <xf numFmtId="0" fontId="0" fillId="0" borderId="71" xfId="0" applyFill="1" applyBorder="1"/>
    <xf numFmtId="0" fontId="14" fillId="0" borderId="71" xfId="0" applyFont="1" applyFill="1" applyBorder="1" applyAlignment="1">
      <alignment horizontal="center" vertical="center"/>
    </xf>
    <xf numFmtId="0" fontId="14" fillId="0" borderId="71" xfId="0" applyFont="1" applyFill="1" applyBorder="1" applyAlignment="1">
      <alignment horizontal="center" vertical="center" wrapText="1"/>
    </xf>
    <xf numFmtId="0" fontId="0" fillId="0" borderId="0" xfId="0" applyFill="1" applyBorder="1" applyAlignment="1">
      <alignment horizontal="center"/>
    </xf>
    <xf numFmtId="0" fontId="0" fillId="67" borderId="0" xfId="0" applyFill="1" applyBorder="1" applyAlignment="1">
      <alignment horizontal="center" vertical="center"/>
    </xf>
    <xf numFmtId="165" fontId="0" fillId="0" borderId="0" xfId="42" applyNumberFormat="1" applyFont="1" applyFill="1" applyBorder="1" applyAlignment="1">
      <alignment horizontal="center"/>
    </xf>
    <xf numFmtId="165" fontId="0" fillId="0" borderId="0" xfId="42" applyNumberFormat="1" applyFont="1" applyBorder="1" applyAlignment="1">
      <alignment horizontal="center" vertical="center"/>
    </xf>
    <xf numFmtId="165" fontId="0" fillId="0" borderId="29" xfId="42" applyNumberFormat="1" applyFont="1" applyFill="1" applyBorder="1"/>
    <xf numFmtId="0" fontId="0" fillId="0" borderId="30" xfId="0" applyBorder="1"/>
    <xf numFmtId="165" fontId="0" fillId="0" borderId="30" xfId="42" applyNumberFormat="1" applyFont="1" applyFill="1" applyBorder="1" applyAlignment="1">
      <alignment horizontal="center"/>
    </xf>
    <xf numFmtId="0" fontId="0" fillId="0" borderId="30" xfId="0" applyFill="1" applyBorder="1" applyAlignment="1">
      <alignment horizontal="center"/>
    </xf>
    <xf numFmtId="165" fontId="0" fillId="0" borderId="30" xfId="42" applyNumberFormat="1" applyFont="1" applyBorder="1" applyAlignment="1">
      <alignment horizontal="center" vertical="center"/>
    </xf>
    <xf numFmtId="0" fontId="0" fillId="0" borderId="45" xfId="0" applyFill="1" applyBorder="1"/>
    <xf numFmtId="0" fontId="0" fillId="0" borderId="31" xfId="0" applyBorder="1"/>
    <xf numFmtId="0" fontId="0" fillId="0" borderId="65" xfId="0" applyBorder="1"/>
    <xf numFmtId="0" fontId="17" fillId="0" borderId="65" xfId="0" applyFont="1" applyFill="1" applyBorder="1"/>
    <xf numFmtId="0" fontId="42" fillId="0" borderId="40" xfId="0" applyFont="1" applyBorder="1" applyAlignment="1">
      <alignment horizontal="center" vertical="center"/>
    </xf>
    <xf numFmtId="0" fontId="42" fillId="0" borderId="41" xfId="0" applyFont="1" applyBorder="1" applyAlignment="1">
      <alignment horizontal="center" vertical="center"/>
    </xf>
    <xf numFmtId="0" fontId="42" fillId="0" borderId="0" xfId="0" applyFont="1" applyBorder="1" applyAlignment="1">
      <alignment horizontal="center" vertical="center"/>
    </xf>
    <xf numFmtId="0" fontId="17" fillId="0" borderId="71" xfId="0" applyFont="1" applyFill="1" applyBorder="1"/>
    <xf numFmtId="0" fontId="120" fillId="0" borderId="48" xfId="0" applyFont="1" applyBorder="1"/>
    <xf numFmtId="0" fontId="126" fillId="0" borderId="0" xfId="0" applyFont="1" applyBorder="1" applyAlignment="1">
      <alignment horizontal="center" vertical="center"/>
    </xf>
    <xf numFmtId="0" fontId="120" fillId="0" borderId="46" xfId="0" applyFont="1" applyBorder="1"/>
    <xf numFmtId="0" fontId="120" fillId="0" borderId="30" xfId="0" applyFont="1" applyBorder="1" applyAlignment="1">
      <alignment horizontal="center" vertical="center"/>
    </xf>
    <xf numFmtId="165" fontId="0" fillId="0" borderId="31" xfId="42" applyNumberFormat="1" applyFont="1" applyFill="1" applyBorder="1"/>
    <xf numFmtId="0" fontId="0" fillId="67" borderId="0" xfId="0" applyFill="1" applyBorder="1" applyAlignment="1">
      <alignment horizontal="center"/>
    </xf>
    <xf numFmtId="165" fontId="0" fillId="0" borderId="0" xfId="42" applyNumberFormat="1" applyFont="1" applyBorder="1" applyAlignment="1">
      <alignment horizontal="center"/>
    </xf>
    <xf numFmtId="165" fontId="0" fillId="0" borderId="0" xfId="42" applyNumberFormat="1" applyFont="1" applyBorder="1"/>
    <xf numFmtId="165" fontId="0" fillId="0" borderId="30" xfId="42" applyNumberFormat="1" applyFont="1" applyBorder="1" applyAlignment="1">
      <alignment horizontal="center"/>
    </xf>
    <xf numFmtId="165" fontId="0" fillId="0" borderId="30" xfId="42" applyNumberFormat="1" applyFont="1" applyBorder="1"/>
    <xf numFmtId="0" fontId="42" fillId="0" borderId="0" xfId="0" quotePrefix="1" applyFont="1" applyBorder="1" applyAlignment="1">
      <alignment horizontal="center" vertical="center"/>
    </xf>
    <xf numFmtId="0" fontId="0" fillId="67" borderId="29" xfId="0" applyFill="1" applyBorder="1" applyAlignment="1">
      <alignment horizontal="center"/>
    </xf>
    <xf numFmtId="165" fontId="0" fillId="0" borderId="29" xfId="42" applyNumberFormat="1" applyFont="1" applyFill="1" applyBorder="1" applyAlignment="1">
      <alignment horizontal="center"/>
    </xf>
    <xf numFmtId="0" fontId="17" fillId="0" borderId="43" xfId="0" applyFont="1" applyBorder="1" applyAlignment="1">
      <alignment horizontal="center" vertical="center"/>
    </xf>
    <xf numFmtId="0" fontId="0" fillId="67" borderId="29" xfId="0" applyFill="1" applyBorder="1" applyAlignment="1">
      <alignment horizontal="center" vertical="center"/>
    </xf>
    <xf numFmtId="165" fontId="0" fillId="0" borderId="29" xfId="42" applyNumberFormat="1" applyFont="1" applyFill="1" applyBorder="1" applyAlignment="1">
      <alignment horizontal="center" vertical="center"/>
    </xf>
    <xf numFmtId="0" fontId="0" fillId="67" borderId="45" xfId="0" applyFill="1" applyBorder="1"/>
    <xf numFmtId="0" fontId="0" fillId="0" borderId="29" xfId="0" applyBorder="1"/>
    <xf numFmtId="0" fontId="0" fillId="0" borderId="109" xfId="0" applyBorder="1" applyAlignment="1">
      <alignment horizontal="center" vertical="center"/>
    </xf>
    <xf numFmtId="0" fontId="0" fillId="0" borderId="38" xfId="0" applyBorder="1" applyAlignment="1">
      <alignment horizontal="center" vertical="center"/>
    </xf>
    <xf numFmtId="0" fontId="0" fillId="0" borderId="110" xfId="0" applyBorder="1"/>
    <xf numFmtId="0" fontId="0" fillId="0" borderId="78" xfId="0" applyBorder="1"/>
    <xf numFmtId="0" fontId="17" fillId="0" borderId="28" xfId="0" applyFont="1" applyBorder="1"/>
    <xf numFmtId="0" fontId="17" fillId="0" borderId="80" xfId="0" applyFont="1" applyBorder="1" applyAlignment="1">
      <alignment horizontal="center" vertical="center" wrapText="1"/>
    </xf>
    <xf numFmtId="0" fontId="17" fillId="0" borderId="103"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65" xfId="0" applyFont="1" applyBorder="1"/>
    <xf numFmtId="0" fontId="17" fillId="0" borderId="22" xfId="0" applyFont="1" applyBorder="1" applyAlignment="1">
      <alignment horizontal="center" vertical="center" wrapText="1"/>
    </xf>
    <xf numFmtId="0" fontId="17" fillId="0" borderId="44" xfId="0" applyFont="1" applyBorder="1" applyAlignment="1">
      <alignment horizontal="center" vertical="center"/>
    </xf>
    <xf numFmtId="0" fontId="0" fillId="0" borderId="45" xfId="0" applyBorder="1"/>
    <xf numFmtId="0" fontId="0" fillId="0" borderId="43" xfId="0" applyBorder="1"/>
    <xf numFmtId="0" fontId="17" fillId="0" borderId="65" xfId="0" applyFont="1" applyBorder="1" applyAlignment="1">
      <alignment horizontal="center" vertical="center"/>
    </xf>
    <xf numFmtId="0" fontId="17" fillId="0" borderId="87" xfId="0" applyFont="1" applyBorder="1" applyAlignment="1">
      <alignment horizontal="center" vertical="center"/>
    </xf>
    <xf numFmtId="0" fontId="17" fillId="0" borderId="43" xfId="0" applyFont="1" applyFill="1" applyBorder="1" applyAlignment="1">
      <alignment horizontal="left" vertical="top"/>
    </xf>
    <xf numFmtId="0" fontId="42" fillId="0" borderId="48" xfId="0" applyFont="1" applyBorder="1" applyAlignment="1">
      <alignment horizontal="center" vertical="center"/>
    </xf>
    <xf numFmtId="0" fontId="42" fillId="0" borderId="70" xfId="0" applyFont="1" applyBorder="1" applyAlignment="1">
      <alignment horizontal="center" vertical="center"/>
    </xf>
    <xf numFmtId="0" fontId="17" fillId="0" borderId="38" xfId="0" applyFont="1" applyBorder="1"/>
    <xf numFmtId="0" fontId="0" fillId="0" borderId="41" xfId="0" applyBorder="1" applyAlignment="1">
      <alignment horizontal="center" vertical="center" wrapText="1"/>
    </xf>
    <xf numFmtId="0" fontId="0" fillId="0" borderId="46" xfId="0" applyBorder="1" applyAlignment="1">
      <alignment horizontal="center" vertical="center" wrapText="1"/>
    </xf>
    <xf numFmtId="165" fontId="0" fillId="0" borderId="31" xfId="42" applyNumberFormat="1" applyFont="1" applyFill="1" applyBorder="1" applyAlignment="1">
      <alignment horizontal="center" vertical="center"/>
    </xf>
    <xf numFmtId="0" fontId="17" fillId="0" borderId="40" xfId="0" applyFont="1" applyBorder="1" applyAlignment="1">
      <alignment horizontal="center" vertical="center"/>
    </xf>
    <xf numFmtId="0" fontId="120" fillId="0" borderId="0" xfId="0" applyFont="1" applyFill="1"/>
    <xf numFmtId="0" fontId="0" fillId="0" borderId="0" xfId="0" applyAlignment="1">
      <alignment horizontal="left" wrapText="1"/>
    </xf>
    <xf numFmtId="0" fontId="0" fillId="29" borderId="0" xfId="0" applyFill="1" applyAlignment="1">
      <alignment horizontal="center" vertical="top"/>
    </xf>
    <xf numFmtId="0" fontId="21" fillId="0" borderId="0" xfId="0" applyFont="1" applyAlignment="1" applyProtection="1">
      <alignment horizontal="center"/>
      <protection locked="0"/>
    </xf>
    <xf numFmtId="0" fontId="17" fillId="0" borderId="33" xfId="0" applyFont="1" applyBorder="1" applyAlignment="1" applyProtection="1">
      <alignment horizontal="left"/>
      <protection locked="0"/>
    </xf>
    <xf numFmtId="0" fontId="17" fillId="0" borderId="54" xfId="0" quotePrefix="1" applyFont="1" applyBorder="1" applyAlignment="1" applyProtection="1">
      <alignment horizontal="left"/>
      <protection locked="0"/>
    </xf>
    <xf numFmtId="0" fontId="16" fillId="0" borderId="0" xfId="46" applyFont="1" applyAlignment="1" applyProtection="1">
      <alignment horizontal="right" vertical="top"/>
      <protection locked="0"/>
    </xf>
    <xf numFmtId="0" fontId="17" fillId="63" borderId="17" xfId="46" applyFont="1" applyFill="1" applyBorder="1" applyAlignment="1" applyProtection="1">
      <alignment horizontal="center" vertical="center"/>
      <protection locked="0"/>
    </xf>
    <xf numFmtId="0" fontId="17" fillId="63" borderId="106" xfId="46" applyFont="1" applyFill="1" applyBorder="1" applyAlignment="1" applyProtection="1">
      <alignment horizontal="center" vertical="center"/>
      <protection locked="0"/>
    </xf>
    <xf numFmtId="0" fontId="17" fillId="0" borderId="70" xfId="46" applyFont="1" applyFill="1" applyBorder="1" applyAlignment="1" applyProtection="1">
      <alignment horizontal="center"/>
      <protection locked="0"/>
    </xf>
    <xf numFmtId="0" fontId="17" fillId="0" borderId="30" xfId="0" applyFont="1" applyBorder="1" applyAlignment="1" applyProtection="1">
      <alignment horizontal="center"/>
      <protection locked="0"/>
    </xf>
    <xf numFmtId="0" fontId="21" fillId="0" borderId="0" xfId="0" applyFont="1" applyBorder="1" applyAlignment="1" applyProtection="1">
      <alignment horizontal="center"/>
      <protection locked="0"/>
    </xf>
    <xf numFmtId="0" fontId="14" fillId="0" borderId="0" xfId="46" applyFont="1" applyAlignment="1" applyProtection="1">
      <alignment horizontal="left" vertical="center" wrapText="1"/>
      <protection locked="0"/>
    </xf>
    <xf numFmtId="0" fontId="96" fillId="0" borderId="0" xfId="46" applyFont="1" applyAlignment="1" applyProtection="1">
      <alignment horizontal="left" vertical="center" wrapText="1"/>
      <protection locked="0"/>
    </xf>
    <xf numFmtId="0" fontId="17" fillId="0" borderId="0" xfId="0" applyFont="1" applyAlignment="1">
      <alignment horizontal="right" vertical="top"/>
    </xf>
    <xf numFmtId="166" fontId="14" fillId="29" borderId="25" xfId="29" applyNumberFormat="1" applyFill="1" applyBorder="1" applyAlignment="1" applyProtection="1">
      <alignment horizontal="left" vertical="top" wrapText="1"/>
      <protection locked="0"/>
    </xf>
    <xf numFmtId="166" fontId="14" fillId="29" borderId="68" xfId="29" applyNumberFormat="1" applyFill="1" applyBorder="1" applyAlignment="1" applyProtection="1">
      <alignment horizontal="left" vertical="top" wrapText="1"/>
      <protection locked="0"/>
    </xf>
    <xf numFmtId="166" fontId="14" fillId="29" borderId="63" xfId="29" applyNumberFormat="1" applyFill="1" applyBorder="1" applyAlignment="1" applyProtection="1">
      <alignment horizontal="left" vertical="top" wrapText="1"/>
      <protection locked="0"/>
    </xf>
    <xf numFmtId="0" fontId="22" fillId="0" borderId="0" xfId="0" quotePrefix="1" applyFont="1" applyAlignment="1" applyProtection="1">
      <alignment horizontal="center"/>
      <protection locked="0"/>
    </xf>
    <xf numFmtId="0" fontId="17" fillId="0" borderId="71" xfId="46" applyFont="1" applyFill="1" applyBorder="1" applyAlignment="1" applyProtection="1">
      <alignment horizontal="center"/>
      <protection locked="0"/>
    </xf>
    <xf numFmtId="0" fontId="0" fillId="28" borderId="170" xfId="0" applyNumberFormat="1" applyFill="1" applyBorder="1" applyAlignment="1" applyProtection="1">
      <alignment vertical="center"/>
      <protection locked="0"/>
    </xf>
    <xf numFmtId="0" fontId="0" fillId="0" borderId="171" xfId="0" applyBorder="1"/>
    <xf numFmtId="0" fontId="98" fillId="0" borderId="0" xfId="0" applyFont="1"/>
    <xf numFmtId="0" fontId="48" fillId="0" borderId="42" xfId="93" applyFont="1" applyBorder="1" applyAlignment="1" applyProtection="1">
      <alignment horizontal="center" vertical="center"/>
      <protection locked="0"/>
    </xf>
    <xf numFmtId="0" fontId="17" fillId="64" borderId="43" xfId="46" applyFont="1" applyFill="1" applyBorder="1" applyAlignment="1" applyProtection="1">
      <alignment horizontal="center" vertical="center" wrapText="1"/>
      <protection locked="0"/>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65" xfId="0" applyFont="1" applyBorder="1" applyAlignment="1">
      <alignment horizontal="center" vertical="center"/>
    </xf>
    <xf numFmtId="0" fontId="0" fillId="0" borderId="0" xfId="0" applyAlignment="1" applyProtection="1">
      <alignment horizontal="right"/>
      <protection locked="0"/>
    </xf>
    <xf numFmtId="0" fontId="17" fillId="0" borderId="0" xfId="0" applyFont="1" applyAlignment="1" applyProtection="1">
      <alignment horizontal="right" vertical="top"/>
      <protection locked="0"/>
    </xf>
    <xf numFmtId="0" fontId="17" fillId="64" borderId="74" xfId="46" applyFont="1" applyFill="1" applyBorder="1" applyAlignment="1" applyProtection="1">
      <alignment horizontal="center" vertical="center" wrapText="1"/>
      <protection locked="0"/>
    </xf>
    <xf numFmtId="0" fontId="14" fillId="0" borderId="0" xfId="46" applyAlignment="1" applyProtection="1">
      <alignment horizontal="right" vertical="top"/>
      <protection locked="0"/>
    </xf>
    <xf numFmtId="166" fontId="0" fillId="29" borderId="76" xfId="0" applyNumberFormat="1" applyFill="1" applyBorder="1" applyAlignment="1" applyProtection="1">
      <alignment horizontal="right" vertical="center"/>
      <protection locked="0"/>
    </xf>
    <xf numFmtId="166" fontId="0" fillId="29" borderId="27" xfId="0" applyNumberFormat="1" applyFill="1" applyBorder="1" applyAlignment="1" applyProtection="1">
      <alignment horizontal="right" vertical="center"/>
      <protection locked="0"/>
    </xf>
    <xf numFmtId="166" fontId="0" fillId="29" borderId="28" xfId="0" applyNumberFormat="1" applyFill="1" applyBorder="1" applyAlignment="1" applyProtection="1">
      <alignment horizontal="right" vertical="center"/>
      <protection locked="0"/>
    </xf>
    <xf numFmtId="0" fontId="0" fillId="29" borderId="10" xfId="0" applyFill="1" applyBorder="1" applyAlignment="1" applyProtection="1">
      <alignment wrapText="1"/>
      <protection locked="0"/>
    </xf>
    <xf numFmtId="0" fontId="14" fillId="29" borderId="10" xfId="0" applyFont="1" applyFill="1" applyBorder="1" applyProtection="1">
      <protection locked="0"/>
    </xf>
    <xf numFmtId="0" fontId="14" fillId="29" borderId="10" xfId="0" applyFont="1" applyFill="1" applyBorder="1" applyAlignment="1" applyProtection="1">
      <alignment wrapText="1"/>
      <protection locked="0"/>
    </xf>
    <xf numFmtId="0" fontId="21" fillId="0" borderId="0" xfId="0" applyFont="1" applyAlignment="1" applyProtection="1">
      <alignment horizontal="center"/>
      <protection locked="0"/>
    </xf>
    <xf numFmtId="0" fontId="14" fillId="0" borderId="0" xfId="0" applyFont="1" applyAlignment="1" applyProtection="1">
      <alignment vertical="top" wrapText="1"/>
      <protection locked="0"/>
    </xf>
    <xf numFmtId="0" fontId="17" fillId="64" borderId="11" xfId="0" applyFont="1" applyFill="1" applyBorder="1" applyAlignment="1" applyProtection="1">
      <alignment horizontal="center" vertical="center" wrapText="1"/>
      <protection locked="0"/>
    </xf>
    <xf numFmtId="0" fontId="14" fillId="0" borderId="10" xfId="46" applyBorder="1" applyAlignment="1" applyProtection="1">
      <alignment horizontal="left" vertical="center"/>
      <protection locked="0"/>
    </xf>
    <xf numFmtId="0" fontId="14" fillId="0" borderId="10" xfId="46" applyBorder="1" applyAlignment="1" applyProtection="1">
      <alignment horizontal="center" vertical="center"/>
      <protection locked="0"/>
    </xf>
    <xf numFmtId="0" fontId="14" fillId="0" borderId="0" xfId="46" applyAlignment="1" applyProtection="1">
      <alignment horizontal="center"/>
      <protection locked="0"/>
    </xf>
    <xf numFmtId="0" fontId="14" fillId="0" borderId="0" xfId="46" applyAlignment="1" applyProtection="1">
      <protection locked="0"/>
    </xf>
    <xf numFmtId="166" fontId="0" fillId="0" borderId="0" xfId="29" applyNumberFormat="1" applyFont="1" applyBorder="1" applyProtection="1">
      <protection locked="0"/>
    </xf>
    <xf numFmtId="165" fontId="2" fillId="29" borderId="10" xfId="42" applyNumberFormat="1" applyFont="1" applyFill="1" applyBorder="1" applyAlignment="1" applyProtection="1">
      <alignment horizontal="center" vertical="center"/>
      <protection locked="0"/>
    </xf>
    <xf numFmtId="0" fontId="17" fillId="0" borderId="12" xfId="46" applyFont="1" applyBorder="1" applyAlignment="1" applyProtection="1">
      <alignment horizontal="center" vertical="center"/>
      <protection locked="0"/>
    </xf>
    <xf numFmtId="0" fontId="21" fillId="0" borderId="0" xfId="0" applyFont="1" applyAlignment="1" applyProtection="1">
      <alignment horizontal="center"/>
      <protection locked="0"/>
    </xf>
    <xf numFmtId="0" fontId="14" fillId="0" borderId="0" xfId="46" applyAlignment="1" applyProtection="1">
      <alignment horizontal="center"/>
      <protection locked="0"/>
    </xf>
    <xf numFmtId="0" fontId="17" fillId="0" borderId="0" xfId="46" applyFont="1" applyAlignment="1" applyProtection="1">
      <alignment horizontal="center" vertical="center"/>
      <protection locked="0"/>
    </xf>
    <xf numFmtId="0" fontId="17" fillId="0" borderId="0" xfId="0" applyFont="1" applyAlignment="1" applyProtection="1">
      <alignment horizontal="center" vertical="center"/>
      <protection locked="0"/>
    </xf>
    <xf numFmtId="166" fontId="14" fillId="29" borderId="10" xfId="29" applyNumberFormat="1" applyFont="1" applyFill="1" applyBorder="1" applyProtection="1">
      <protection locked="0"/>
    </xf>
    <xf numFmtId="0" fontId="17" fillId="29" borderId="27" xfId="0" applyFont="1" applyFill="1" applyBorder="1" applyAlignment="1" applyProtection="1">
      <alignment horizontal="center"/>
      <protection locked="0"/>
    </xf>
    <xf numFmtId="0" fontId="14" fillId="29" borderId="90" xfId="0" applyFont="1" applyFill="1" applyBorder="1" applyProtection="1">
      <protection locked="0"/>
    </xf>
    <xf numFmtId="166" fontId="0" fillId="29" borderId="68" xfId="29" applyNumberFormat="1" applyFont="1" applyFill="1" applyBorder="1" applyProtection="1">
      <protection locked="0"/>
    </xf>
    <xf numFmtId="0" fontId="14" fillId="29" borderId="72" xfId="0" applyFont="1" applyFill="1" applyBorder="1" applyProtection="1">
      <protection locked="0"/>
    </xf>
    <xf numFmtId="44" fontId="0" fillId="0" borderId="0" xfId="0" applyNumberFormat="1" applyBorder="1" applyProtection="1">
      <protection locked="0"/>
    </xf>
    <xf numFmtId="171" fontId="14" fillId="29" borderId="10" xfId="0" quotePrefix="1" applyNumberFormat="1" applyFont="1" applyFill="1" applyBorder="1" applyProtection="1">
      <protection locked="0"/>
    </xf>
    <xf numFmtId="0" fontId="17" fillId="29" borderId="27" xfId="0" applyFont="1" applyFill="1" applyBorder="1" applyAlignment="1">
      <alignment horizontal="center"/>
    </xf>
    <xf numFmtId="0" fontId="17" fillId="29" borderId="10" xfId="0" applyFont="1" applyFill="1" applyBorder="1"/>
    <xf numFmtId="166" fontId="0" fillId="29" borderId="10" xfId="0" applyNumberFormat="1" applyFill="1" applyBorder="1" applyProtection="1">
      <protection locked="0"/>
    </xf>
    <xf numFmtId="166" fontId="0" fillId="29" borderId="36" xfId="0" applyNumberFormat="1" applyFill="1" applyBorder="1" applyProtection="1">
      <protection locked="0"/>
    </xf>
    <xf numFmtId="0" fontId="14" fillId="0" borderId="0" xfId="46" applyAlignment="1" applyProtection="1">
      <alignment horizontal="center"/>
      <protection locked="0"/>
    </xf>
    <xf numFmtId="0" fontId="14" fillId="0" borderId="10" xfId="46" applyBorder="1" applyAlignment="1" applyProtection="1">
      <alignment horizontal="left" vertical="center"/>
      <protection locked="0"/>
    </xf>
    <xf numFmtId="0" fontId="14" fillId="0" borderId="10" xfId="46" applyBorder="1" applyAlignment="1" applyProtection="1">
      <alignment horizontal="center" vertical="center"/>
      <protection locked="0"/>
    </xf>
    <xf numFmtId="0" fontId="14" fillId="0" borderId="0" xfId="46" applyAlignment="1" applyProtection="1">
      <alignment horizontal="center"/>
      <protection locked="0"/>
    </xf>
    <xf numFmtId="0" fontId="14" fillId="0" borderId="0" xfId="46" applyAlignment="1" applyProtection="1">
      <protection locked="0"/>
    </xf>
    <xf numFmtId="0" fontId="14" fillId="0" borderId="10" xfId="46" applyBorder="1" applyAlignment="1" applyProtection="1">
      <alignment horizontal="center" vertical="center"/>
      <protection locked="0"/>
    </xf>
    <xf numFmtId="0" fontId="14" fillId="0" borderId="10" xfId="46" applyBorder="1" applyAlignment="1" applyProtection="1">
      <alignment horizontal="left" vertical="center"/>
      <protection locked="0"/>
    </xf>
    <xf numFmtId="0" fontId="14" fillId="0" borderId="27" xfId="46" applyBorder="1" applyAlignment="1" applyProtection="1">
      <alignment horizontal="center" vertical="center"/>
      <protection locked="0"/>
    </xf>
    <xf numFmtId="0" fontId="14" fillId="0" borderId="0" xfId="46" applyAlignment="1" applyProtection="1">
      <alignment horizontal="center"/>
      <protection locked="0"/>
    </xf>
    <xf numFmtId="0" fontId="14" fillId="0" borderId="0" xfId="46" applyAlignment="1" applyProtection="1">
      <protection locked="0"/>
    </xf>
    <xf numFmtId="0" fontId="21" fillId="0" borderId="0" xfId="46" applyFont="1" applyAlignment="1" applyProtection="1">
      <alignment horizontal="center"/>
      <protection locked="0"/>
    </xf>
    <xf numFmtId="0" fontId="14" fillId="0" borderId="10" xfId="46" applyFont="1" applyBorder="1" applyAlignment="1" applyProtection="1">
      <alignment horizontal="left" vertical="center"/>
      <protection locked="0"/>
    </xf>
    <xf numFmtId="0" fontId="14" fillId="0" borderId="10" xfId="46" applyBorder="1" applyAlignment="1" applyProtection="1">
      <alignment horizontal="left" vertical="center"/>
      <protection locked="0"/>
    </xf>
    <xf numFmtId="0" fontId="14" fillId="0" borderId="27" xfId="46" applyBorder="1" applyAlignment="1" applyProtection="1">
      <alignment horizontal="center" vertical="center"/>
      <protection locked="0"/>
    </xf>
    <xf numFmtId="3" fontId="0" fillId="65" borderId="10" xfId="29" applyNumberFormat="1" applyFont="1" applyFill="1" applyBorder="1" applyProtection="1">
      <protection locked="0"/>
    </xf>
    <xf numFmtId="0" fontId="83" fillId="0" borderId="0" xfId="0" applyFont="1" applyProtection="1">
      <protection locked="0"/>
    </xf>
    <xf numFmtId="167" fontId="0" fillId="0" borderId="10" xfId="28" applyNumberFormat="1" applyFont="1" applyBorder="1"/>
    <xf numFmtId="43" fontId="17" fillId="0" borderId="10" xfId="28" applyFont="1" applyFill="1" applyBorder="1" applyProtection="1">
      <protection locked="0"/>
    </xf>
    <xf numFmtId="43" fontId="112" fillId="0" borderId="31" xfId="127" applyNumberFormat="1" applyFont="1" applyBorder="1" applyProtection="1">
      <protection locked="0"/>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0" fillId="67" borderId="43" xfId="0" applyFill="1" applyBorder="1"/>
    <xf numFmtId="167" fontId="14" fillId="29" borderId="40" xfId="28" applyNumberFormat="1" applyFont="1" applyFill="1" applyBorder="1" applyAlignment="1">
      <alignment horizontal="center" vertical="center"/>
    </xf>
    <xf numFmtId="3" fontId="0" fillId="67" borderId="29" xfId="0" applyNumberFormat="1" applyFill="1" applyBorder="1"/>
    <xf numFmtId="167" fontId="0" fillId="0" borderId="110" xfId="28" applyNumberFormat="1" applyFont="1" applyBorder="1"/>
    <xf numFmtId="0" fontId="0" fillId="0" borderId="48" xfId="0" applyBorder="1" applyAlignment="1">
      <alignment horizontal="center" vertical="center"/>
    </xf>
    <xf numFmtId="167" fontId="0" fillId="0" borderId="0" xfId="28" applyNumberFormat="1" applyFont="1" applyBorder="1"/>
    <xf numFmtId="167" fontId="0" fillId="0" borderId="30" xfId="28" applyNumberFormat="1" applyFont="1" applyBorder="1"/>
    <xf numFmtId="0" fontId="0" fillId="0" borderId="93" xfId="0" applyBorder="1" applyAlignment="1">
      <alignment horizontal="center" vertical="center"/>
    </xf>
    <xf numFmtId="3" fontId="14" fillId="29" borderId="0" xfId="0" applyNumberFormat="1" applyFont="1" applyFill="1" applyBorder="1" applyAlignment="1">
      <alignment horizontal="center" vertical="center"/>
    </xf>
    <xf numFmtId="3" fontId="0" fillId="29" borderId="0" xfId="0" applyNumberFormat="1" applyFill="1" applyBorder="1" applyAlignment="1">
      <alignment horizontal="center"/>
    </xf>
    <xf numFmtId="3" fontId="0" fillId="29" borderId="30" xfId="0" applyNumberFormat="1" applyFill="1" applyBorder="1" applyAlignment="1">
      <alignment horizontal="center"/>
    </xf>
    <xf numFmtId="167" fontId="0" fillId="0" borderId="48" xfId="28" applyNumberFormat="1" applyFont="1" applyBorder="1"/>
    <xf numFmtId="167" fontId="0" fillId="0" borderId="40" xfId="28" applyNumberFormat="1" applyFont="1" applyBorder="1"/>
    <xf numFmtId="167" fontId="0" fillId="0" borderId="46" xfId="28" applyNumberFormat="1" applyFont="1" applyBorder="1"/>
    <xf numFmtId="167" fontId="0" fillId="0" borderId="41" xfId="28" applyNumberFormat="1" applyFont="1" applyBorder="1"/>
    <xf numFmtId="0" fontId="0" fillId="0" borderId="70" xfId="0" applyBorder="1" applyAlignment="1">
      <alignment horizontal="center" vertical="center"/>
    </xf>
    <xf numFmtId="167" fontId="0" fillId="0" borderId="43" xfId="28" applyNumberFormat="1" applyFont="1" applyBorder="1"/>
    <xf numFmtId="3" fontId="14" fillId="29" borderId="30" xfId="0" applyNumberFormat="1" applyFont="1" applyFill="1" applyBorder="1" applyAlignment="1">
      <alignment horizontal="center" vertical="center"/>
    </xf>
    <xf numFmtId="0" fontId="17" fillId="29" borderId="15" xfId="0" applyFont="1" applyFill="1" applyBorder="1" applyProtection="1">
      <protection locked="0"/>
    </xf>
    <xf numFmtId="0" fontId="17" fillId="29" borderId="18" xfId="0" applyFont="1" applyFill="1" applyBorder="1" applyProtection="1">
      <protection locked="0"/>
    </xf>
    <xf numFmtId="0" fontId="17" fillId="29" borderId="16" xfId="0" applyFont="1" applyFill="1" applyBorder="1" applyAlignment="1" applyProtection="1">
      <alignment wrapText="1"/>
      <protection locked="0"/>
    </xf>
    <xf numFmtId="0" fontId="17" fillId="0" borderId="50" xfId="0" applyFont="1" applyFill="1" applyBorder="1" applyAlignment="1" applyProtection="1">
      <alignment horizontal="center" wrapText="1"/>
      <protection locked="0"/>
    </xf>
    <xf numFmtId="167" fontId="17" fillId="29" borderId="15" xfId="28" applyNumberFormat="1" applyFont="1" applyFill="1" applyBorder="1" applyProtection="1">
      <protection locked="0"/>
    </xf>
    <xf numFmtId="167" fontId="17" fillId="29" borderId="33" xfId="28" applyNumberFormat="1" applyFont="1" applyFill="1" applyBorder="1" applyProtection="1">
      <protection locked="0"/>
    </xf>
    <xf numFmtId="167" fontId="17" fillId="29" borderId="33" xfId="28" applyNumberFormat="1" applyFont="1" applyFill="1" applyBorder="1" applyAlignment="1" applyProtection="1">
      <alignment wrapText="1"/>
      <protection locked="0"/>
    </xf>
    <xf numFmtId="0" fontId="56" fillId="0" borderId="0" xfId="0" applyFont="1" applyAlignment="1" applyProtection="1">
      <alignment horizontal="right" vertical="center" wrapText="1"/>
    </xf>
    <xf numFmtId="0" fontId="56" fillId="0" borderId="154" xfId="0" applyFont="1" applyBorder="1" applyAlignment="1" applyProtection="1">
      <alignment horizontal="right" vertical="center" wrapText="1"/>
    </xf>
    <xf numFmtId="0" fontId="0" fillId="0" borderId="0" xfId="0" applyAlignment="1">
      <alignment horizontal="left"/>
    </xf>
    <xf numFmtId="0" fontId="14" fillId="0" borderId="0" xfId="0" applyFont="1" applyAlignment="1">
      <alignment horizontal="left" wrapText="1"/>
    </xf>
    <xf numFmtId="0" fontId="0" fillId="0" borderId="0" xfId="0" applyAlignment="1">
      <alignment horizontal="left" wrapText="1"/>
    </xf>
    <xf numFmtId="0" fontId="37" fillId="0" borderId="48" xfId="0" applyFont="1" applyBorder="1" applyAlignment="1">
      <alignment horizontal="left" vertical="top" wrapText="1"/>
    </xf>
    <xf numFmtId="0" fontId="37" fillId="0" borderId="0" xfId="0" applyFont="1" applyBorder="1" applyAlignment="1">
      <alignment horizontal="left" vertical="top" wrapText="1"/>
    </xf>
    <xf numFmtId="0" fontId="0" fillId="28" borderId="94" xfId="0" applyNumberFormat="1" applyFill="1" applyBorder="1" applyAlignment="1" applyProtection="1">
      <alignment horizontal="center" vertical="center"/>
      <protection locked="0"/>
    </xf>
    <xf numFmtId="0" fontId="0" fillId="28" borderId="95" xfId="0" applyNumberFormat="1" applyFill="1" applyBorder="1" applyAlignment="1" applyProtection="1">
      <alignment horizontal="center" vertical="center"/>
      <protection locked="0"/>
    </xf>
    <xf numFmtId="0" fontId="0" fillId="28" borderId="96" xfId="0" applyNumberFormat="1" applyFill="1" applyBorder="1" applyAlignment="1" applyProtection="1">
      <alignment horizontal="center" vertical="center"/>
      <protection locked="0"/>
    </xf>
    <xf numFmtId="0" fontId="56" fillId="0" borderId="0" xfId="0" applyFont="1" applyAlignment="1" applyProtection="1">
      <alignment horizontal="right" vertical="center" wrapText="1" indent="1"/>
    </xf>
    <xf numFmtId="0" fontId="56" fillId="0" borderId="0" xfId="0" applyFont="1" applyBorder="1" applyAlignment="1" applyProtection="1">
      <alignment horizontal="center" vertical="top" wrapText="1"/>
    </xf>
    <xf numFmtId="0" fontId="56" fillId="0" borderId="154" xfId="0" applyFont="1" applyBorder="1" applyAlignment="1" applyProtection="1">
      <alignment horizontal="center" vertical="top" wrapText="1"/>
    </xf>
    <xf numFmtId="0" fontId="0" fillId="29" borderId="97" xfId="0" applyFill="1" applyBorder="1" applyAlignment="1" applyProtection="1">
      <alignment vertical="center"/>
      <protection locked="0"/>
    </xf>
    <xf numFmtId="0" fontId="0" fillId="29" borderId="98" xfId="0" applyFill="1" applyBorder="1" applyAlignment="1" applyProtection="1">
      <alignment vertical="center"/>
      <protection locked="0"/>
    </xf>
    <xf numFmtId="0" fontId="0" fillId="29" borderId="99" xfId="0" applyFill="1" applyBorder="1" applyAlignment="1" applyProtection="1">
      <alignment vertical="center"/>
      <protection locked="0"/>
    </xf>
    <xf numFmtId="0" fontId="0" fillId="28" borderId="94" xfId="0" applyFill="1" applyBorder="1" applyAlignment="1" applyProtection="1">
      <alignment horizontal="left" vertical="center" wrapText="1"/>
      <protection locked="0"/>
    </xf>
    <xf numFmtId="0" fontId="0" fillId="28" borderId="95" xfId="0" applyFill="1" applyBorder="1" applyAlignment="1" applyProtection="1">
      <alignment horizontal="left" vertical="center" wrapText="1"/>
      <protection locked="0"/>
    </xf>
    <xf numFmtId="0" fontId="0" fillId="28" borderId="96" xfId="0" applyFill="1" applyBorder="1" applyAlignment="1" applyProtection="1">
      <alignment horizontal="left" vertical="center" wrapText="1"/>
      <protection locked="0"/>
    </xf>
    <xf numFmtId="0" fontId="14" fillId="29" borderId="94" xfId="0" applyFont="1" applyFill="1" applyBorder="1" applyAlignment="1" applyProtection="1">
      <alignment vertical="center"/>
      <protection locked="0"/>
    </xf>
    <xf numFmtId="0" fontId="0" fillId="29" borderId="95" xfId="0" applyFill="1" applyBorder="1" applyAlignment="1" applyProtection="1">
      <alignment vertical="center"/>
      <protection locked="0"/>
    </xf>
    <xf numFmtId="0" fontId="0" fillId="29" borderId="96" xfId="0" applyFill="1" applyBorder="1" applyAlignment="1" applyProtection="1">
      <alignment vertical="center"/>
      <protection locked="0"/>
    </xf>
    <xf numFmtId="0" fontId="0" fillId="29" borderId="94" xfId="0" applyFill="1" applyBorder="1" applyAlignment="1" applyProtection="1">
      <alignment vertical="center"/>
      <protection locked="0"/>
    </xf>
    <xf numFmtId="0" fontId="0" fillId="64" borderId="94" xfId="0" applyNumberFormat="1" applyFill="1" applyBorder="1" applyAlignment="1" applyProtection="1">
      <alignment horizontal="center" vertical="center"/>
      <protection locked="0"/>
    </xf>
    <xf numFmtId="0" fontId="0" fillId="64" borderId="95" xfId="0" applyNumberFormat="1" applyFill="1" applyBorder="1" applyAlignment="1" applyProtection="1">
      <alignment horizontal="center" vertical="center"/>
      <protection locked="0"/>
    </xf>
    <xf numFmtId="0" fontId="0" fillId="64" borderId="96" xfId="0" applyNumberFormat="1" applyFill="1" applyBorder="1" applyAlignment="1" applyProtection="1">
      <alignment horizontal="center" vertical="center"/>
      <protection locked="0"/>
    </xf>
    <xf numFmtId="0" fontId="14" fillId="0" borderId="0" xfId="0" applyFont="1" applyAlignment="1">
      <alignment horizontal="left" vertical="top" wrapText="1"/>
    </xf>
    <xf numFmtId="0" fontId="14" fillId="0" borderId="0" xfId="0" applyFont="1" applyAlignment="1" applyProtection="1">
      <alignment horizontal="left" wrapText="1"/>
      <protection locked="0"/>
    </xf>
    <xf numFmtId="0" fontId="0" fillId="0" borderId="0" xfId="0" applyAlignment="1" applyProtection="1">
      <alignment horizontal="left" wrapText="1"/>
      <protection locked="0"/>
    </xf>
    <xf numFmtId="0" fontId="21" fillId="0" borderId="0" xfId="0" applyFont="1" applyAlignment="1" applyProtection="1">
      <alignment horizontal="center"/>
      <protection locked="0"/>
    </xf>
    <xf numFmtId="0" fontId="21" fillId="0" borderId="0" xfId="0" applyFont="1" applyAlignment="1" applyProtection="1">
      <alignment horizontal="center" vertical="center"/>
      <protection locked="0"/>
    </xf>
    <xf numFmtId="0" fontId="98" fillId="0" borderId="0" xfId="0" applyFont="1" applyAlignment="1" applyProtection="1">
      <alignment vertical="center" wrapText="1"/>
      <protection locked="0"/>
    </xf>
    <xf numFmtId="0" fontId="0" fillId="0" borderId="0" xfId="0" applyAlignment="1" applyProtection="1">
      <alignment wrapText="1"/>
      <protection locked="0"/>
    </xf>
    <xf numFmtId="0" fontId="17" fillId="0" borderId="0" xfId="0" applyFont="1" applyAlignment="1">
      <alignment horizontal="left" vertical="top"/>
    </xf>
    <xf numFmtId="0" fontId="0" fillId="29" borderId="0" xfId="0" applyFill="1" applyAlignment="1">
      <alignment horizontal="left" vertical="top" wrapText="1"/>
    </xf>
    <xf numFmtId="0" fontId="21" fillId="0" borderId="0" xfId="46" applyFont="1" applyAlignment="1">
      <alignment horizontal="center"/>
    </xf>
    <xf numFmtId="0" fontId="21" fillId="0" borderId="0" xfId="0" applyFont="1" applyAlignment="1">
      <alignment horizontal="center" vertical="center"/>
    </xf>
    <xf numFmtId="0" fontId="17" fillId="0" borderId="0" xfId="0" applyFont="1" applyAlignment="1" applyProtection="1">
      <alignment horizontal="left" wrapText="1"/>
      <protection locked="0"/>
    </xf>
    <xf numFmtId="0" fontId="21" fillId="0" borderId="0" xfId="0" applyFont="1" applyAlignment="1" applyProtection="1">
      <alignment horizontal="center" vertical="top"/>
      <protection locked="0"/>
    </xf>
    <xf numFmtId="0" fontId="14" fillId="0" borderId="0" xfId="0" applyFont="1" applyAlignment="1" applyProtection="1">
      <alignment horizontal="left" vertical="top" wrapText="1"/>
      <protection locked="0"/>
    </xf>
    <xf numFmtId="0" fontId="37" fillId="0" borderId="0" xfId="0" applyFont="1" applyAlignment="1" applyProtection="1">
      <alignment horizontal="left" vertical="top" wrapText="1"/>
      <protection locked="0"/>
    </xf>
    <xf numFmtId="0" fontId="109" fillId="29" borderId="106" xfId="0" applyFont="1" applyFill="1" applyBorder="1" applyAlignment="1" applyProtection="1">
      <alignment horizontal="left" vertical="top"/>
      <protection locked="0"/>
    </xf>
    <xf numFmtId="0" fontId="109" fillId="29" borderId="83" xfId="0" applyFont="1" applyFill="1" applyBorder="1" applyAlignment="1" applyProtection="1">
      <alignment horizontal="left" vertical="top"/>
      <protection locked="0"/>
    </xf>
    <xf numFmtId="0" fontId="109" fillId="29" borderId="18" xfId="0" applyFont="1" applyFill="1" applyBorder="1" applyAlignment="1" applyProtection="1">
      <alignment horizontal="left" vertical="top"/>
      <protection locked="0"/>
    </xf>
    <xf numFmtId="0" fontId="109" fillId="29" borderId="77" xfId="0" applyFont="1" applyFill="1" applyBorder="1" applyAlignment="1" applyProtection="1">
      <alignment horizontal="left" vertical="top"/>
      <protection locked="0"/>
    </xf>
    <xf numFmtId="0" fontId="109" fillId="29" borderId="12" xfId="0" applyFont="1" applyFill="1" applyBorder="1" applyAlignment="1" applyProtection="1">
      <alignment horizontal="left" vertical="top"/>
      <protection locked="0"/>
    </xf>
    <xf numFmtId="0" fontId="109" fillId="29" borderId="16" xfId="0" applyFont="1" applyFill="1" applyBorder="1" applyAlignment="1" applyProtection="1">
      <alignment horizontal="left" vertical="top"/>
      <protection locked="0"/>
    </xf>
    <xf numFmtId="0" fontId="77" fillId="0" borderId="75" xfId="0" applyFont="1" applyBorder="1" applyProtection="1">
      <protection locked="0"/>
    </xf>
    <xf numFmtId="0" fontId="77" fillId="0" borderId="13" xfId="0" applyFont="1" applyBorder="1" applyProtection="1">
      <protection locked="0"/>
    </xf>
    <xf numFmtId="0" fontId="77" fillId="0" borderId="33" xfId="0" applyFont="1" applyBorder="1" applyProtection="1">
      <protection locked="0"/>
    </xf>
    <xf numFmtId="0" fontId="108" fillId="0" borderId="75" xfId="0" applyFont="1" applyBorder="1" applyProtection="1">
      <protection locked="0"/>
    </xf>
    <xf numFmtId="0" fontId="108" fillId="0" borderId="13" xfId="0" applyFont="1" applyBorder="1" applyProtection="1">
      <protection locked="0"/>
    </xf>
    <xf numFmtId="0" fontId="108" fillId="0" borderId="33" xfId="0" applyFont="1" applyBorder="1" applyProtection="1">
      <protection locked="0"/>
    </xf>
    <xf numFmtId="0" fontId="14" fillId="0" borderId="0" xfId="0" applyFont="1" applyAlignment="1" applyProtection="1">
      <alignment horizontal="left" vertical="center"/>
      <protection locked="0"/>
    </xf>
    <xf numFmtId="0" fontId="42" fillId="0" borderId="87" xfId="0" applyFont="1" applyFill="1" applyBorder="1" applyAlignment="1" applyProtection="1">
      <alignment horizontal="center" vertical="center" wrapText="1"/>
      <protection locked="0"/>
    </xf>
    <xf numFmtId="0" fontId="42" fillId="0" borderId="65" xfId="0" applyFont="1" applyFill="1" applyBorder="1" applyAlignment="1" applyProtection="1">
      <alignment horizontal="center" vertical="center" wrapText="1"/>
      <protection locked="0"/>
    </xf>
    <xf numFmtId="0" fontId="42" fillId="0" borderId="145" xfId="0" applyFont="1" applyFill="1" applyBorder="1" applyAlignment="1" applyProtection="1">
      <alignment horizontal="center" vertical="center" wrapText="1"/>
      <protection locked="0"/>
    </xf>
    <xf numFmtId="0" fontId="21" fillId="0" borderId="138" xfId="0" applyFont="1" applyFill="1" applyBorder="1" applyAlignment="1" applyProtection="1">
      <alignment horizontal="center" vertical="center" wrapText="1"/>
      <protection locked="0"/>
    </xf>
    <xf numFmtId="0" fontId="21" fillId="0" borderId="143" xfId="0" applyFont="1" applyFill="1" applyBorder="1" applyAlignment="1" applyProtection="1">
      <alignment horizontal="center" vertical="center" wrapText="1"/>
      <protection locked="0"/>
    </xf>
    <xf numFmtId="0" fontId="14" fillId="0" borderId="144" xfId="0" applyFont="1" applyFill="1" applyBorder="1" applyAlignment="1" applyProtection="1">
      <alignment vertical="center" wrapText="1"/>
      <protection locked="0"/>
    </xf>
    <xf numFmtId="0" fontId="17" fillId="0" borderId="139" xfId="0" applyFont="1" applyFill="1" applyBorder="1" applyAlignment="1" applyProtection="1">
      <alignment horizontal="center" vertical="center" wrapText="1"/>
      <protection locked="0"/>
    </xf>
    <xf numFmtId="0" fontId="17" fillId="0" borderId="140" xfId="0" applyFont="1" applyFill="1" applyBorder="1" applyAlignment="1" applyProtection="1">
      <alignment horizontal="center" vertical="center" wrapText="1"/>
      <protection locked="0"/>
    </xf>
    <xf numFmtId="0" fontId="17" fillId="0" borderId="141" xfId="0" applyFont="1" applyFill="1" applyBorder="1" applyAlignment="1" applyProtection="1">
      <alignment horizontal="center" vertical="center" wrapText="1"/>
      <protection locked="0"/>
    </xf>
    <xf numFmtId="0" fontId="42" fillId="0" borderId="44" xfId="0" applyFont="1" applyFill="1" applyBorder="1" applyAlignment="1" applyProtection="1">
      <alignment horizontal="center" vertical="center" wrapText="1"/>
      <protection locked="0"/>
    </xf>
    <xf numFmtId="0" fontId="14" fillId="0" borderId="44" xfId="0" applyFont="1" applyFill="1" applyBorder="1" applyAlignment="1" applyProtection="1">
      <alignment horizontal="center" vertical="center" wrapText="1"/>
      <protection locked="0"/>
    </xf>
    <xf numFmtId="0" fontId="17" fillId="0" borderId="142" xfId="0" applyFont="1" applyFill="1" applyBorder="1" applyAlignment="1" applyProtection="1">
      <alignment horizontal="center" vertical="center" wrapText="1"/>
      <protection locked="0"/>
    </xf>
    <xf numFmtId="0" fontId="17" fillId="0" borderId="87" xfId="0" applyFont="1" applyFill="1" applyBorder="1" applyAlignment="1" applyProtection="1">
      <alignment horizontal="center" vertical="center" wrapText="1"/>
      <protection locked="0"/>
    </xf>
    <xf numFmtId="0" fontId="17" fillId="0" borderId="65" xfId="0" applyFont="1" applyFill="1" applyBorder="1" applyAlignment="1" applyProtection="1">
      <alignment horizontal="center" vertical="center" wrapText="1"/>
      <protection locked="0"/>
    </xf>
    <xf numFmtId="0" fontId="17" fillId="0" borderId="22" xfId="0" applyFont="1" applyFill="1" applyBorder="1" applyAlignment="1" applyProtection="1">
      <alignment horizontal="center" vertical="center" wrapText="1"/>
      <protection locked="0"/>
    </xf>
    <xf numFmtId="0" fontId="62" fillId="0" borderId="43" xfId="0" applyFont="1" applyFill="1" applyBorder="1" applyAlignment="1" applyProtection="1">
      <alignment horizontal="center" vertical="center" wrapText="1"/>
      <protection locked="0"/>
    </xf>
    <xf numFmtId="0" fontId="62" fillId="0" borderId="41" xfId="0" applyFont="1" applyFill="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14" fillId="0" borderId="0" xfId="46" applyFont="1" applyFill="1" applyAlignment="1" applyProtection="1">
      <alignment horizontal="left" wrapText="1"/>
      <protection locked="0"/>
    </xf>
    <xf numFmtId="0" fontId="14" fillId="0" borderId="0" xfId="46" applyFont="1" applyAlignment="1" applyProtection="1">
      <alignment horizontal="left" vertical="top" wrapText="1"/>
      <protection locked="0"/>
    </xf>
    <xf numFmtId="0" fontId="21" fillId="0" borderId="0" xfId="46" applyFont="1" applyAlignment="1" applyProtection="1">
      <alignment horizontal="center"/>
      <protection locked="0"/>
    </xf>
    <xf numFmtId="0" fontId="14" fillId="0" borderId="0" xfId="46" applyAlignment="1" applyProtection="1">
      <alignment horizontal="left" wrapText="1"/>
      <protection locked="0"/>
    </xf>
    <xf numFmtId="0" fontId="14" fillId="0" borderId="0" xfId="46" applyFont="1" applyAlignment="1" applyProtection="1">
      <alignment horizontal="left" vertical="center" wrapText="1"/>
      <protection locked="0"/>
    </xf>
    <xf numFmtId="0" fontId="14" fillId="0" borderId="0" xfId="46" applyFont="1" applyAlignment="1" applyProtection="1">
      <alignment horizontal="left" wrapText="1"/>
      <protection locked="0"/>
    </xf>
    <xf numFmtId="0" fontId="17" fillId="66" borderId="70" xfId="46" applyFont="1" applyFill="1" applyBorder="1" applyAlignment="1" applyProtection="1">
      <alignment horizontal="center" vertical="center" wrapText="1"/>
      <protection locked="0"/>
    </xf>
    <xf numFmtId="0" fontId="17" fillId="66" borderId="48" xfId="46" applyFont="1" applyFill="1" applyBorder="1" applyAlignment="1" applyProtection="1">
      <alignment horizontal="center" vertical="center" wrapText="1"/>
      <protection locked="0"/>
    </xf>
    <xf numFmtId="0" fontId="17" fillId="66" borderId="46" xfId="46" applyFont="1" applyFill="1" applyBorder="1" applyAlignment="1" applyProtection="1">
      <alignment horizontal="center" vertical="center" wrapText="1"/>
      <protection locked="0"/>
    </xf>
    <xf numFmtId="0" fontId="17" fillId="66" borderId="87" xfId="46" applyFont="1" applyFill="1" applyBorder="1" applyAlignment="1" applyProtection="1">
      <alignment horizontal="center" wrapText="1"/>
      <protection locked="0"/>
    </xf>
    <xf numFmtId="0" fontId="17" fillId="66" borderId="22" xfId="46" applyFont="1" applyFill="1" applyBorder="1" applyAlignment="1" applyProtection="1">
      <alignment horizontal="center" wrapText="1"/>
      <protection locked="0"/>
    </xf>
    <xf numFmtId="0" fontId="14" fillId="0" borderId="0" xfId="46" applyFont="1" applyFill="1" applyAlignment="1" applyProtection="1">
      <alignment horizontal="left" vertical="top" wrapText="1"/>
      <protection locked="0"/>
    </xf>
    <xf numFmtId="0" fontId="96" fillId="0" borderId="0" xfId="46" applyFont="1" applyAlignment="1" applyProtection="1">
      <alignment horizontal="left" vertical="center" wrapText="1"/>
      <protection locked="0"/>
    </xf>
    <xf numFmtId="0" fontId="14" fillId="0" borderId="0" xfId="46" applyFont="1" applyAlignment="1" applyProtection="1">
      <alignment horizontal="left" vertical="center" wrapText="1" indent="2"/>
      <protection locked="0"/>
    </xf>
    <xf numFmtId="0" fontId="17" fillId="0" borderId="75" xfId="46" applyFont="1" applyFill="1" applyBorder="1" applyAlignment="1" applyProtection="1">
      <alignment horizontal="left"/>
      <protection locked="0"/>
    </xf>
    <xf numFmtId="0" fontId="17" fillId="0" borderId="13" xfId="46" applyFont="1" applyFill="1" applyBorder="1" applyAlignment="1" applyProtection="1">
      <alignment horizontal="left"/>
      <protection locked="0"/>
    </xf>
    <xf numFmtId="0" fontId="17" fillId="0" borderId="33" xfId="46" applyFont="1" applyFill="1" applyBorder="1" applyAlignment="1" applyProtection="1">
      <alignment horizontal="left"/>
      <protection locked="0"/>
    </xf>
    <xf numFmtId="0" fontId="17" fillId="25" borderId="75" xfId="46" applyFont="1" applyFill="1" applyBorder="1" applyAlignment="1" applyProtection="1">
      <alignment horizontal="center"/>
      <protection locked="0"/>
    </xf>
    <xf numFmtId="0" fontId="17" fillId="25" borderId="13" xfId="46" applyFont="1" applyFill="1" applyBorder="1" applyAlignment="1" applyProtection="1">
      <alignment horizontal="center"/>
      <protection locked="0"/>
    </xf>
    <xf numFmtId="0" fontId="17" fillId="25" borderId="33" xfId="46" applyFont="1" applyFill="1" applyBorder="1" applyAlignment="1" applyProtection="1">
      <alignment horizontal="center"/>
      <protection locked="0"/>
    </xf>
    <xf numFmtId="0" fontId="21" fillId="0" borderId="0" xfId="46" applyFont="1" applyAlignment="1" applyProtection="1">
      <alignment horizontal="center" vertical="top"/>
      <protection locked="0"/>
    </xf>
    <xf numFmtId="0" fontId="14" fillId="0" borderId="0" xfId="46" applyAlignment="1" applyProtection="1">
      <alignment horizontal="left" vertical="top" wrapText="1"/>
      <protection locked="0"/>
    </xf>
    <xf numFmtId="0" fontId="14" fillId="0" borderId="75" xfId="46" applyFont="1" applyBorder="1" applyAlignment="1" applyProtection="1">
      <alignment horizontal="left" vertical="center"/>
      <protection locked="0"/>
    </xf>
    <xf numFmtId="0" fontId="14" fillId="0" borderId="13" xfId="46" applyFont="1" applyBorder="1" applyAlignment="1" applyProtection="1">
      <alignment horizontal="left" vertical="center"/>
      <protection locked="0"/>
    </xf>
    <xf numFmtId="0" fontId="14" fillId="0" borderId="33" xfId="46" applyFont="1" applyBorder="1" applyAlignment="1" applyProtection="1">
      <alignment horizontal="left" vertical="center"/>
      <protection locked="0"/>
    </xf>
    <xf numFmtId="1" fontId="14" fillId="0" borderId="10" xfId="46" applyNumberFormat="1" applyBorder="1" applyAlignment="1" applyProtection="1">
      <alignment horizontal="center" vertical="center"/>
      <protection locked="0"/>
    </xf>
    <xf numFmtId="0" fontId="83" fillId="0" borderId="0" xfId="46" applyFont="1" applyBorder="1" applyAlignment="1" applyProtection="1">
      <alignment horizontal="center" vertical="center"/>
      <protection locked="0"/>
    </xf>
    <xf numFmtId="0" fontId="14" fillId="0" borderId="17" xfId="46" applyBorder="1" applyAlignment="1" applyProtection="1">
      <alignment horizontal="center" vertical="center"/>
      <protection locked="0"/>
    </xf>
    <xf numFmtId="0" fontId="14" fillId="0" borderId="19" xfId="46" applyBorder="1" applyAlignment="1" applyProtection="1">
      <alignment horizontal="center" vertical="center"/>
      <protection locked="0"/>
    </xf>
    <xf numFmtId="0" fontId="14" fillId="0" borderId="17" xfId="46" applyFont="1" applyBorder="1" applyAlignment="1" applyProtection="1">
      <alignment horizontal="left" vertical="center"/>
      <protection locked="0"/>
    </xf>
    <xf numFmtId="0" fontId="14" fillId="0" borderId="19" xfId="46" applyFont="1" applyBorder="1" applyAlignment="1" applyProtection="1">
      <alignment horizontal="left" vertical="center"/>
      <protection locked="0"/>
    </xf>
    <xf numFmtId="0" fontId="14" fillId="0" borderId="11" xfId="46" applyBorder="1" applyAlignment="1" applyProtection="1">
      <alignment horizontal="center" vertical="center"/>
      <protection locked="0"/>
    </xf>
    <xf numFmtId="0" fontId="14" fillId="0" borderId="11" xfId="46" applyFont="1" applyBorder="1" applyAlignment="1" applyProtection="1">
      <alignment horizontal="left" vertical="center"/>
      <protection locked="0"/>
    </xf>
    <xf numFmtId="2" fontId="14" fillId="0" borderId="10" xfId="46" quotePrefix="1" applyNumberFormat="1" applyFont="1" applyBorder="1" applyAlignment="1" applyProtection="1">
      <alignment horizontal="center" vertical="center"/>
      <protection locked="0"/>
    </xf>
    <xf numFmtId="0" fontId="90" fillId="63" borderId="122" xfId="46" applyFont="1" applyFill="1" applyBorder="1" applyAlignment="1" applyProtection="1">
      <alignment horizontal="center" vertical="center" wrapText="1"/>
      <protection locked="0"/>
    </xf>
    <xf numFmtId="0" fontId="90" fillId="63" borderId="121" xfId="46" applyFont="1" applyFill="1" applyBorder="1" applyAlignment="1" applyProtection="1">
      <alignment horizontal="center" vertical="center" wrapText="1"/>
      <protection locked="0"/>
    </xf>
    <xf numFmtId="0" fontId="90" fillId="63" borderId="10" xfId="46" applyFont="1" applyFill="1" applyBorder="1" applyAlignment="1" applyProtection="1">
      <alignment horizontal="center" vertical="center" wrapText="1"/>
      <protection locked="0"/>
    </xf>
    <xf numFmtId="0" fontId="17" fillId="63" borderId="10" xfId="46" applyFont="1" applyFill="1" applyBorder="1" applyAlignment="1" applyProtection="1">
      <alignment horizontal="center" vertical="center"/>
      <protection locked="0"/>
    </xf>
    <xf numFmtId="0" fontId="17" fillId="63" borderId="10" xfId="46" applyFont="1" applyFill="1" applyBorder="1" applyAlignment="1" applyProtection="1">
      <alignment horizontal="center" vertical="center" wrapText="1"/>
      <protection locked="0"/>
    </xf>
    <xf numFmtId="0" fontId="17" fillId="63" borderId="17" xfId="46" applyFont="1" applyFill="1" applyBorder="1" applyAlignment="1" applyProtection="1">
      <alignment horizontal="center" vertical="center" wrapText="1"/>
      <protection locked="0"/>
    </xf>
    <xf numFmtId="0" fontId="21" fillId="0" borderId="0" xfId="46" applyFont="1" applyBorder="1" applyAlignment="1" applyProtection="1">
      <alignment horizontal="center" vertical="center" wrapText="1"/>
      <protection locked="0"/>
    </xf>
    <xf numFmtId="0" fontId="17" fillId="63" borderId="106" xfId="46" applyFont="1" applyFill="1" applyBorder="1" applyAlignment="1" applyProtection="1">
      <alignment horizontal="center" vertical="center"/>
      <protection locked="0"/>
    </xf>
    <xf numFmtId="0" fontId="17" fillId="63" borderId="83" xfId="46" applyFont="1" applyFill="1" applyBorder="1" applyAlignment="1" applyProtection="1">
      <alignment horizontal="center" vertical="center"/>
      <protection locked="0"/>
    </xf>
    <xf numFmtId="0" fontId="17" fillId="63" borderId="18" xfId="46" applyFont="1" applyFill="1" applyBorder="1" applyAlignment="1" applyProtection="1">
      <alignment horizontal="center" vertical="center"/>
      <protection locked="0"/>
    </xf>
    <xf numFmtId="0" fontId="17" fillId="63" borderId="77" xfId="46" applyFont="1" applyFill="1" applyBorder="1" applyAlignment="1" applyProtection="1">
      <alignment horizontal="center" vertical="center"/>
      <protection locked="0"/>
    </xf>
    <xf numFmtId="0" fontId="17" fillId="63" borderId="12" xfId="46" applyFont="1" applyFill="1" applyBorder="1" applyAlignment="1" applyProtection="1">
      <alignment horizontal="center" vertical="center"/>
      <protection locked="0"/>
    </xf>
    <xf numFmtId="0" fontId="17" fillId="63" borderId="16" xfId="46" applyFont="1" applyFill="1" applyBorder="1" applyAlignment="1" applyProtection="1">
      <alignment horizontal="center" vertical="center"/>
      <protection locked="0"/>
    </xf>
    <xf numFmtId="0" fontId="14" fillId="0" borderId="21" xfId="46" applyFont="1" applyBorder="1" applyAlignment="1" applyProtection="1">
      <alignment horizontal="left" vertical="center"/>
      <protection locked="0"/>
    </xf>
    <xf numFmtId="0" fontId="14" fillId="0" borderId="21" xfId="46" applyBorder="1" applyAlignment="1" applyProtection="1">
      <alignment horizontal="left" vertical="center"/>
      <protection locked="0"/>
    </xf>
    <xf numFmtId="0" fontId="14" fillId="0" borderId="75" xfId="46" applyFont="1" applyBorder="1" applyAlignment="1" applyProtection="1">
      <alignment horizontal="left"/>
      <protection locked="0"/>
    </xf>
    <xf numFmtId="0" fontId="14" fillId="0" borderId="33" xfId="46" applyFont="1" applyBorder="1" applyAlignment="1" applyProtection="1">
      <alignment horizontal="left"/>
      <protection locked="0"/>
    </xf>
    <xf numFmtId="0" fontId="14" fillId="0" borderId="80" xfId="46" applyFont="1" applyBorder="1" applyAlignment="1" applyProtection="1">
      <alignment horizontal="left" vertical="center"/>
      <protection locked="0"/>
    </xf>
    <xf numFmtId="0" fontId="14" fillId="0" borderId="103" xfId="46" applyBorder="1" applyAlignment="1" applyProtection="1">
      <alignment horizontal="left" vertical="center"/>
      <protection locked="0"/>
    </xf>
    <xf numFmtId="0" fontId="14" fillId="0" borderId="81" xfId="46" applyBorder="1" applyAlignment="1" applyProtection="1">
      <alignment horizontal="left" vertical="center"/>
      <protection locked="0"/>
    </xf>
    <xf numFmtId="0" fontId="17" fillId="0" borderId="32" xfId="46" applyFont="1" applyBorder="1" applyAlignment="1" applyProtection="1">
      <alignment horizontal="center" vertical="center"/>
      <protection locked="0"/>
    </xf>
    <xf numFmtId="0" fontId="14" fillId="0" borderId="27" xfId="46" applyBorder="1" applyAlignment="1" applyProtection="1">
      <alignment horizontal="center" vertical="center"/>
      <protection locked="0"/>
    </xf>
    <xf numFmtId="0" fontId="14" fillId="0" borderId="28" xfId="46" applyBorder="1" applyAlignment="1" applyProtection="1">
      <alignment horizontal="center" vertical="center"/>
      <protection locked="0"/>
    </xf>
    <xf numFmtId="0" fontId="14" fillId="0" borderId="79" xfId="46" applyFont="1" applyBorder="1" applyAlignment="1" applyProtection="1">
      <alignment horizontal="left" vertical="center"/>
      <protection locked="0"/>
    </xf>
    <xf numFmtId="0" fontId="14" fillId="0" borderId="88" xfId="46" applyBorder="1" applyAlignment="1" applyProtection="1">
      <alignment horizontal="left" vertical="center"/>
      <protection locked="0"/>
    </xf>
    <xf numFmtId="0" fontId="14" fillId="0" borderId="50" xfId="46" applyBorder="1" applyAlignment="1" applyProtection="1">
      <alignment horizontal="left" vertical="center"/>
      <protection locked="0"/>
    </xf>
    <xf numFmtId="0" fontId="14" fillId="0" borderId="13" xfId="46" applyBorder="1" applyAlignment="1" applyProtection="1">
      <alignment horizontal="left" vertical="center"/>
      <protection locked="0"/>
    </xf>
    <xf numFmtId="0" fontId="14" fillId="0" borderId="33" xfId="46" applyBorder="1" applyAlignment="1" applyProtection="1">
      <alignment horizontal="left" vertical="center"/>
      <protection locked="0"/>
    </xf>
    <xf numFmtId="0" fontId="14" fillId="0" borderId="75" xfId="46" applyFont="1" applyBorder="1" applyAlignment="1" applyProtection="1">
      <alignment horizontal="left" vertical="center" wrapText="1"/>
      <protection locked="0"/>
    </xf>
    <xf numFmtId="0" fontId="14" fillId="0" borderId="13" xfId="46" applyBorder="1" applyAlignment="1" applyProtection="1">
      <alignment horizontal="left" vertical="center" wrapText="1"/>
      <protection locked="0"/>
    </xf>
    <xf numFmtId="0" fontId="14" fillId="0" borderId="33" xfId="46" applyBorder="1" applyAlignment="1" applyProtection="1">
      <alignment horizontal="left" vertical="center" wrapText="1"/>
      <protection locked="0"/>
    </xf>
    <xf numFmtId="0" fontId="14" fillId="0" borderId="10" xfId="46" applyFont="1" applyBorder="1" applyAlignment="1" applyProtection="1">
      <alignment horizontal="left" vertical="center"/>
      <protection locked="0"/>
    </xf>
    <xf numFmtId="0" fontId="14" fillId="0" borderId="10" xfId="46" applyBorder="1" applyAlignment="1" applyProtection="1">
      <alignment horizontal="left" vertical="center"/>
      <protection locked="0"/>
    </xf>
    <xf numFmtId="0" fontId="14" fillId="0" borderId="26" xfId="46" applyFont="1" applyBorder="1" applyAlignment="1" applyProtection="1">
      <alignment horizontal="left" vertical="center"/>
      <protection locked="0"/>
    </xf>
    <xf numFmtId="0" fontId="14" fillId="0" borderId="26" xfId="46" applyBorder="1" applyAlignment="1" applyProtection="1">
      <alignment horizontal="left" vertical="center"/>
      <protection locked="0"/>
    </xf>
    <xf numFmtId="0" fontId="17" fillId="0" borderId="27" xfId="46" applyFont="1" applyBorder="1" applyAlignment="1" applyProtection="1">
      <alignment horizontal="center" vertical="center"/>
      <protection locked="0"/>
    </xf>
    <xf numFmtId="0" fontId="17" fillId="0" borderId="28" xfId="46" applyFont="1" applyBorder="1" applyAlignment="1" applyProtection="1">
      <alignment horizontal="center" vertical="center"/>
      <protection locked="0"/>
    </xf>
    <xf numFmtId="0" fontId="14" fillId="0" borderId="73" xfId="46" applyBorder="1" applyAlignment="1" applyProtection="1">
      <alignment horizontal="center" vertical="center"/>
      <protection locked="0"/>
    </xf>
    <xf numFmtId="0" fontId="14" fillId="0" borderId="24" xfId="46" applyBorder="1" applyAlignment="1" applyProtection="1">
      <alignment horizontal="left" vertical="center"/>
      <protection locked="0"/>
    </xf>
    <xf numFmtId="0" fontId="14" fillId="0" borderId="50" xfId="46" applyFont="1" applyBorder="1" applyAlignment="1" applyProtection="1">
      <alignment horizontal="left" vertical="center"/>
      <protection locked="0"/>
    </xf>
    <xf numFmtId="0" fontId="14" fillId="0" borderId="75" xfId="46" applyBorder="1" applyAlignment="1" applyProtection="1">
      <alignment horizontal="left" vertical="center"/>
      <protection locked="0"/>
    </xf>
    <xf numFmtId="0" fontId="17" fillId="0" borderId="93" xfId="46" applyFont="1" applyBorder="1" applyAlignment="1" applyProtection="1">
      <alignment horizontal="center" vertical="center"/>
      <protection locked="0"/>
    </xf>
    <xf numFmtId="0" fontId="17" fillId="0" borderId="109" xfId="46" applyFont="1" applyBorder="1" applyAlignment="1" applyProtection="1">
      <alignment horizontal="center" vertical="center"/>
      <protection locked="0"/>
    </xf>
    <xf numFmtId="0" fontId="14" fillId="0" borderId="24" xfId="46" applyBorder="1" applyAlignment="1" applyProtection="1">
      <alignment horizontal="center" vertical="center"/>
      <protection locked="0"/>
    </xf>
    <xf numFmtId="0" fontId="14" fillId="0" borderId="10" xfId="46" applyBorder="1" applyAlignment="1" applyProtection="1">
      <alignment horizontal="center" vertical="center"/>
      <protection locked="0"/>
    </xf>
    <xf numFmtId="0" fontId="14" fillId="0" borderId="24" xfId="46" applyFont="1" applyBorder="1" applyAlignment="1" applyProtection="1">
      <alignment horizontal="left" vertical="center"/>
      <protection locked="0"/>
    </xf>
    <xf numFmtId="0" fontId="14" fillId="0" borderId="24" xfId="46" applyFont="1" applyBorder="1" applyAlignment="1" applyProtection="1">
      <alignment horizontal="left"/>
      <protection locked="0"/>
    </xf>
    <xf numFmtId="0" fontId="14" fillId="0" borderId="13" xfId="46" applyFont="1" applyBorder="1" applyAlignment="1" applyProtection="1">
      <alignment horizontal="left"/>
      <protection locked="0"/>
    </xf>
    <xf numFmtId="0" fontId="14" fillId="0" borderId="10" xfId="46" applyFont="1" applyBorder="1" applyAlignment="1" applyProtection="1">
      <alignment horizontal="left"/>
      <protection locked="0"/>
    </xf>
    <xf numFmtId="0" fontId="14" fillId="0" borderId="106" xfId="46" applyFont="1" applyBorder="1" applyAlignment="1" applyProtection="1">
      <alignment horizontal="left"/>
      <protection locked="0"/>
    </xf>
    <xf numFmtId="0" fontId="14" fillId="0" borderId="83" xfId="46" applyFont="1" applyBorder="1" applyAlignment="1" applyProtection="1">
      <alignment horizontal="left"/>
      <protection locked="0"/>
    </xf>
    <xf numFmtId="0" fontId="14" fillId="0" borderId="18" xfId="46" applyFont="1" applyBorder="1" applyAlignment="1" applyProtection="1">
      <alignment horizontal="left"/>
      <protection locked="0"/>
    </xf>
    <xf numFmtId="0" fontId="16" fillId="0" borderId="0" xfId="46" applyFont="1" applyAlignment="1" applyProtection="1">
      <alignment horizontal="left" vertical="top"/>
      <protection locked="0"/>
    </xf>
    <xf numFmtId="0" fontId="16" fillId="29" borderId="0" xfId="46" applyFont="1" applyFill="1" applyBorder="1" applyAlignment="1" applyProtection="1">
      <alignment horizontal="left" vertical="top"/>
      <protection locked="0"/>
    </xf>
    <xf numFmtId="0" fontId="16" fillId="29" borderId="0" xfId="46" applyFont="1" applyFill="1" applyAlignment="1" applyProtection="1">
      <alignment horizontal="left" vertical="top"/>
      <protection locked="0"/>
    </xf>
    <xf numFmtId="0" fontId="17" fillId="63" borderId="75" xfId="46" applyFont="1" applyFill="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center" vertical="center" wrapText="1"/>
      <protection locked="0"/>
    </xf>
    <xf numFmtId="0" fontId="17" fillId="63" borderId="17" xfId="46" applyFont="1" applyFill="1" applyBorder="1" applyAlignment="1" applyProtection="1">
      <alignment horizontal="center" vertical="center"/>
      <protection locked="0"/>
    </xf>
    <xf numFmtId="0" fontId="14" fillId="0" borderId="75" xfId="46" applyBorder="1" applyAlignment="1" applyProtection="1">
      <alignment horizontal="left" vertical="center" wrapText="1"/>
      <protection locked="0"/>
    </xf>
    <xf numFmtId="0" fontId="14" fillId="0" borderId="0" xfId="46" applyFont="1" applyAlignment="1" applyProtection="1">
      <alignment vertical="top" wrapText="1"/>
      <protection locked="0"/>
    </xf>
    <xf numFmtId="0" fontId="17" fillId="0" borderId="0" xfId="46" applyFont="1" applyAlignment="1" applyProtection="1">
      <alignment horizontal="left" vertical="top" wrapText="1"/>
      <protection locked="0"/>
    </xf>
    <xf numFmtId="0" fontId="17" fillId="25" borderId="93" xfId="46" applyFont="1" applyFill="1" applyBorder="1" applyAlignment="1" applyProtection="1">
      <alignment vertical="center"/>
      <protection locked="0"/>
    </xf>
    <xf numFmtId="0" fontId="17" fillId="25" borderId="76" xfId="46" applyFont="1" applyFill="1" applyBorder="1" applyAlignment="1" applyProtection="1">
      <alignment vertical="center"/>
      <protection locked="0"/>
    </xf>
    <xf numFmtId="0" fontId="17" fillId="25" borderId="73" xfId="46" applyFont="1" applyFill="1" applyBorder="1" applyAlignment="1" applyProtection="1">
      <alignment vertical="center"/>
      <protection locked="0"/>
    </xf>
    <xf numFmtId="0" fontId="17" fillId="25" borderId="19" xfId="46" applyFont="1" applyFill="1" applyBorder="1" applyAlignment="1" applyProtection="1">
      <alignment vertical="center"/>
      <protection locked="0"/>
    </xf>
    <xf numFmtId="176" fontId="17" fillId="25" borderId="73" xfId="46" applyNumberFormat="1" applyFont="1" applyFill="1" applyBorder="1" applyAlignment="1" applyProtection="1">
      <alignment horizontal="center" vertical="center" wrapText="1"/>
      <protection locked="0"/>
    </xf>
    <xf numFmtId="176" fontId="14" fillId="0" borderId="19" xfId="46" applyNumberFormat="1" applyBorder="1" applyAlignment="1" applyProtection="1">
      <alignment horizontal="center" wrapText="1"/>
      <protection locked="0"/>
    </xf>
    <xf numFmtId="0" fontId="17" fillId="0" borderId="75" xfId="46" applyFont="1" applyBorder="1" applyAlignment="1" applyProtection="1">
      <alignment horizontal="center"/>
      <protection locked="0"/>
    </xf>
    <xf numFmtId="0" fontId="17" fillId="0" borderId="33" xfId="46" applyFont="1" applyBorder="1" applyAlignment="1" applyProtection="1">
      <alignment horizontal="center"/>
      <protection locked="0"/>
    </xf>
    <xf numFmtId="0" fontId="14" fillId="0" borderId="75" xfId="46" applyBorder="1" applyAlignment="1" applyProtection="1">
      <alignment horizontal="center" vertical="center"/>
      <protection locked="0"/>
    </xf>
    <xf numFmtId="0" fontId="14" fillId="0" borderId="33" xfId="46" applyBorder="1" applyAlignment="1" applyProtection="1">
      <alignment horizontal="center" vertical="center"/>
      <protection locked="0"/>
    </xf>
    <xf numFmtId="0" fontId="17" fillId="25" borderId="38" xfId="46" applyFont="1" applyFill="1" applyBorder="1" applyAlignment="1" applyProtection="1">
      <alignment vertical="center"/>
      <protection locked="0"/>
    </xf>
    <xf numFmtId="0" fontId="17" fillId="25" borderId="34" xfId="46" applyFont="1" applyFill="1" applyBorder="1" applyAlignment="1" applyProtection="1">
      <alignment vertical="center"/>
      <protection locked="0"/>
    </xf>
    <xf numFmtId="0" fontId="17" fillId="25" borderId="43" xfId="46" applyFont="1" applyFill="1" applyBorder="1" applyAlignment="1" applyProtection="1">
      <alignment horizontal="center" vertical="center" wrapText="1"/>
      <protection locked="0"/>
    </xf>
    <xf numFmtId="0" fontId="14" fillId="0" borderId="41" xfId="46" applyBorder="1" applyAlignment="1" applyProtection="1">
      <alignment horizontal="center" wrapText="1"/>
      <protection locked="0"/>
    </xf>
    <xf numFmtId="0" fontId="17" fillId="25" borderId="41" xfId="46" applyFont="1" applyFill="1" applyBorder="1" applyAlignment="1" applyProtection="1">
      <alignment horizontal="center" vertical="center" wrapText="1"/>
      <protection locked="0"/>
    </xf>
    <xf numFmtId="0" fontId="17" fillId="0" borderId="75" xfId="46" applyFont="1" applyBorder="1" applyAlignment="1" applyProtection="1">
      <alignment horizontal="center" vertical="center"/>
      <protection locked="0"/>
    </xf>
    <xf numFmtId="0" fontId="17" fillId="0" borderId="33" xfId="46" applyFont="1" applyBorder="1" applyAlignment="1" applyProtection="1">
      <alignment horizontal="center" vertical="center"/>
      <protection locked="0"/>
    </xf>
    <xf numFmtId="0" fontId="17" fillId="0" borderId="75" xfId="46" applyFont="1" applyBorder="1" applyAlignment="1" applyProtection="1">
      <alignment horizontal="center" vertical="center" wrapText="1"/>
      <protection locked="0"/>
    </xf>
    <xf numFmtId="0" fontId="17" fillId="0" borderId="33" xfId="46" applyFont="1" applyBorder="1" applyAlignment="1" applyProtection="1">
      <alignment horizontal="center" vertical="center" wrapText="1"/>
      <protection locked="0"/>
    </xf>
    <xf numFmtId="170" fontId="14" fillId="0" borderId="75" xfId="29" applyNumberFormat="1" applyFont="1" applyFill="1" applyBorder="1" applyAlignment="1" applyProtection="1">
      <alignment horizontal="center" vertical="center"/>
      <protection locked="0"/>
    </xf>
    <xf numFmtId="170" fontId="14" fillId="0" borderId="33" xfId="29" applyNumberFormat="1" applyFont="1" applyFill="1" applyBorder="1" applyAlignment="1" applyProtection="1">
      <alignment horizontal="center" vertical="center"/>
      <protection locked="0"/>
    </xf>
    <xf numFmtId="0" fontId="49" fillId="0" borderId="0" xfId="46" applyFont="1" applyAlignment="1" applyProtection="1">
      <alignment horizontal="left" vertical="top" wrapText="1"/>
      <protection locked="0"/>
    </xf>
    <xf numFmtId="0" fontId="14" fillId="0" borderId="71" xfId="46" applyFont="1" applyBorder="1" applyAlignment="1" applyProtection="1">
      <alignment horizontal="left" wrapText="1"/>
      <protection locked="0"/>
    </xf>
    <xf numFmtId="0" fontId="14" fillId="0" borderId="69" xfId="46" applyFont="1" applyBorder="1" applyAlignment="1" applyProtection="1">
      <alignment horizontal="left" wrapText="1"/>
      <protection locked="0"/>
    </xf>
    <xf numFmtId="0" fontId="17" fillId="0" borderId="15" xfId="46" applyFont="1" applyBorder="1" applyAlignment="1" applyProtection="1">
      <alignment horizontal="left" vertical="top" wrapText="1"/>
      <protection locked="0"/>
    </xf>
    <xf numFmtId="0" fontId="17" fillId="25" borderId="0" xfId="46" applyFont="1" applyFill="1" applyBorder="1" applyAlignment="1" applyProtection="1">
      <alignment horizontal="center" vertical="center" wrapText="1"/>
      <protection locked="0"/>
    </xf>
    <xf numFmtId="0" fontId="14" fillId="0" borderId="92" xfId="46" applyBorder="1" applyAlignment="1" applyProtection="1">
      <alignment horizontal="center" wrapText="1"/>
      <protection locked="0"/>
    </xf>
    <xf numFmtId="0" fontId="17" fillId="0" borderId="70" xfId="46" applyFont="1" applyFill="1" applyBorder="1" applyAlignment="1" applyProtection="1">
      <alignment vertical="center" wrapText="1"/>
      <protection locked="0"/>
    </xf>
    <xf numFmtId="0" fontId="17" fillId="0" borderId="48" xfId="46" applyFont="1" applyFill="1" applyBorder="1" applyAlignment="1" applyProtection="1">
      <alignment vertical="center" wrapText="1"/>
      <protection locked="0"/>
    </xf>
    <xf numFmtId="0" fontId="17" fillId="0" borderId="53" xfId="46" applyFont="1" applyFill="1" applyBorder="1" applyAlignment="1" applyProtection="1">
      <alignment vertical="center" wrapText="1"/>
      <protection locked="0"/>
    </xf>
    <xf numFmtId="0" fontId="17" fillId="0" borderId="43" xfId="46" applyFont="1" applyFill="1" applyBorder="1" applyAlignment="1" applyProtection="1">
      <alignment vertical="center" wrapText="1"/>
      <protection locked="0"/>
    </xf>
    <xf numFmtId="0" fontId="17" fillId="0" borderId="40" xfId="46" applyFont="1" applyFill="1" applyBorder="1" applyAlignment="1" applyProtection="1">
      <alignment vertical="center" wrapText="1"/>
      <protection locked="0"/>
    </xf>
    <xf numFmtId="0" fontId="17" fillId="0" borderId="92" xfId="46" applyFont="1" applyFill="1" applyBorder="1" applyAlignment="1" applyProtection="1">
      <alignment vertical="center" wrapText="1"/>
      <protection locked="0"/>
    </xf>
    <xf numFmtId="166" fontId="17" fillId="0" borderId="43" xfId="29" applyNumberFormat="1" applyFont="1" applyBorder="1" applyAlignment="1" applyProtection="1">
      <alignment horizontal="center"/>
      <protection locked="0"/>
    </xf>
    <xf numFmtId="166" fontId="17" fillId="0" borderId="40" xfId="29" applyNumberFormat="1" applyFont="1" applyBorder="1" applyAlignment="1" applyProtection="1">
      <alignment horizontal="center"/>
      <protection locked="0"/>
    </xf>
    <xf numFmtId="166" fontId="17" fillId="0" borderId="92" xfId="29" applyNumberFormat="1" applyFont="1" applyBorder="1" applyAlignment="1" applyProtection="1">
      <alignment horizontal="center"/>
      <protection locked="0"/>
    </xf>
    <xf numFmtId="0" fontId="14" fillId="0" borderId="0" xfId="46" applyFont="1" applyFill="1" applyBorder="1" applyAlignment="1" applyProtection="1">
      <alignment horizontal="left" vertical="top" wrapText="1"/>
      <protection locked="0"/>
    </xf>
    <xf numFmtId="0" fontId="17" fillId="0" borderId="0" xfId="46" applyFont="1" applyAlignment="1" applyProtection="1">
      <alignment horizontal="center" vertical="top"/>
      <protection locked="0"/>
    </xf>
    <xf numFmtId="0" fontId="14" fillId="0" borderId="0" xfId="46" applyFont="1" applyAlignment="1" applyProtection="1">
      <alignment wrapText="1"/>
      <protection locked="0"/>
    </xf>
    <xf numFmtId="0" fontId="17" fillId="0" borderId="0" xfId="46" applyFont="1" applyAlignment="1" applyProtection="1">
      <alignment horizontal="center" vertical="top" wrapText="1"/>
      <protection locked="0"/>
    </xf>
    <xf numFmtId="0" fontId="54" fillId="0" borderId="75" xfId="47" applyFont="1" applyBorder="1" applyAlignment="1" applyProtection="1">
      <alignment horizontal="center"/>
      <protection locked="0"/>
    </xf>
    <xf numFmtId="0" fontId="54" fillId="0" borderId="13" xfId="47" applyFont="1" applyBorder="1" applyAlignment="1" applyProtection="1">
      <alignment horizontal="center"/>
      <protection locked="0"/>
    </xf>
    <xf numFmtId="0" fontId="54" fillId="0" borderId="33" xfId="47" applyFont="1" applyBorder="1" applyAlignment="1" applyProtection="1">
      <alignment horizontal="center"/>
      <protection locked="0"/>
    </xf>
    <xf numFmtId="0" fontId="14" fillId="0" borderId="0" xfId="46" applyAlignment="1" applyProtection="1">
      <alignment horizontal="center"/>
      <protection locked="0"/>
    </xf>
    <xf numFmtId="0" fontId="14" fillId="0" borderId="0" xfId="46" applyAlignment="1" applyProtection="1">
      <protection locked="0"/>
    </xf>
    <xf numFmtId="0" fontId="58" fillId="0" borderId="0" xfId="47" applyFont="1" applyAlignment="1" applyProtection="1">
      <alignment horizontal="center" vertical="center"/>
      <protection locked="0"/>
    </xf>
    <xf numFmtId="0" fontId="54" fillId="0" borderId="0" xfId="47" applyFont="1" applyAlignment="1" applyProtection="1">
      <alignment horizontal="left" wrapText="1"/>
      <protection locked="0"/>
    </xf>
    <xf numFmtId="0" fontId="54" fillId="0" borderId="0" xfId="47" applyFont="1" applyAlignment="1" applyProtection="1">
      <alignment horizontal="left" vertical="center" wrapText="1"/>
      <protection locked="0"/>
    </xf>
    <xf numFmtId="0" fontId="54" fillId="0" borderId="106" xfId="47" applyFont="1" applyBorder="1" applyAlignment="1" applyProtection="1">
      <alignment horizontal="center"/>
      <protection locked="0"/>
    </xf>
    <xf numFmtId="0" fontId="54" fillId="0" borderId="83" xfId="47" applyFont="1" applyBorder="1" applyAlignment="1" applyProtection="1">
      <alignment horizontal="center"/>
      <protection locked="0"/>
    </xf>
    <xf numFmtId="0" fontId="54" fillId="0" borderId="18" xfId="47" applyFont="1" applyBorder="1" applyAlignment="1" applyProtection="1">
      <alignment horizontal="center"/>
      <protection locked="0"/>
    </xf>
    <xf numFmtId="0" fontId="54" fillId="0" borderId="77" xfId="47" applyFont="1" applyBorder="1" applyAlignment="1" applyProtection="1">
      <alignment horizontal="center"/>
      <protection locked="0"/>
    </xf>
    <xf numFmtId="0" fontId="54" fillId="0" borderId="12" xfId="47" applyFont="1" applyBorder="1" applyAlignment="1" applyProtection="1">
      <alignment horizontal="center"/>
      <protection locked="0"/>
    </xf>
    <xf numFmtId="0" fontId="54" fillId="0" borderId="16" xfId="47" applyFont="1" applyBorder="1" applyAlignment="1" applyProtection="1">
      <alignment horizontal="center"/>
      <protection locked="0"/>
    </xf>
    <xf numFmtId="0" fontId="58" fillId="0" borderId="0" xfId="47" applyFont="1" applyAlignment="1" applyProtection="1">
      <alignment horizontal="right" wrapText="1"/>
      <protection locked="0"/>
    </xf>
    <xf numFmtId="167" fontId="54" fillId="29" borderId="127" xfId="28" applyNumberFormat="1" applyFont="1" applyFill="1" applyBorder="1" applyAlignment="1" applyProtection="1">
      <alignment horizontal="center"/>
      <protection locked="0"/>
    </xf>
    <xf numFmtId="167" fontId="54" fillId="29" borderId="100" xfId="28" applyNumberFormat="1" applyFont="1" applyFill="1" applyBorder="1" applyAlignment="1" applyProtection="1">
      <alignment horizontal="center"/>
      <protection locked="0"/>
    </xf>
    <xf numFmtId="0" fontId="17" fillId="0" borderId="0" xfId="46" applyFont="1" applyAlignment="1" applyProtection="1">
      <alignment horizontal="left" vertical="center" wrapText="1"/>
      <protection locked="0"/>
    </xf>
    <xf numFmtId="0" fontId="54" fillId="0" borderId="0" xfId="47" applyFont="1" applyAlignment="1" applyProtection="1">
      <alignment horizontal="left" vertical="top" wrapText="1"/>
      <protection locked="0"/>
    </xf>
    <xf numFmtId="0" fontId="14" fillId="0" borderId="0" xfId="0" applyFont="1" applyAlignment="1" applyProtection="1">
      <alignment horizontal="left" vertical="top"/>
      <protection locked="0"/>
    </xf>
    <xf numFmtId="0" fontId="14" fillId="0" borderId="0" xfId="0" applyFont="1" applyAlignment="1" applyProtection="1">
      <alignment horizontal="left" vertical="top" indent="2"/>
      <protection locked="0"/>
    </xf>
    <xf numFmtId="0" fontId="17" fillId="0" borderId="87" xfId="0" applyFont="1" applyBorder="1" applyAlignment="1" applyProtection="1">
      <alignment horizontal="center"/>
      <protection locked="0"/>
    </xf>
    <xf numFmtId="0" fontId="17" fillId="0" borderId="22" xfId="0" applyFont="1" applyBorder="1" applyAlignment="1" applyProtection="1">
      <alignment horizontal="center"/>
      <protection locked="0"/>
    </xf>
    <xf numFmtId="0" fontId="54" fillId="0" borderId="0" xfId="0" applyFont="1" applyBorder="1" applyAlignment="1" applyProtection="1">
      <alignment horizontal="left"/>
      <protection locked="0"/>
    </xf>
    <xf numFmtId="0" fontId="14" fillId="0" borderId="0" xfId="0" applyFont="1" applyFill="1" applyBorder="1" applyAlignment="1" applyProtection="1">
      <protection locked="0"/>
    </xf>
    <xf numFmtId="0" fontId="17" fillId="0" borderId="87" xfId="0" applyFont="1" applyBorder="1" applyAlignment="1" applyProtection="1">
      <alignment horizontal="center" vertical="center"/>
      <protection locked="0"/>
    </xf>
    <xf numFmtId="0" fontId="17" fillId="0" borderId="65"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9" fontId="114" fillId="0" borderId="0" xfId="28" applyNumberFormat="1" applyFont="1" applyFill="1" applyBorder="1" applyAlignment="1" applyProtection="1">
      <alignment horizontal="left" vertical="top"/>
      <protection locked="0"/>
    </xf>
    <xf numFmtId="0" fontId="14" fillId="0" borderId="0" xfId="0" applyFont="1" applyAlignment="1" applyProtection="1">
      <alignment horizontal="left"/>
      <protection locked="0"/>
    </xf>
    <xf numFmtId="0" fontId="0" fillId="0" borderId="0" xfId="0" applyFill="1" applyBorder="1" applyAlignment="1" applyProtection="1">
      <protection locked="0"/>
    </xf>
    <xf numFmtId="9" fontId="114" fillId="0" borderId="0" xfId="28" applyNumberFormat="1" applyFont="1" applyFill="1" applyBorder="1" applyAlignment="1" applyProtection="1">
      <alignment horizontal="left"/>
      <protection locked="0"/>
    </xf>
    <xf numFmtId="9" fontId="114" fillId="0" borderId="0" xfId="28" applyNumberFormat="1" applyFont="1" applyFill="1" applyBorder="1" applyAlignment="1" applyProtection="1">
      <alignment horizontal="left" vertical="center" wrapText="1"/>
      <protection locked="0"/>
    </xf>
    <xf numFmtId="0" fontId="11" fillId="70" borderId="22" xfId="93" applyFill="1" applyBorder="1" applyAlignment="1" applyProtection="1">
      <alignment horizontal="center"/>
      <protection locked="0"/>
    </xf>
    <xf numFmtId="0" fontId="11" fillId="70" borderId="44" xfId="93" applyFill="1" applyBorder="1" applyAlignment="1" applyProtection="1">
      <alignment horizontal="center"/>
      <protection locked="0"/>
    </xf>
    <xf numFmtId="0" fontId="48" fillId="0" borderId="42" xfId="93" applyFont="1" applyBorder="1" applyAlignment="1" applyProtection="1">
      <alignment horizontal="center" vertical="center"/>
      <protection locked="0"/>
    </xf>
    <xf numFmtId="0" fontId="48" fillId="0" borderId="128" xfId="93" applyFont="1" applyBorder="1" applyAlignment="1" applyProtection="1">
      <alignment horizontal="center" vertical="center"/>
      <protection locked="0"/>
    </xf>
    <xf numFmtId="0" fontId="17" fillId="0" borderId="87" xfId="93" applyFont="1" applyBorder="1" applyAlignment="1" applyProtection="1">
      <alignment horizontal="center" vertical="center"/>
      <protection locked="0"/>
    </xf>
    <xf numFmtId="0" fontId="17" fillId="0" borderId="65" xfId="93" applyFont="1" applyBorder="1" applyAlignment="1" applyProtection="1">
      <alignment horizontal="center" vertical="center"/>
      <protection locked="0"/>
    </xf>
    <xf numFmtId="0" fontId="17" fillId="0" borderId="133" xfId="93" applyFont="1" applyBorder="1" applyAlignment="1" applyProtection="1">
      <alignment horizontal="center" vertical="center"/>
      <protection locked="0"/>
    </xf>
    <xf numFmtId="0" fontId="17" fillId="0" borderId="22" xfId="93" applyFont="1" applyBorder="1" applyAlignment="1" applyProtection="1">
      <alignment horizontal="center" vertical="center"/>
      <protection locked="0"/>
    </xf>
    <xf numFmtId="0" fontId="16" fillId="29" borderId="0" xfId="0" applyFont="1" applyFill="1" applyBorder="1" applyAlignment="1" applyProtection="1">
      <alignment horizontal="left" vertical="top"/>
      <protection locked="0"/>
    </xf>
    <xf numFmtId="0" fontId="16" fillId="29" borderId="0" xfId="0" applyFont="1" applyFill="1" applyAlignment="1" applyProtection="1">
      <alignment horizontal="left" vertical="top"/>
      <protection locked="0"/>
    </xf>
    <xf numFmtId="0" fontId="48" fillId="0" borderId="87" xfId="93" applyFont="1" applyBorder="1" applyAlignment="1" applyProtection="1">
      <alignment horizontal="left" vertical="center" wrapText="1"/>
      <protection locked="0"/>
    </xf>
    <xf numFmtId="0" fontId="48" fillId="0" borderId="65" xfId="93" applyFont="1" applyBorder="1" applyAlignment="1" applyProtection="1">
      <alignment horizontal="left" vertical="center" wrapText="1"/>
      <protection locked="0"/>
    </xf>
    <xf numFmtId="0" fontId="48" fillId="0" borderId="22" xfId="93" applyFont="1" applyBorder="1" applyAlignment="1" applyProtection="1">
      <alignment horizontal="left" vertical="center" wrapText="1"/>
      <protection locked="0"/>
    </xf>
    <xf numFmtId="0" fontId="11" fillId="70" borderId="31" xfId="93" applyFill="1" applyBorder="1" applyAlignment="1" applyProtection="1">
      <alignment horizontal="center"/>
      <protection locked="0"/>
    </xf>
    <xf numFmtId="0" fontId="11" fillId="70" borderId="41" xfId="93" applyFill="1" applyBorder="1" applyAlignment="1" applyProtection="1">
      <alignment horizontal="center"/>
      <protection locked="0"/>
    </xf>
    <xf numFmtId="0" fontId="77" fillId="0" borderId="30" xfId="0" applyFont="1" applyBorder="1" applyAlignment="1" applyProtection="1">
      <alignment horizontal="center"/>
      <protection locked="0"/>
    </xf>
    <xf numFmtId="0" fontId="19" fillId="0" borderId="0" xfId="46" applyFont="1" applyAlignment="1" applyProtection="1">
      <alignment horizontal="center"/>
      <protection locked="0"/>
    </xf>
    <xf numFmtId="0" fontId="61" fillId="0" borderId="0" xfId="93" applyFont="1" applyAlignment="1" applyProtection="1">
      <alignment horizontal="left"/>
      <protection locked="0"/>
    </xf>
    <xf numFmtId="165" fontId="12" fillId="0" borderId="75" xfId="90" applyNumberFormat="1" applyBorder="1" applyAlignment="1" applyProtection="1">
      <alignment horizontal="center" vertical="center"/>
      <protection locked="0"/>
    </xf>
    <xf numFmtId="165" fontId="12" fillId="0" borderId="33" xfId="90" applyNumberFormat="1" applyBorder="1" applyAlignment="1" applyProtection="1">
      <alignment horizontal="center" vertical="center"/>
      <protection locked="0"/>
    </xf>
    <xf numFmtId="0" fontId="48" fillId="0" borderId="87" xfId="93" applyFont="1" applyBorder="1" applyAlignment="1" applyProtection="1">
      <alignment horizontal="center" vertical="center" wrapText="1"/>
      <protection locked="0"/>
    </xf>
    <xf numFmtId="0" fontId="48" fillId="0" borderId="22" xfId="93" applyFont="1" applyBorder="1" applyAlignment="1" applyProtection="1">
      <alignment horizontal="center" vertical="center" wrapText="1"/>
      <protection locked="0"/>
    </xf>
    <xf numFmtId="165" fontId="12" fillId="0" borderId="79" xfId="90" applyNumberFormat="1" applyBorder="1" applyAlignment="1" applyProtection="1">
      <alignment horizontal="center" vertical="center"/>
      <protection locked="0"/>
    </xf>
    <xf numFmtId="165" fontId="12" fillId="0" borderId="50" xfId="90" applyNumberFormat="1" applyBorder="1" applyAlignment="1" applyProtection="1">
      <alignment horizontal="center" vertical="center"/>
      <protection locked="0"/>
    </xf>
    <xf numFmtId="165" fontId="12" fillId="0" borderId="80" xfId="90" applyNumberFormat="1" applyBorder="1" applyAlignment="1" applyProtection="1">
      <alignment horizontal="center" vertical="center"/>
      <protection locked="0"/>
    </xf>
    <xf numFmtId="165" fontId="12" fillId="0" borderId="81" xfId="90" applyNumberFormat="1" applyBorder="1" applyAlignment="1" applyProtection="1">
      <alignment horizontal="center" vertical="center"/>
      <protection locked="0"/>
    </xf>
    <xf numFmtId="0" fontId="77" fillId="0" borderId="49" xfId="90" applyFont="1" applyBorder="1" applyAlignment="1" applyProtection="1">
      <alignment horizontal="left" vertical="center"/>
      <protection locked="0"/>
    </xf>
    <xf numFmtId="0" fontId="77" fillId="0" borderId="88" xfId="90" applyFont="1" applyBorder="1" applyAlignment="1" applyProtection="1">
      <alignment horizontal="left" vertical="center"/>
      <protection locked="0"/>
    </xf>
    <xf numFmtId="0" fontId="77" fillId="0" borderId="50" xfId="90" applyFont="1" applyBorder="1" applyAlignment="1" applyProtection="1">
      <alignment horizontal="left" vertical="center"/>
      <protection locked="0"/>
    </xf>
    <xf numFmtId="0" fontId="77" fillId="0" borderId="54" xfId="90" applyFont="1" applyBorder="1" applyAlignment="1" applyProtection="1">
      <alignment horizontal="left" vertical="center"/>
      <protection locked="0"/>
    </xf>
    <xf numFmtId="0" fontId="77" fillId="0" borderId="13" xfId="90" applyFont="1" applyBorder="1" applyAlignment="1" applyProtection="1">
      <alignment horizontal="left" vertical="center"/>
      <protection locked="0"/>
    </xf>
    <xf numFmtId="0" fontId="77" fillId="0" borderId="33" xfId="90" applyFont="1" applyBorder="1" applyAlignment="1" applyProtection="1">
      <alignment horizontal="left" vertical="center"/>
      <protection locked="0"/>
    </xf>
    <xf numFmtId="0" fontId="77" fillId="0" borderId="91" xfId="90" applyFont="1" applyBorder="1" applyAlignment="1" applyProtection="1">
      <alignment horizontal="left" vertical="center"/>
      <protection locked="0"/>
    </xf>
    <xf numFmtId="0" fontId="77" fillId="0" borderId="103" xfId="90" applyFont="1" applyBorder="1" applyAlignment="1" applyProtection="1">
      <alignment horizontal="left" vertical="center"/>
      <protection locked="0"/>
    </xf>
    <xf numFmtId="0" fontId="77" fillId="0" borderId="81" xfId="90" applyFont="1" applyBorder="1" applyAlignment="1" applyProtection="1">
      <alignment horizontal="left" vertical="center"/>
      <protection locked="0"/>
    </xf>
    <xf numFmtId="0" fontId="50" fillId="0" borderId="0" xfId="0" applyFont="1" applyAlignment="1" applyProtection="1">
      <alignment horizontal="left" vertical="top" wrapText="1"/>
      <protection locked="0"/>
    </xf>
    <xf numFmtId="0" fontId="17" fillId="0" borderId="27" xfId="0" applyFont="1" applyBorder="1" applyAlignment="1" applyProtection="1">
      <alignment horizontal="left"/>
      <protection locked="0"/>
    </xf>
    <xf numFmtId="0" fontId="17" fillId="0" borderId="10" xfId="0" applyFont="1" applyBorder="1" applyAlignment="1" applyProtection="1">
      <alignment horizontal="left"/>
      <protection locked="0"/>
    </xf>
    <xf numFmtId="0" fontId="0" fillId="26" borderId="27" xfId="0" applyFill="1" applyBorder="1" applyAlignment="1" applyProtection="1">
      <alignment horizontal="center"/>
      <protection locked="0"/>
    </xf>
    <xf numFmtId="0" fontId="0" fillId="26" borderId="10" xfId="0" applyFill="1" applyBorder="1" applyAlignment="1" applyProtection="1">
      <alignment horizontal="center"/>
      <protection locked="0"/>
    </xf>
    <xf numFmtId="0" fontId="0" fillId="26" borderId="75" xfId="0" applyFill="1" applyBorder="1" applyAlignment="1" applyProtection="1">
      <alignment horizontal="center"/>
      <protection locked="0"/>
    </xf>
    <xf numFmtId="0" fontId="0" fillId="26" borderId="25" xfId="0" applyFill="1" applyBorder="1" applyAlignment="1" applyProtection="1">
      <alignment horizontal="center"/>
      <protection locked="0"/>
    </xf>
    <xf numFmtId="0" fontId="0" fillId="0" borderId="0" xfId="0" applyAlignment="1" applyProtection="1">
      <alignment horizontal="left"/>
      <protection locked="0"/>
    </xf>
    <xf numFmtId="0" fontId="17" fillId="0" borderId="72" xfId="0" applyFont="1" applyBorder="1" applyAlignment="1" applyProtection="1">
      <alignment horizontal="left"/>
      <protection locked="0"/>
    </xf>
    <xf numFmtId="0" fontId="17" fillId="0" borderId="36" xfId="0" applyFont="1" applyBorder="1" applyAlignment="1" applyProtection="1">
      <alignment horizontal="left"/>
      <protection locked="0"/>
    </xf>
    <xf numFmtId="0" fontId="17" fillId="0" borderId="38" xfId="0" applyFont="1" applyBorder="1" applyAlignment="1" applyProtection="1">
      <alignment horizontal="left"/>
      <protection locked="0"/>
    </xf>
    <xf numFmtId="0" fontId="17" fillId="0" borderId="34" xfId="0" applyFont="1" applyBorder="1" applyAlignment="1" applyProtection="1">
      <alignment horizontal="left"/>
      <protection locked="0"/>
    </xf>
    <xf numFmtId="0" fontId="14" fillId="0" borderId="0" xfId="0" applyFont="1" applyAlignment="1" applyProtection="1">
      <alignment horizontal="left" vertical="center" wrapText="1"/>
      <protection locked="0"/>
    </xf>
    <xf numFmtId="0" fontId="0" fillId="0" borderId="0" xfId="0" applyAlignment="1" applyProtection="1">
      <alignment horizontal="left" vertical="center" wrapText="1"/>
      <protection locked="0"/>
    </xf>
    <xf numFmtId="0" fontId="14" fillId="0" borderId="53" xfId="0" applyFont="1" applyBorder="1" applyAlignment="1" applyProtection="1">
      <alignment horizontal="left"/>
      <protection locked="0"/>
    </xf>
    <xf numFmtId="0" fontId="0" fillId="0" borderId="16" xfId="0" applyBorder="1" applyAlignment="1" applyProtection="1">
      <alignment horizontal="left"/>
      <protection locked="0"/>
    </xf>
    <xf numFmtId="0" fontId="47" fillId="0" borderId="0" xfId="0" applyFont="1" applyAlignment="1" applyProtection="1">
      <alignment wrapText="1"/>
      <protection locked="0"/>
    </xf>
    <xf numFmtId="0" fontId="17" fillId="0" borderId="53" xfId="0" applyFont="1" applyBorder="1" applyAlignment="1" applyProtection="1">
      <alignment horizontal="left"/>
      <protection locked="0"/>
    </xf>
    <xf numFmtId="0" fontId="17" fillId="0" borderId="16" xfId="0" applyFont="1" applyBorder="1" applyAlignment="1" applyProtection="1">
      <alignment horizontal="left"/>
      <protection locked="0"/>
    </xf>
    <xf numFmtId="0" fontId="17" fillId="0" borderId="46" xfId="0" applyFont="1" applyBorder="1" applyAlignment="1" applyProtection="1">
      <alignment horizontal="left"/>
      <protection locked="0"/>
    </xf>
    <xf numFmtId="0" fontId="17" fillId="0" borderId="39" xfId="0" applyFont="1" applyBorder="1" applyAlignment="1" applyProtection="1">
      <alignment horizontal="left"/>
      <protection locked="0"/>
    </xf>
    <xf numFmtId="0" fontId="0" fillId="0" borderId="54" xfId="0" applyBorder="1" applyAlignment="1" applyProtection="1">
      <alignment horizontal="left"/>
      <protection locked="0"/>
    </xf>
    <xf numFmtId="0" fontId="0" fillId="0" borderId="33" xfId="0" applyBorder="1" applyAlignment="1" applyProtection="1">
      <alignment horizontal="left"/>
      <protection locked="0"/>
    </xf>
    <xf numFmtId="0" fontId="0" fillId="0" borderId="48" xfId="0" applyBorder="1" applyAlignment="1" applyProtection="1">
      <alignment horizontal="left"/>
      <protection locked="0"/>
    </xf>
    <xf numFmtId="0" fontId="0" fillId="0" borderId="15" xfId="0" applyBorder="1" applyAlignment="1" applyProtection="1">
      <alignment horizontal="left"/>
      <protection locked="0"/>
    </xf>
    <xf numFmtId="0" fontId="0" fillId="29" borderId="54" xfId="0" applyFill="1" applyBorder="1" applyAlignment="1" applyProtection="1">
      <alignment horizontal="left"/>
      <protection locked="0"/>
    </xf>
    <xf numFmtId="0" fontId="0" fillId="29" borderId="33" xfId="0" applyFill="1" applyBorder="1" applyAlignment="1" applyProtection="1">
      <alignment horizontal="left"/>
      <protection locked="0"/>
    </xf>
    <xf numFmtId="0" fontId="0" fillId="29" borderId="58" xfId="0" applyFill="1" applyBorder="1" applyAlignment="1" applyProtection="1">
      <alignment horizontal="left"/>
      <protection locked="0"/>
    </xf>
    <xf numFmtId="0" fontId="0" fillId="29" borderId="86" xfId="0" applyFill="1" applyBorder="1" applyAlignment="1" applyProtection="1">
      <alignment horizontal="left"/>
      <protection locked="0"/>
    </xf>
    <xf numFmtId="0" fontId="88" fillId="0" borderId="0" xfId="126" applyFont="1" applyBorder="1" applyAlignment="1" applyProtection="1">
      <alignment horizontal="left" vertical="top" wrapText="1"/>
      <protection locked="0"/>
    </xf>
    <xf numFmtId="0" fontId="5" fillId="0" borderId="0" xfId="126" applyFont="1" applyAlignment="1" applyProtection="1">
      <alignment horizontal="left" vertical="top" wrapText="1"/>
      <protection locked="0"/>
    </xf>
    <xf numFmtId="0" fontId="3" fillId="0" borderId="0" xfId="126" applyFont="1" applyAlignment="1" applyProtection="1">
      <alignment horizontal="left" vertical="top" wrapText="1"/>
      <protection locked="0"/>
    </xf>
    <xf numFmtId="0" fontId="92" fillId="0" borderId="0" xfId="126" applyFont="1" applyAlignment="1" applyProtection="1">
      <alignment horizontal="left" vertical="top" wrapText="1"/>
      <protection locked="0"/>
    </xf>
    <xf numFmtId="0" fontId="77" fillId="63" borderId="48" xfId="126" applyFont="1" applyFill="1" applyBorder="1" applyAlignment="1" applyProtection="1">
      <alignment horizontal="center" vertical="top"/>
      <protection locked="0"/>
    </xf>
    <xf numFmtId="0" fontId="77" fillId="63" borderId="0" xfId="126" applyFont="1" applyFill="1" applyBorder="1" applyAlignment="1" applyProtection="1">
      <alignment horizontal="center" vertical="top"/>
      <protection locked="0"/>
    </xf>
    <xf numFmtId="0" fontId="77" fillId="63" borderId="29" xfId="126" applyFont="1" applyFill="1" applyBorder="1" applyAlignment="1" applyProtection="1">
      <alignment horizontal="center" vertical="top"/>
      <protection locked="0"/>
    </xf>
    <xf numFmtId="0" fontId="77" fillId="63" borderId="54" xfId="126" applyFont="1" applyFill="1" applyBorder="1" applyAlignment="1" applyProtection="1">
      <alignment horizontal="center" vertical="center"/>
      <protection locked="0"/>
    </xf>
    <xf numFmtId="0" fontId="77" fillId="63" borderId="13" xfId="126" applyFont="1" applyFill="1" applyBorder="1" applyAlignment="1" applyProtection="1">
      <alignment horizontal="center" vertical="center"/>
      <protection locked="0"/>
    </xf>
    <xf numFmtId="0" fontId="77" fillId="63" borderId="51" xfId="126" applyFont="1" applyFill="1" applyBorder="1" applyAlignment="1" applyProtection="1">
      <alignment horizontal="center" vertical="center"/>
      <protection locked="0"/>
    </xf>
    <xf numFmtId="0" fontId="77" fillId="0" borderId="46" xfId="126" applyFont="1" applyBorder="1" applyAlignment="1" applyProtection="1">
      <alignment vertical="top" wrapText="1"/>
      <protection locked="0"/>
    </xf>
    <xf numFmtId="0" fontId="77" fillId="0" borderId="30" xfId="126" applyFont="1" applyBorder="1" applyAlignment="1" applyProtection="1">
      <alignment vertical="top" wrapText="1"/>
      <protection locked="0"/>
    </xf>
    <xf numFmtId="0" fontId="3" fillId="0" borderId="0" xfId="126" applyFont="1" applyBorder="1" applyAlignment="1" applyProtection="1">
      <alignment horizontal="left" vertical="top" wrapText="1"/>
      <protection locked="0"/>
    </xf>
    <xf numFmtId="0" fontId="5" fillId="0" borderId="0" xfId="126" applyFont="1" applyBorder="1" applyAlignment="1" applyProtection="1">
      <alignment horizontal="left" vertical="top" wrapText="1"/>
      <protection locked="0"/>
    </xf>
    <xf numFmtId="0" fontId="77" fillId="0" borderId="0" xfId="126" applyFont="1" applyBorder="1" applyAlignment="1" applyProtection="1">
      <alignment horizontal="center" vertical="top" wrapText="1"/>
      <protection locked="0"/>
    </xf>
    <xf numFmtId="0" fontId="88" fillId="64" borderId="103" xfId="126" applyFont="1" applyFill="1" applyBorder="1" applyAlignment="1" applyProtection="1">
      <alignment horizontal="left" vertical="top" wrapText="1"/>
      <protection locked="0"/>
    </xf>
    <xf numFmtId="0" fontId="111" fillId="0" borderId="0" xfId="126" applyFont="1" applyBorder="1" applyAlignment="1" applyProtection="1">
      <alignment horizontal="center" vertical="top" wrapText="1"/>
      <protection locked="0"/>
    </xf>
    <xf numFmtId="0" fontId="77" fillId="63" borderId="48" xfId="126" applyFont="1" applyFill="1" applyBorder="1" applyAlignment="1" applyProtection="1">
      <alignment horizontal="left" vertical="center"/>
      <protection locked="0"/>
    </xf>
    <xf numFmtId="0" fontId="77" fillId="63" borderId="0" xfId="126" applyFont="1" applyFill="1" applyBorder="1" applyAlignment="1" applyProtection="1">
      <alignment horizontal="left" vertical="center"/>
      <protection locked="0"/>
    </xf>
    <xf numFmtId="0" fontId="0" fillId="63" borderId="53" xfId="126" applyFont="1" applyFill="1" applyBorder="1" applyAlignment="1" applyProtection="1">
      <alignment vertical="top" wrapText="1"/>
      <protection locked="0"/>
    </xf>
    <xf numFmtId="0" fontId="5" fillId="63" borderId="12" xfId="126" applyFont="1" applyFill="1" applyBorder="1" applyAlignment="1" applyProtection="1">
      <alignment vertical="top" wrapText="1"/>
      <protection locked="0"/>
    </xf>
    <xf numFmtId="0" fontId="77" fillId="0" borderId="0" xfId="126" applyFont="1" applyBorder="1" applyAlignment="1" applyProtection="1">
      <alignment horizontal="left" vertical="top" wrapText="1"/>
      <protection locked="0"/>
    </xf>
    <xf numFmtId="0" fontId="111" fillId="0" borderId="0" xfId="126" applyFont="1" applyBorder="1" applyAlignment="1" applyProtection="1">
      <alignment horizontal="center"/>
      <protection locked="0"/>
    </xf>
    <xf numFmtId="0" fontId="14" fillId="0" borderId="0" xfId="126" applyFont="1" applyBorder="1" applyAlignment="1" applyProtection="1">
      <alignment horizontal="left" vertical="top" wrapText="1"/>
      <protection locked="0"/>
    </xf>
    <xf numFmtId="0" fontId="0" fillId="0" borderId="0" xfId="126" applyFont="1" applyBorder="1" applyAlignment="1" applyProtection="1">
      <alignment horizontal="left" vertical="top" wrapText="1"/>
      <protection locked="0"/>
    </xf>
    <xf numFmtId="0" fontId="77" fillId="63" borderId="70" xfId="126" applyFont="1" applyFill="1" applyBorder="1" applyAlignment="1" applyProtection="1">
      <alignment horizontal="center"/>
      <protection locked="0"/>
    </xf>
    <xf numFmtId="0" fontId="77" fillId="63" borderId="71" xfId="126" applyFont="1" applyFill="1" applyBorder="1" applyAlignment="1" applyProtection="1">
      <alignment horizontal="center"/>
      <protection locked="0"/>
    </xf>
    <xf numFmtId="0" fontId="77" fillId="63" borderId="45" xfId="126" applyFont="1" applyFill="1" applyBorder="1" applyAlignment="1" applyProtection="1">
      <alignment horizontal="center"/>
      <protection locked="0"/>
    </xf>
    <xf numFmtId="0" fontId="77" fillId="67" borderId="70" xfId="126" applyFont="1" applyFill="1" applyBorder="1" applyAlignment="1" applyProtection="1">
      <alignment horizontal="center" vertical="top"/>
      <protection locked="0"/>
    </xf>
    <xf numFmtId="0" fontId="77" fillId="67" borderId="71" xfId="126" applyFont="1" applyFill="1" applyBorder="1" applyAlignment="1" applyProtection="1">
      <alignment horizontal="center" vertical="top"/>
      <protection locked="0"/>
    </xf>
    <xf numFmtId="0" fontId="77" fillId="67" borderId="45" xfId="126" applyFont="1" applyFill="1" applyBorder="1" applyAlignment="1" applyProtection="1">
      <alignment horizontal="center" vertical="top"/>
      <protection locked="0"/>
    </xf>
    <xf numFmtId="174" fontId="92" fillId="29" borderId="48" xfId="127" applyNumberFormat="1" applyFont="1" applyFill="1" applyBorder="1" applyAlignment="1" applyProtection="1">
      <alignment horizontal="center" vertical="top"/>
      <protection locked="0"/>
    </xf>
    <xf numFmtId="174" fontId="92" fillId="29" borderId="0" xfId="127" applyNumberFormat="1" applyFont="1" applyFill="1" applyBorder="1" applyAlignment="1" applyProtection="1">
      <alignment horizontal="center" vertical="top"/>
      <protection locked="0"/>
    </xf>
    <xf numFmtId="174" fontId="92" fillId="29" borderId="29" xfId="127" applyNumberFormat="1" applyFont="1" applyFill="1" applyBorder="1" applyAlignment="1" applyProtection="1">
      <alignment horizontal="center" vertical="top"/>
      <protection locked="0"/>
    </xf>
    <xf numFmtId="0" fontId="108" fillId="0" borderId="0" xfId="126" applyFont="1" applyAlignment="1" applyProtection="1">
      <alignment horizontal="center" vertical="top"/>
      <protection locked="0"/>
    </xf>
    <xf numFmtId="0" fontId="14" fillId="0" borderId="0" xfId="126" applyFont="1" applyAlignment="1" applyProtection="1">
      <alignment horizontal="left" vertical="top" wrapText="1"/>
      <protection locked="0"/>
    </xf>
    <xf numFmtId="0" fontId="123" fillId="0" borderId="0" xfId="0" applyFont="1" applyAlignment="1">
      <alignment horizontal="left" vertical="top" wrapText="1"/>
    </xf>
    <xf numFmtId="0" fontId="17" fillId="0" borderId="49" xfId="0" applyFont="1" applyBorder="1" applyAlignment="1">
      <alignment horizontal="center" vertical="top" wrapText="1"/>
    </xf>
    <xf numFmtId="0" fontId="17" fillId="0" borderId="88" xfId="0" applyFont="1" applyBorder="1" applyAlignment="1">
      <alignment horizontal="center" vertical="top" wrapText="1"/>
    </xf>
    <xf numFmtId="0" fontId="17" fillId="0" borderId="159" xfId="0" applyFont="1" applyBorder="1" applyAlignment="1">
      <alignment horizontal="center" vertical="top" wrapText="1"/>
    </xf>
    <xf numFmtId="0" fontId="17" fillId="0" borderId="75" xfId="0" applyFont="1" applyBorder="1" applyAlignment="1">
      <alignment horizontal="center" vertical="top" wrapText="1"/>
    </xf>
    <xf numFmtId="0" fontId="17" fillId="0" borderId="13" xfId="0" applyFont="1" applyBorder="1" applyAlignment="1">
      <alignment horizontal="center" vertical="top" wrapText="1"/>
    </xf>
    <xf numFmtId="0" fontId="17" fillId="0" borderId="33" xfId="0" applyFont="1" applyBorder="1" applyAlignment="1">
      <alignment horizontal="center" vertical="top"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0"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49" xfId="0" applyFont="1" applyBorder="1" applyAlignment="1">
      <alignment horizontal="center"/>
    </xf>
    <xf numFmtId="0" fontId="17" fillId="0" borderId="159" xfId="0" applyFont="1" applyBorder="1" applyAlignment="1">
      <alignment horizontal="center"/>
    </xf>
    <xf numFmtId="0" fontId="21" fillId="0" borderId="0" xfId="46" applyFont="1" applyAlignment="1" applyProtection="1">
      <alignment horizontal="center" vertical="top" wrapText="1"/>
      <protection locked="0"/>
    </xf>
    <xf numFmtId="0" fontId="17" fillId="0" borderId="46" xfId="0" applyFont="1" applyBorder="1" applyAlignment="1">
      <alignment horizontal="center"/>
    </xf>
    <xf numFmtId="0" fontId="17" fillId="0" borderId="30" xfId="0" applyFont="1" applyBorder="1" applyAlignment="1">
      <alignment horizontal="center"/>
    </xf>
    <xf numFmtId="0" fontId="17" fillId="0" borderId="65" xfId="0" applyFont="1" applyBorder="1" applyAlignment="1">
      <alignment horizontal="center" vertical="center"/>
    </xf>
    <xf numFmtId="0" fontId="17" fillId="0" borderId="31" xfId="0" applyFont="1" applyBorder="1" applyAlignment="1">
      <alignment horizontal="center"/>
    </xf>
    <xf numFmtId="0" fontId="17" fillId="0" borderId="70" xfId="0" applyFont="1" applyFill="1" applyBorder="1" applyAlignment="1">
      <alignment horizontal="center" wrapText="1"/>
    </xf>
    <xf numFmtId="0" fontId="17" fillId="0" borderId="71" xfId="0" applyFont="1" applyFill="1" applyBorder="1" applyAlignment="1">
      <alignment horizontal="center" wrapText="1"/>
    </xf>
    <xf numFmtId="0" fontId="17" fillId="0" borderId="45" xfId="0" applyFont="1" applyFill="1" applyBorder="1" applyAlignment="1">
      <alignment horizontal="center" wrapText="1"/>
    </xf>
    <xf numFmtId="0" fontId="17" fillId="0" borderId="88" xfId="0" applyFont="1" applyBorder="1" applyAlignment="1">
      <alignment horizontal="center"/>
    </xf>
    <xf numFmtId="0" fontId="14" fillId="29" borderId="87" xfId="0" applyFont="1" applyFill="1" applyBorder="1" applyAlignment="1">
      <alignment horizontal="left" vertical="top"/>
    </xf>
    <xf numFmtId="0" fontId="0" fillId="29" borderId="65" xfId="0" applyFill="1" applyBorder="1" applyAlignment="1">
      <alignment horizontal="left" vertical="top"/>
    </xf>
    <xf numFmtId="0" fontId="0" fillId="29" borderId="22" xfId="0" applyFill="1" applyBorder="1" applyAlignment="1">
      <alignment horizontal="left" vertical="top"/>
    </xf>
    <xf numFmtId="0" fontId="17" fillId="28" borderId="70" xfId="0" applyFont="1" applyFill="1" applyBorder="1" applyAlignment="1">
      <alignment horizontal="center" wrapText="1"/>
    </xf>
    <xf numFmtId="0" fontId="17" fillId="28" borderId="71" xfId="0" applyFont="1" applyFill="1" applyBorder="1" applyAlignment="1">
      <alignment horizontal="center" wrapText="1"/>
    </xf>
    <xf numFmtId="0" fontId="17" fillId="28" borderId="45" xfId="0" applyFont="1" applyFill="1" applyBorder="1" applyAlignment="1">
      <alignment horizontal="center" wrapText="1"/>
    </xf>
    <xf numFmtId="0" fontId="14" fillId="65" borderId="0" xfId="0" applyFont="1" applyFill="1" applyAlignment="1">
      <alignment horizontal="left" vertical="top" wrapText="1"/>
    </xf>
    <xf numFmtId="0" fontId="123" fillId="65" borderId="0" xfId="0" applyFont="1" applyFill="1" applyAlignment="1">
      <alignment horizontal="left" vertical="top" wrapText="1"/>
    </xf>
    <xf numFmtId="0" fontId="17" fillId="0" borderId="30" xfId="0" applyFont="1" applyFill="1" applyBorder="1" applyAlignment="1">
      <alignment horizontal="center"/>
    </xf>
    <xf numFmtId="0" fontId="123" fillId="0" borderId="0" xfId="0" applyFont="1" applyAlignment="1">
      <alignment horizontal="left" vertical="top"/>
    </xf>
    <xf numFmtId="0" fontId="62" fillId="0" borderId="0" xfId="46" applyFont="1" applyFill="1" applyBorder="1" applyAlignment="1" applyProtection="1">
      <alignment horizontal="center" vertical="center" wrapText="1"/>
      <protection locked="0"/>
    </xf>
    <xf numFmtId="0" fontId="0" fillId="0" borderId="0" xfId="0" applyAlignment="1" applyProtection="1">
      <alignment vertical="top" wrapText="1"/>
      <protection locked="0"/>
    </xf>
    <xf numFmtId="0" fontId="0" fillId="0" borderId="0" xfId="0" applyAlignment="1" applyProtection="1">
      <alignment horizontal="left" vertical="top" wrapText="1"/>
      <protection locked="0"/>
    </xf>
    <xf numFmtId="0" fontId="14" fillId="0" borderId="0" xfId="0" quotePrefix="1" applyFont="1" applyAlignment="1" applyProtection="1">
      <alignment horizontal="left" vertical="top" wrapText="1"/>
      <protection locked="0"/>
    </xf>
    <xf numFmtId="0" fontId="17" fillId="27" borderId="75" xfId="0" applyFont="1" applyFill="1" applyBorder="1" applyAlignment="1" applyProtection="1">
      <alignment horizontal="left"/>
      <protection locked="0"/>
    </xf>
    <xf numFmtId="0" fontId="17" fillId="27" borderId="13" xfId="0" applyFont="1" applyFill="1" applyBorder="1" applyAlignment="1" applyProtection="1">
      <alignment horizontal="left"/>
      <protection locked="0"/>
    </xf>
    <xf numFmtId="0" fontId="17" fillId="27" borderId="33" xfId="0" applyFont="1" applyFill="1" applyBorder="1" applyAlignment="1" applyProtection="1">
      <alignment horizontal="left"/>
      <protection locked="0"/>
    </xf>
    <xf numFmtId="0" fontId="17" fillId="27" borderId="77" xfId="0" applyFont="1" applyFill="1" applyBorder="1" applyAlignment="1" applyProtection="1">
      <alignment horizontal="left"/>
      <protection locked="0"/>
    </xf>
    <xf numFmtId="0" fontId="17" fillId="27" borderId="12" xfId="0" applyFont="1" applyFill="1" applyBorder="1" applyAlignment="1" applyProtection="1">
      <alignment horizontal="left"/>
      <protection locked="0"/>
    </xf>
    <xf numFmtId="0" fontId="17" fillId="27" borderId="16" xfId="0" applyFont="1" applyFill="1" applyBorder="1" applyAlignment="1" applyProtection="1">
      <alignment horizontal="left"/>
      <protection locked="0"/>
    </xf>
    <xf numFmtId="0" fontId="14" fillId="29" borderId="70" xfId="0" applyFont="1" applyFill="1" applyBorder="1" applyAlignment="1">
      <alignment horizontal="left" vertical="top" wrapText="1"/>
    </xf>
    <xf numFmtId="0" fontId="0" fillId="29" borderId="71" xfId="0" applyFill="1" applyBorder="1" applyAlignment="1">
      <alignment horizontal="left" vertical="top" wrapText="1"/>
    </xf>
    <xf numFmtId="0" fontId="0" fillId="29" borderId="45" xfId="0" applyFill="1" applyBorder="1" applyAlignment="1">
      <alignment horizontal="left" vertical="top" wrapText="1"/>
    </xf>
    <xf numFmtId="0" fontId="0" fillId="29" borderId="48" xfId="0" applyFill="1" applyBorder="1" applyAlignment="1">
      <alignment horizontal="left" vertical="top" wrapText="1"/>
    </xf>
    <xf numFmtId="0" fontId="0" fillId="29" borderId="0" xfId="0" applyFill="1" applyBorder="1" applyAlignment="1">
      <alignment horizontal="left" vertical="top" wrapText="1"/>
    </xf>
    <xf numFmtId="0" fontId="0" fillId="29" borderId="29" xfId="0" applyFill="1" applyBorder="1" applyAlignment="1">
      <alignment horizontal="left" vertical="top" wrapText="1"/>
    </xf>
    <xf numFmtId="0" fontId="0" fillId="29" borderId="46" xfId="0" applyFill="1" applyBorder="1" applyAlignment="1">
      <alignment horizontal="left" vertical="top" wrapText="1"/>
    </xf>
    <xf numFmtId="0" fontId="0" fillId="29" borderId="30" xfId="0" applyFill="1" applyBorder="1" applyAlignment="1">
      <alignment horizontal="left" vertical="top" wrapText="1"/>
    </xf>
    <xf numFmtId="0" fontId="0" fillId="29" borderId="31" xfId="0" applyFill="1" applyBorder="1" applyAlignment="1">
      <alignment horizontal="left" vertical="top" wrapText="1"/>
    </xf>
    <xf numFmtId="0" fontId="21" fillId="0" borderId="0" xfId="0" applyFont="1" applyAlignment="1">
      <alignment horizontal="center"/>
    </xf>
    <xf numFmtId="0" fontId="0" fillId="29" borderId="70" xfId="0" applyFill="1" applyBorder="1" applyAlignment="1">
      <alignment horizontal="left" vertical="top" wrapText="1"/>
    </xf>
    <xf numFmtId="0" fontId="17" fillId="0" borderId="54" xfId="0" quotePrefix="1" applyFont="1" applyBorder="1" applyAlignment="1" applyProtection="1">
      <alignment horizontal="left"/>
      <protection locked="0"/>
    </xf>
    <xf numFmtId="0" fontId="17" fillId="0" borderId="33" xfId="0" applyFont="1" applyBorder="1" applyAlignment="1" applyProtection="1">
      <alignment horizontal="left"/>
      <protection locked="0"/>
    </xf>
    <xf numFmtId="0" fontId="17" fillId="0" borderId="54" xfId="0" applyFont="1" applyBorder="1" applyAlignment="1" applyProtection="1">
      <alignment horizontal="left"/>
      <protection locked="0"/>
    </xf>
    <xf numFmtId="0" fontId="17" fillId="0" borderId="54" xfId="0" quotePrefix="1" applyFont="1" applyBorder="1" applyAlignment="1" applyProtection="1">
      <alignment horizontal="left" vertical="top" wrapText="1"/>
      <protection locked="0"/>
    </xf>
    <xf numFmtId="0" fontId="17" fillId="0" borderId="33" xfId="0" quotePrefix="1" applyFont="1" applyBorder="1" applyAlignment="1" applyProtection="1">
      <alignment horizontal="left" vertical="top" wrapText="1"/>
      <protection locked="0"/>
    </xf>
    <xf numFmtId="0" fontId="83" fillId="0" borderId="87" xfId="0" applyFont="1" applyBorder="1" applyAlignment="1" applyProtection="1">
      <alignment horizontal="left" vertical="center"/>
      <protection locked="0"/>
    </xf>
    <xf numFmtId="0" fontId="83" fillId="0" borderId="23" xfId="0" applyFont="1" applyBorder="1" applyAlignment="1" applyProtection="1">
      <alignment horizontal="left" vertical="center"/>
      <protection locked="0"/>
    </xf>
    <xf numFmtId="0" fontId="17" fillId="0" borderId="54" xfId="0" applyFont="1" applyBorder="1" applyAlignment="1" applyProtection="1">
      <alignment horizontal="left" vertical="top" wrapText="1"/>
      <protection locked="0"/>
    </xf>
    <xf numFmtId="0" fontId="17" fillId="0" borderId="33" xfId="0" applyFont="1" applyBorder="1" applyAlignment="1" applyProtection="1">
      <alignment horizontal="left" vertical="top" wrapText="1"/>
      <protection locked="0"/>
    </xf>
    <xf numFmtId="0" fontId="17" fillId="0" borderId="65" xfId="0" applyFont="1" applyBorder="1" applyAlignment="1" applyProtection="1">
      <alignment horizontal="center"/>
      <protection locked="0"/>
    </xf>
    <xf numFmtId="0" fontId="17" fillId="0" borderId="32" xfId="0" applyFont="1" applyBorder="1" applyAlignment="1" applyProtection="1">
      <alignment horizontal="left" vertical="center"/>
      <protection locked="0"/>
    </xf>
    <xf numFmtId="0" fontId="17" fillId="0" borderId="24" xfId="0" applyFont="1" applyBorder="1" applyAlignment="1" applyProtection="1">
      <alignment horizontal="left" vertical="center"/>
      <protection locked="0"/>
    </xf>
    <xf numFmtId="0" fontId="0" fillId="0" borderId="27" xfId="0" quotePrefix="1" applyBorder="1" applyAlignment="1" applyProtection="1">
      <alignment horizontal="center"/>
      <protection locked="0"/>
    </xf>
    <xf numFmtId="0" fontId="0" fillId="0" borderId="10" xfId="0" quotePrefix="1" applyBorder="1" applyAlignment="1" applyProtection="1">
      <alignment horizontal="center"/>
      <protection locked="0"/>
    </xf>
    <xf numFmtId="0" fontId="19" fillId="0" borderId="0" xfId="0" applyFont="1" applyAlignment="1" applyProtection="1">
      <alignment horizontal="center"/>
      <protection locked="0"/>
    </xf>
    <xf numFmtId="0" fontId="17" fillId="25" borderId="32" xfId="0" applyFont="1" applyFill="1" applyBorder="1" applyAlignment="1" applyProtection="1">
      <alignment horizontal="center"/>
      <protection locked="0"/>
    </xf>
    <xf numFmtId="0" fontId="17" fillId="25" borderId="24" xfId="0" applyFont="1" applyFill="1" applyBorder="1" applyAlignment="1" applyProtection="1">
      <alignment horizontal="center"/>
      <protection locked="0"/>
    </xf>
    <xf numFmtId="0" fontId="17" fillId="25" borderId="24" xfId="0" applyFont="1" applyFill="1" applyBorder="1" applyAlignment="1" applyProtection="1">
      <alignment horizontal="center" vertical="center" wrapText="1"/>
      <protection locked="0"/>
    </xf>
    <xf numFmtId="0" fontId="17" fillId="25" borderId="10" xfId="0" applyFont="1" applyFill="1" applyBorder="1" applyAlignment="1" applyProtection="1">
      <alignment horizontal="center" vertical="center" wrapText="1"/>
      <protection locked="0"/>
    </xf>
    <xf numFmtId="0" fontId="0" fillId="25" borderId="10" xfId="0" applyFill="1" applyBorder="1" applyAlignment="1" applyProtection="1">
      <alignment horizontal="center" vertical="center" wrapText="1"/>
      <protection locked="0"/>
    </xf>
    <xf numFmtId="0" fontId="17" fillId="25" borderId="24" xfId="0" applyFont="1" applyFill="1" applyBorder="1" applyAlignment="1" applyProtection="1">
      <alignment horizontal="center" wrapText="1"/>
      <protection locked="0"/>
    </xf>
    <xf numFmtId="0" fontId="17" fillId="25" borderId="10" xfId="0" applyFont="1" applyFill="1" applyBorder="1" applyAlignment="1" applyProtection="1">
      <alignment horizontal="center" wrapText="1"/>
      <protection locked="0"/>
    </xf>
    <xf numFmtId="0" fontId="17" fillId="25" borderId="62" xfId="0" applyFont="1" applyFill="1" applyBorder="1" applyAlignment="1" applyProtection="1">
      <alignment horizontal="center" wrapText="1"/>
      <protection locked="0"/>
    </xf>
    <xf numFmtId="0" fontId="17" fillId="25" borderId="25" xfId="0" applyFont="1" applyFill="1" applyBorder="1" applyAlignment="1" applyProtection="1">
      <alignment horizontal="center" wrapText="1"/>
      <protection locked="0"/>
    </xf>
    <xf numFmtId="0" fontId="17" fillId="25" borderId="27" xfId="0" applyFont="1" applyFill="1" applyBorder="1" applyAlignment="1" applyProtection="1">
      <protection locked="0"/>
    </xf>
    <xf numFmtId="0" fontId="0" fillId="25" borderId="27" xfId="0" applyFill="1" applyBorder="1" applyAlignment="1" applyProtection="1">
      <protection locked="0"/>
    </xf>
    <xf numFmtId="0" fontId="17" fillId="25" borderId="10" xfId="0" applyFont="1" applyFill="1" applyBorder="1" applyAlignment="1" applyProtection="1">
      <protection locked="0"/>
    </xf>
    <xf numFmtId="0" fontId="0" fillId="25" borderId="10" xfId="0" applyFill="1" applyBorder="1" applyAlignment="1" applyProtection="1">
      <protection locked="0"/>
    </xf>
    <xf numFmtId="0" fontId="17" fillId="25" borderId="73" xfId="0" applyFont="1" applyFill="1" applyBorder="1" applyAlignment="1" applyProtection="1">
      <alignment horizontal="center" vertical="center" wrapText="1"/>
      <protection locked="0"/>
    </xf>
    <xf numFmtId="0" fontId="17" fillId="25" borderId="11" xfId="0" applyFont="1" applyFill="1" applyBorder="1" applyAlignment="1" applyProtection="1">
      <alignment horizontal="center" vertical="center" wrapText="1"/>
      <protection locked="0"/>
    </xf>
    <xf numFmtId="0" fontId="0" fillId="25" borderId="19" xfId="0" applyFill="1" applyBorder="1" applyAlignment="1" applyProtection="1">
      <alignment horizontal="center" vertical="center" wrapText="1"/>
      <protection locked="0"/>
    </xf>
    <xf numFmtId="0" fontId="17" fillId="25" borderId="90" xfId="0" applyFont="1" applyFill="1" applyBorder="1" applyAlignment="1" applyProtection="1">
      <protection locked="0"/>
    </xf>
    <xf numFmtId="0" fontId="0" fillId="25" borderId="76" xfId="0" applyFill="1" applyBorder="1" applyAlignment="1" applyProtection="1">
      <protection locked="0"/>
    </xf>
    <xf numFmtId="0" fontId="17" fillId="25" borderId="17" xfId="0" applyFont="1" applyFill="1" applyBorder="1" applyAlignment="1" applyProtection="1">
      <protection locked="0"/>
    </xf>
    <xf numFmtId="0" fontId="0" fillId="25" borderId="19" xfId="0" applyFill="1" applyBorder="1" applyAlignment="1" applyProtection="1">
      <protection locked="0"/>
    </xf>
    <xf numFmtId="0" fontId="17" fillId="0" borderId="0" xfId="0" applyFont="1" applyAlignment="1" applyProtection="1">
      <alignment horizontal="left" vertical="center" wrapText="1" indent="4"/>
      <protection locked="0"/>
    </xf>
    <xf numFmtId="0" fontId="0" fillId="0" borderId="0" xfId="0" applyAlignment="1" applyProtection="1">
      <alignment horizontal="left" wrapText="1" indent="4"/>
      <protection locked="0"/>
    </xf>
    <xf numFmtId="0" fontId="17" fillId="0" borderId="0" xfId="0" applyFont="1" applyAlignment="1" applyProtection="1">
      <alignment horizontal="left" vertical="top" wrapText="1"/>
      <protection locked="0"/>
    </xf>
    <xf numFmtId="0" fontId="17" fillId="25" borderId="0" xfId="0" applyFont="1" applyFill="1" applyBorder="1" applyAlignment="1" applyProtection="1">
      <alignment horizontal="center" wrapText="1"/>
      <protection locked="0"/>
    </xf>
    <xf numFmtId="0" fontId="21" fillId="0" borderId="0" xfId="46" applyFont="1" applyFill="1" applyAlignment="1" applyProtection="1">
      <alignment horizontal="center" vertical="center"/>
      <protection locked="0"/>
    </xf>
    <xf numFmtId="0" fontId="17" fillId="0" borderId="0" xfId="46" applyFont="1" applyBorder="1" applyAlignment="1" applyProtection="1">
      <alignment horizontal="right" wrapText="1"/>
      <protection locked="0"/>
    </xf>
    <xf numFmtId="0" fontId="14" fillId="0" borderId="12" xfId="46" applyBorder="1" applyAlignment="1" applyProtection="1">
      <alignment wrapText="1"/>
      <protection locked="0"/>
    </xf>
    <xf numFmtId="0" fontId="17" fillId="0" borderId="12" xfId="46" applyFont="1" applyBorder="1" applyAlignment="1" applyProtection="1">
      <alignment horizontal="center" vertical="center"/>
      <protection locked="0"/>
    </xf>
    <xf numFmtId="0" fontId="45" fillId="29" borderId="0" xfId="0" applyFont="1" applyFill="1" applyAlignment="1" applyProtection="1">
      <alignment horizontal="center"/>
      <protection locked="0"/>
    </xf>
    <xf numFmtId="0" fontId="14" fillId="29" borderId="0" xfId="46" applyFill="1" applyAlignment="1" applyProtection="1">
      <protection locked="0"/>
    </xf>
    <xf numFmtId="0" fontId="17" fillId="0" borderId="0" xfId="46" applyFont="1" applyAlignment="1" applyProtection="1">
      <alignment horizontal="center" vertical="center"/>
      <protection locked="0"/>
    </xf>
    <xf numFmtId="0" fontId="20" fillId="0" borderId="0" xfId="46" applyFont="1" applyBorder="1" applyAlignment="1" applyProtection="1">
      <alignment horizontal="left"/>
      <protection locked="0"/>
    </xf>
    <xf numFmtId="0" fontId="17" fillId="0" borderId="0" xfId="0" applyFont="1" applyAlignment="1" applyProtection="1">
      <alignment horizontal="center" vertical="center"/>
      <protection locked="0"/>
    </xf>
    <xf numFmtId="0" fontId="17" fillId="0" borderId="0" xfId="0" applyFont="1" applyFill="1" applyAlignment="1" applyProtection="1">
      <alignment horizontal="left" vertical="center" wrapText="1"/>
      <protection locked="0"/>
    </xf>
    <xf numFmtId="0" fontId="14" fillId="29" borderId="0" xfId="0" applyFont="1" applyFill="1" applyBorder="1" applyAlignment="1" applyProtection="1">
      <alignment horizontal="left" vertical="center" wrapText="1"/>
      <protection locked="0"/>
    </xf>
    <xf numFmtId="0" fontId="14" fillId="24" borderId="0" xfId="0" applyFont="1" applyFill="1" applyBorder="1" applyAlignment="1" applyProtection="1">
      <alignment horizontal="left" vertical="center" wrapText="1"/>
      <protection locked="0"/>
    </xf>
    <xf numFmtId="0" fontId="14" fillId="0" borderId="43" xfId="0" applyFont="1" applyBorder="1" applyAlignment="1" applyProtection="1">
      <alignment wrapText="1"/>
      <protection locked="0"/>
    </xf>
    <xf numFmtId="0" fontId="14" fillId="0" borderId="41" xfId="0" applyFont="1" applyBorder="1" applyAlignment="1" applyProtection="1">
      <alignment wrapText="1"/>
      <protection locked="0"/>
    </xf>
    <xf numFmtId="0" fontId="119" fillId="0" borderId="0" xfId="0" applyFont="1" applyFill="1" applyAlignment="1" applyProtection="1">
      <alignment horizontal="center" vertical="center"/>
      <protection locked="0"/>
    </xf>
    <xf numFmtId="9" fontId="14" fillId="29" borderId="29" xfId="42" applyFont="1" applyFill="1" applyBorder="1" applyAlignment="1" applyProtection="1">
      <alignment wrapText="1"/>
      <protection locked="0"/>
    </xf>
    <xf numFmtId="9" fontId="14" fillId="24" borderId="31" xfId="42" applyFont="1" applyFill="1" applyBorder="1" applyAlignment="1" applyProtection="1">
      <alignment wrapText="1"/>
      <protection locked="0"/>
    </xf>
    <xf numFmtId="10" fontId="14" fillId="0" borderId="43" xfId="42" applyNumberFormat="1" applyFont="1" applyBorder="1" applyAlignment="1" applyProtection="1">
      <alignment horizontal="center" vertical="center"/>
      <protection locked="0"/>
    </xf>
    <xf numFmtId="10" fontId="14" fillId="0" borderId="41" xfId="42" applyNumberFormat="1" applyFont="1" applyBorder="1" applyAlignment="1" applyProtection="1">
      <alignment horizontal="center" vertical="center"/>
      <protection locked="0"/>
    </xf>
    <xf numFmtId="0" fontId="20" fillId="0" borderId="0" xfId="0" applyFont="1" applyAlignment="1" applyProtection="1">
      <alignment horizontal="center"/>
      <protection locked="0"/>
    </xf>
    <xf numFmtId="0" fontId="0" fillId="0" borderId="32" xfId="0" applyFill="1" applyBorder="1" applyAlignment="1" applyProtection="1">
      <alignment horizontal="center"/>
      <protection locked="0"/>
    </xf>
    <xf numFmtId="0" fontId="0" fillId="0" borderId="24" xfId="0" applyFill="1" applyBorder="1" applyAlignment="1" applyProtection="1">
      <alignment horizontal="center"/>
      <protection locked="0"/>
    </xf>
    <xf numFmtId="0" fontId="0" fillId="0" borderId="27" xfId="0" applyFill="1" applyBorder="1" applyAlignment="1" applyProtection="1">
      <alignment horizontal="center"/>
      <protection locked="0"/>
    </xf>
    <xf numFmtId="0" fontId="0" fillId="0" borderId="10" xfId="0" applyFill="1" applyBorder="1" applyAlignment="1" applyProtection="1">
      <alignment horizontal="center"/>
      <protection locked="0"/>
    </xf>
    <xf numFmtId="0" fontId="17" fillId="0" borderId="79" xfId="0" applyFont="1" applyFill="1" applyBorder="1" applyAlignment="1" applyProtection="1">
      <alignment horizontal="center"/>
      <protection locked="0"/>
    </xf>
    <xf numFmtId="0" fontId="17" fillId="0" borderId="88" xfId="0" applyFont="1" applyFill="1" applyBorder="1" applyAlignment="1" applyProtection="1">
      <alignment horizontal="center"/>
      <protection locked="0"/>
    </xf>
    <xf numFmtId="0" fontId="17" fillId="0" borderId="50" xfId="0" applyFont="1" applyFill="1" applyBorder="1" applyAlignment="1" applyProtection="1">
      <alignment horizontal="center"/>
      <protection locked="0"/>
    </xf>
    <xf numFmtId="0" fontId="17" fillId="0" borderId="74" xfId="0" applyFont="1" applyFill="1" applyBorder="1" applyAlignment="1" applyProtection="1">
      <alignment horizontal="center" vertical="center" wrapText="1"/>
      <protection locked="0"/>
    </xf>
    <xf numFmtId="0" fontId="0" fillId="0" borderId="64" xfId="0" applyFill="1" applyBorder="1" applyAlignment="1" applyProtection="1">
      <alignment horizontal="center" vertical="center" wrapText="1"/>
      <protection locked="0"/>
    </xf>
    <xf numFmtId="0" fontId="43" fillId="27" borderId="75" xfId="0" applyFont="1" applyFill="1" applyBorder="1" applyAlignment="1" applyProtection="1">
      <alignment horizontal="left"/>
      <protection locked="0"/>
    </xf>
    <xf numFmtId="0" fontId="43" fillId="27" borderId="13" xfId="0" applyFont="1" applyFill="1" applyBorder="1" applyAlignment="1" applyProtection="1">
      <alignment horizontal="left"/>
      <protection locked="0"/>
    </xf>
    <xf numFmtId="0" fontId="43" fillId="27" borderId="51" xfId="0" applyFont="1" applyFill="1" applyBorder="1" applyAlignment="1" applyProtection="1">
      <alignment horizontal="left"/>
      <protection locked="0"/>
    </xf>
    <xf numFmtId="0" fontId="43" fillId="27" borderId="75" xfId="0" applyFont="1" applyFill="1" applyBorder="1" applyAlignment="1" applyProtection="1">
      <alignment horizontal="left" vertical="top" wrapText="1"/>
      <protection locked="0"/>
    </xf>
    <xf numFmtId="0" fontId="43" fillId="27" borderId="13" xfId="0" applyFont="1" applyFill="1" applyBorder="1" applyAlignment="1" applyProtection="1">
      <alignment horizontal="left" vertical="top" wrapText="1"/>
      <protection locked="0"/>
    </xf>
    <xf numFmtId="0" fontId="43" fillId="27" borderId="51" xfId="0" applyFont="1" applyFill="1" applyBorder="1" applyAlignment="1" applyProtection="1">
      <alignment horizontal="left" vertical="top" wrapText="1"/>
      <protection locked="0"/>
    </xf>
    <xf numFmtId="0" fontId="37" fillId="0" borderId="0" xfId="0" applyFont="1" applyAlignment="1" applyProtection="1">
      <alignment vertical="top" wrapText="1"/>
      <protection locked="0"/>
    </xf>
    <xf numFmtId="0" fontId="14" fillId="0" borderId="0" xfId="0" applyFont="1" applyAlignment="1" applyProtection="1">
      <alignment vertical="top" wrapText="1"/>
      <protection locked="0"/>
    </xf>
    <xf numFmtId="0" fontId="37" fillId="0" borderId="0" xfId="0" applyFont="1" applyAlignment="1" applyProtection="1">
      <alignment horizontal="left"/>
      <protection locked="0"/>
    </xf>
    <xf numFmtId="0" fontId="42" fillId="0" borderId="0" xfId="0" applyFont="1" applyAlignment="1" applyProtection="1">
      <alignment horizontal="left"/>
      <protection locked="0"/>
    </xf>
    <xf numFmtId="0" fontId="14" fillId="0" borderId="0" xfId="0" applyFont="1" applyAlignment="1" applyProtection="1">
      <alignment wrapText="1"/>
      <protection locked="0"/>
    </xf>
    <xf numFmtId="0" fontId="43" fillId="0" borderId="0" xfId="0" applyFont="1" applyAlignment="1" applyProtection="1">
      <alignment vertical="top" wrapText="1"/>
      <protection locked="0"/>
    </xf>
    <xf numFmtId="0" fontId="42" fillId="0" borderId="0" xfId="0" applyFont="1" applyAlignment="1" applyProtection="1">
      <alignment vertical="top" wrapText="1"/>
      <protection locked="0"/>
    </xf>
    <xf numFmtId="0" fontId="14" fillId="0" borderId="54" xfId="46" applyBorder="1" applyAlignment="1" applyProtection="1">
      <alignment horizontal="left" wrapText="1"/>
      <protection locked="0"/>
    </xf>
    <xf numFmtId="0" fontId="14" fillId="0" borderId="13" xfId="46" applyBorder="1" applyAlignment="1" applyProtection="1">
      <alignment horizontal="left" wrapText="1"/>
      <protection locked="0"/>
    </xf>
    <xf numFmtId="0" fontId="14" fillId="0" borderId="51" xfId="46" applyBorder="1" applyAlignment="1" applyProtection="1">
      <alignment horizontal="left" wrapText="1"/>
      <protection locked="0"/>
    </xf>
    <xf numFmtId="166" fontId="14" fillId="29" borderId="54" xfId="29" applyNumberFormat="1" applyFill="1" applyBorder="1" applyAlignment="1" applyProtection="1">
      <protection locked="0"/>
    </xf>
    <xf numFmtId="0" fontId="14" fillId="29" borderId="13" xfId="46" applyFill="1" applyBorder="1" applyAlignment="1" applyProtection="1">
      <protection locked="0"/>
    </xf>
    <xf numFmtId="0" fontId="14" fillId="29" borderId="51" xfId="46" applyFill="1" applyBorder="1" applyAlignment="1" applyProtection="1">
      <protection locked="0"/>
    </xf>
    <xf numFmtId="0" fontId="14" fillId="0" borderId="48" xfId="46" applyBorder="1" applyAlignment="1" applyProtection="1">
      <alignment horizontal="left" wrapText="1"/>
      <protection locked="0"/>
    </xf>
    <xf numFmtId="0" fontId="14" fillId="0" borderId="0" xfId="46" applyBorder="1" applyAlignment="1" applyProtection="1">
      <alignment horizontal="left" wrapText="1"/>
      <protection locked="0"/>
    </xf>
    <xf numFmtId="0" fontId="14" fillId="0" borderId="29" xfId="46" applyBorder="1" applyAlignment="1" applyProtection="1">
      <alignment horizontal="left" wrapText="1"/>
      <protection locked="0"/>
    </xf>
    <xf numFmtId="0" fontId="14" fillId="29" borderId="89" xfId="46" applyFill="1" applyBorder="1" applyAlignment="1" applyProtection="1">
      <alignment horizontal="left" wrapText="1"/>
      <protection locked="0"/>
    </xf>
    <xf numFmtId="0" fontId="14" fillId="29" borderId="83" xfId="46" applyFill="1" applyBorder="1" applyAlignment="1" applyProtection="1">
      <alignment horizontal="left" wrapText="1"/>
      <protection locked="0"/>
    </xf>
    <xf numFmtId="0" fontId="14" fillId="29" borderId="59" xfId="46" applyFill="1" applyBorder="1" applyAlignment="1" applyProtection="1">
      <alignment horizontal="left" wrapText="1"/>
      <protection locked="0"/>
    </xf>
    <xf numFmtId="166" fontId="14" fillId="29" borderId="89" xfId="29" applyNumberFormat="1" applyFill="1" applyBorder="1" applyAlignment="1" applyProtection="1">
      <protection locked="0"/>
    </xf>
    <xf numFmtId="0" fontId="14" fillId="29" borderId="83" xfId="46" applyFill="1" applyBorder="1" applyAlignment="1" applyProtection="1">
      <protection locked="0"/>
    </xf>
    <xf numFmtId="0" fontId="14" fillId="29" borderId="59" xfId="46" applyFill="1" applyBorder="1" applyAlignment="1" applyProtection="1">
      <protection locked="0"/>
    </xf>
    <xf numFmtId="0" fontId="17" fillId="0" borderId="61" xfId="46" applyFont="1" applyBorder="1" applyAlignment="1" applyProtection="1">
      <alignment horizontal="left"/>
      <protection locked="0"/>
    </xf>
    <xf numFmtId="0" fontId="17" fillId="0" borderId="107" xfId="46" applyFont="1" applyBorder="1" applyAlignment="1" applyProtection="1">
      <alignment horizontal="left"/>
      <protection locked="0"/>
    </xf>
    <xf numFmtId="0" fontId="17" fillId="0" borderId="108" xfId="46" applyFont="1" applyBorder="1" applyAlignment="1" applyProtection="1">
      <alignment horizontal="left"/>
      <protection locked="0"/>
    </xf>
    <xf numFmtId="166" fontId="14" fillId="29" borderId="61" xfId="29" applyNumberFormat="1" applyFill="1" applyBorder="1" applyAlignment="1" applyProtection="1">
      <protection locked="0"/>
    </xf>
    <xf numFmtId="0" fontId="14" fillId="29" borderId="107" xfId="46" applyFill="1" applyBorder="1" applyAlignment="1" applyProtection="1">
      <protection locked="0"/>
    </xf>
    <xf numFmtId="0" fontId="14" fillId="29" borderId="108" xfId="46" applyFill="1" applyBorder="1" applyAlignment="1" applyProtection="1">
      <protection locked="0"/>
    </xf>
    <xf numFmtId="0" fontId="14" fillId="0" borderId="89" xfId="46" applyBorder="1" applyAlignment="1" applyProtection="1">
      <alignment horizontal="left" wrapText="1"/>
      <protection locked="0"/>
    </xf>
    <xf numFmtId="0" fontId="14" fillId="0" borderId="83" xfId="46" applyBorder="1" applyAlignment="1" applyProtection="1">
      <alignment horizontal="left" wrapText="1"/>
      <protection locked="0"/>
    </xf>
    <xf numFmtId="0" fontId="14" fillId="0" borderId="59" xfId="46" applyBorder="1" applyAlignment="1" applyProtection="1">
      <alignment horizontal="left" wrapText="1"/>
      <protection locked="0"/>
    </xf>
    <xf numFmtId="0" fontId="17" fillId="0" borderId="54" xfId="46" applyFont="1" applyBorder="1" applyAlignment="1" applyProtection="1">
      <alignment horizontal="left" wrapText="1"/>
      <protection locked="0"/>
    </xf>
    <xf numFmtId="0" fontId="17" fillId="0" borderId="13" xfId="46" applyFont="1" applyBorder="1" applyAlignment="1" applyProtection="1">
      <alignment horizontal="left" wrapText="1"/>
      <protection locked="0"/>
    </xf>
    <xf numFmtId="0" fontId="17" fillId="0" borderId="51" xfId="46" applyFont="1" applyBorder="1" applyAlignment="1" applyProtection="1">
      <alignment horizontal="left" wrapText="1"/>
      <protection locked="0"/>
    </xf>
    <xf numFmtId="0" fontId="14" fillId="0" borderId="53" xfId="46" applyFont="1" applyFill="1" applyBorder="1" applyAlignment="1" applyProtection="1">
      <alignment horizontal="left" vertical="center" wrapText="1"/>
      <protection locked="0"/>
    </xf>
    <xf numFmtId="0" fontId="14" fillId="0" borderId="12" xfId="46" applyFont="1" applyFill="1" applyBorder="1" applyAlignment="1" applyProtection="1">
      <alignment horizontal="left" vertical="center" wrapText="1"/>
      <protection locked="0"/>
    </xf>
    <xf numFmtId="0" fontId="14" fillId="0" borderId="55" xfId="46" applyFont="1" applyFill="1" applyBorder="1" applyAlignment="1" applyProtection="1">
      <alignment horizontal="left" vertical="center" wrapText="1"/>
      <protection locked="0"/>
    </xf>
    <xf numFmtId="166" fontId="14" fillId="29" borderId="13" xfId="29" applyNumberFormat="1" applyFill="1" applyBorder="1" applyAlignment="1" applyProtection="1">
      <protection locked="0"/>
    </xf>
    <xf numFmtId="0" fontId="14" fillId="0" borderId="52" xfId="46" applyBorder="1" applyAlignment="1" applyProtection="1">
      <alignment horizontal="left" wrapText="1"/>
      <protection locked="0"/>
    </xf>
    <xf numFmtId="0" fontId="14" fillId="0" borderId="120" xfId="46" applyBorder="1" applyAlignment="1" applyProtection="1">
      <alignment horizontal="left" wrapText="1"/>
      <protection locked="0"/>
    </xf>
    <xf numFmtId="0" fontId="14" fillId="0" borderId="56" xfId="46" applyBorder="1" applyAlignment="1" applyProtection="1">
      <alignment horizontal="left" wrapText="1"/>
      <protection locked="0"/>
    </xf>
    <xf numFmtId="166" fontId="14" fillId="0" borderId="52" xfId="29" applyNumberFormat="1" applyFill="1" applyBorder="1" applyAlignment="1" applyProtection="1">
      <protection locked="0"/>
    </xf>
    <xf numFmtId="0" fontId="14" fillId="0" borderId="120" xfId="46" applyFill="1" applyBorder="1" applyAlignment="1" applyProtection="1">
      <protection locked="0"/>
    </xf>
    <xf numFmtId="0" fontId="14" fillId="0" borderId="56" xfId="46" applyFill="1" applyBorder="1" applyAlignment="1" applyProtection="1">
      <protection locked="0"/>
    </xf>
    <xf numFmtId="0" fontId="14" fillId="0" borderId="129" xfId="46" applyBorder="1" applyAlignment="1" applyProtection="1">
      <alignment horizontal="left" wrapText="1"/>
      <protection locked="0"/>
    </xf>
    <xf numFmtId="0" fontId="14" fillId="0" borderId="130" xfId="46" applyBorder="1" applyAlignment="1" applyProtection="1">
      <alignment horizontal="left" wrapText="1"/>
      <protection locked="0"/>
    </xf>
    <xf numFmtId="0" fontId="14" fillId="0" borderId="131" xfId="46" applyBorder="1" applyAlignment="1" applyProtection="1">
      <alignment horizontal="left" wrapText="1"/>
      <protection locked="0"/>
    </xf>
    <xf numFmtId="0" fontId="14" fillId="0" borderId="48" xfId="46" applyFont="1" applyFill="1" applyBorder="1" applyAlignment="1" applyProtection="1">
      <alignment horizontal="left" vertical="center" wrapText="1"/>
      <protection locked="0"/>
    </xf>
    <xf numFmtId="0" fontId="14" fillId="0" borderId="0" xfId="46" applyFont="1" applyFill="1" applyBorder="1" applyAlignment="1" applyProtection="1">
      <alignment horizontal="left" vertical="center" wrapText="1"/>
      <protection locked="0"/>
    </xf>
    <xf numFmtId="0" fontId="14" fillId="0" borderId="29" xfId="46" applyFont="1" applyFill="1" applyBorder="1" applyAlignment="1" applyProtection="1">
      <alignment horizontal="left" vertical="center" wrapText="1"/>
      <protection locked="0"/>
    </xf>
    <xf numFmtId="166" fontId="14" fillId="29" borderId="53" xfId="29" applyNumberFormat="1" applyFill="1" applyBorder="1" applyAlignment="1" applyProtection="1">
      <protection locked="0"/>
    </xf>
    <xf numFmtId="0" fontId="14" fillId="29" borderId="12" xfId="46" applyFill="1" applyBorder="1" applyAlignment="1" applyProtection="1">
      <protection locked="0"/>
    </xf>
    <xf numFmtId="0" fontId="14" fillId="29" borderId="55" xfId="46" applyFill="1" applyBorder="1" applyAlignment="1" applyProtection="1">
      <protection locked="0"/>
    </xf>
    <xf numFmtId="0" fontId="14" fillId="0" borderId="89" xfId="46" applyFont="1" applyFill="1" applyBorder="1" applyAlignment="1" applyProtection="1">
      <alignment horizontal="left" vertical="center" wrapText="1"/>
      <protection locked="0"/>
    </xf>
    <xf numFmtId="0" fontId="14" fillId="0" borderId="83" xfId="46" applyFont="1" applyFill="1" applyBorder="1" applyAlignment="1" applyProtection="1">
      <alignment horizontal="left" vertical="center" wrapText="1"/>
      <protection locked="0"/>
    </xf>
    <xf numFmtId="0" fontId="14" fillId="0" borderId="59" xfId="46" applyFont="1" applyFill="1" applyBorder="1" applyAlignment="1" applyProtection="1">
      <alignment horizontal="left" vertical="center" wrapText="1"/>
      <protection locked="0"/>
    </xf>
    <xf numFmtId="0" fontId="14" fillId="0" borderId="54" xfId="46" applyFont="1" applyFill="1" applyBorder="1" applyAlignment="1" applyProtection="1">
      <alignment horizontal="left" vertical="center" wrapText="1"/>
      <protection locked="0"/>
    </xf>
    <xf numFmtId="0" fontId="14" fillId="0" borderId="13" xfId="46" applyFont="1" applyFill="1" applyBorder="1" applyAlignment="1" applyProtection="1">
      <alignment horizontal="left" vertical="center" wrapText="1"/>
      <protection locked="0"/>
    </xf>
    <xf numFmtId="0" fontId="14" fillId="0" borderId="51" xfId="46" applyFont="1" applyFill="1" applyBorder="1" applyAlignment="1" applyProtection="1">
      <alignment horizontal="left" vertical="center" wrapText="1"/>
      <protection locked="0"/>
    </xf>
    <xf numFmtId="0" fontId="17" fillId="0" borderId="71" xfId="46" applyFont="1" applyFill="1" applyBorder="1" applyAlignment="1" applyProtection="1">
      <alignment vertical="center" wrapText="1"/>
      <protection locked="0"/>
    </xf>
    <xf numFmtId="0" fontId="17" fillId="0" borderId="45" xfId="46" applyFont="1" applyFill="1" applyBorder="1" applyAlignment="1" applyProtection="1">
      <alignment vertical="center" wrapText="1"/>
      <protection locked="0"/>
    </xf>
    <xf numFmtId="0" fontId="17" fillId="0" borderId="0" xfId="46" applyFont="1" applyFill="1" applyBorder="1" applyAlignment="1" applyProtection="1">
      <alignment vertical="center" wrapText="1"/>
      <protection locked="0"/>
    </xf>
    <xf numFmtId="0" fontId="17" fillId="0" borderId="29" xfId="46" applyFont="1" applyFill="1" applyBorder="1" applyAlignment="1" applyProtection="1">
      <alignment vertical="center" wrapText="1"/>
      <protection locked="0"/>
    </xf>
    <xf numFmtId="0" fontId="17" fillId="0" borderId="46" xfId="46" applyFont="1" applyFill="1" applyBorder="1" applyAlignment="1" applyProtection="1">
      <alignment vertical="center" wrapText="1"/>
      <protection locked="0"/>
    </xf>
    <xf numFmtId="0" fontId="17" fillId="0" borderId="30" xfId="46" applyFont="1" applyFill="1" applyBorder="1" applyAlignment="1" applyProtection="1">
      <alignment vertical="center" wrapText="1"/>
      <protection locked="0"/>
    </xf>
    <xf numFmtId="0" fontId="17" fillId="0" borderId="31" xfId="46" applyFont="1" applyFill="1" applyBorder="1" applyAlignment="1" applyProtection="1">
      <alignment vertical="center" wrapText="1"/>
      <protection locked="0"/>
    </xf>
    <xf numFmtId="0" fontId="17" fillId="0" borderId="70" xfId="46" applyFont="1" applyFill="1" applyBorder="1" applyAlignment="1" applyProtection="1">
      <alignment horizontal="center"/>
      <protection locked="0"/>
    </xf>
    <xf numFmtId="0" fontId="14" fillId="0" borderId="71" xfId="46" applyFill="1" applyBorder="1" applyAlignment="1" applyProtection="1">
      <protection locked="0"/>
    </xf>
    <xf numFmtId="0" fontId="14" fillId="0" borderId="45" xfId="46" applyFill="1" applyBorder="1" applyAlignment="1" applyProtection="1">
      <protection locked="0"/>
    </xf>
    <xf numFmtId="0" fontId="17" fillId="0" borderId="48" xfId="46" applyFont="1" applyFill="1" applyBorder="1" applyAlignment="1" applyProtection="1">
      <alignment horizontal="center"/>
      <protection locked="0"/>
    </xf>
    <xf numFmtId="0" fontId="14" fillId="0" borderId="0" xfId="46" applyFill="1" applyBorder="1" applyAlignment="1" applyProtection="1">
      <protection locked="0"/>
    </xf>
    <xf numFmtId="0" fontId="14" fillId="0" borderId="29" xfId="46" applyFill="1" applyBorder="1" applyAlignment="1" applyProtection="1">
      <protection locked="0"/>
    </xf>
    <xf numFmtId="0" fontId="14" fillId="0" borderId="0" xfId="46" applyFont="1" applyAlignment="1" applyProtection="1">
      <alignment horizontal="center" wrapText="1"/>
      <protection locked="0"/>
    </xf>
    <xf numFmtId="0" fontId="14" fillId="29" borderId="0" xfId="46" applyFill="1" applyAlignment="1" applyProtection="1">
      <alignment horizontal="left" vertical="top"/>
      <protection locked="0"/>
    </xf>
    <xf numFmtId="0" fontId="17" fillId="0" borderId="46" xfId="46" applyFont="1" applyBorder="1" applyAlignment="1" applyProtection="1">
      <alignment horizontal="left" wrapText="1"/>
      <protection locked="0"/>
    </xf>
    <xf numFmtId="0" fontId="17" fillId="0" borderId="30" xfId="46" applyFont="1" applyBorder="1" applyAlignment="1" applyProtection="1">
      <alignment horizontal="left" wrapText="1"/>
      <protection locked="0"/>
    </xf>
    <xf numFmtId="0" fontId="17" fillId="0" borderId="39" xfId="46" applyFont="1" applyBorder="1" applyAlignment="1" applyProtection="1">
      <alignment horizontal="left" wrapText="1"/>
      <protection locked="0"/>
    </xf>
    <xf numFmtId="0" fontId="14" fillId="0" borderId="54" xfId="46" applyBorder="1" applyAlignment="1" applyProtection="1">
      <alignment horizontal="left" vertical="center" wrapText="1"/>
      <protection locked="0"/>
    </xf>
    <xf numFmtId="0" fontId="14" fillId="0" borderId="48" xfId="46" applyBorder="1" applyAlignment="1" applyProtection="1">
      <alignment horizontal="left" vertical="center" wrapText="1"/>
      <protection locked="0"/>
    </xf>
    <xf numFmtId="0" fontId="14" fillId="0" borderId="0" xfId="46" applyBorder="1" applyAlignment="1" applyProtection="1">
      <alignment horizontal="left" vertical="center" wrapText="1"/>
      <protection locked="0"/>
    </xf>
    <xf numFmtId="0" fontId="14" fillId="0" borderId="15" xfId="46" applyBorder="1" applyAlignment="1" applyProtection="1">
      <alignment horizontal="left" vertical="center" wrapText="1"/>
      <protection locked="0"/>
    </xf>
    <xf numFmtId="0" fontId="14" fillId="0" borderId="89" xfId="46" applyBorder="1" applyAlignment="1" applyProtection="1">
      <alignment horizontal="left" vertical="center" wrapText="1"/>
      <protection locked="0"/>
    </xf>
    <xf numFmtId="0" fontId="14" fillId="0" borderId="83" xfId="46" applyBorder="1" applyAlignment="1" applyProtection="1">
      <alignment horizontal="left" vertical="center" wrapText="1"/>
      <protection locked="0"/>
    </xf>
    <xf numFmtId="0" fontId="14" fillId="0" borderId="18" xfId="46" applyBorder="1" applyAlignment="1" applyProtection="1">
      <alignment horizontal="left" vertical="center" wrapText="1"/>
      <protection locked="0"/>
    </xf>
    <xf numFmtId="0" fontId="14" fillId="29" borderId="48" xfId="46" applyFill="1" applyBorder="1" applyAlignment="1" applyProtection="1">
      <alignment horizontal="left" wrapText="1"/>
      <protection locked="0"/>
    </xf>
    <xf numFmtId="0" fontId="14" fillId="29" borderId="0" xfId="46" applyFill="1" applyBorder="1" applyAlignment="1" applyProtection="1">
      <alignment horizontal="left" wrapText="1"/>
      <protection locked="0"/>
    </xf>
    <xf numFmtId="0" fontId="14" fillId="29" borderId="15" xfId="46" applyFill="1" applyBorder="1" applyAlignment="1" applyProtection="1">
      <alignment horizontal="left" wrapText="1"/>
      <protection locked="0"/>
    </xf>
    <xf numFmtId="0" fontId="14" fillId="29" borderId="18" xfId="46" applyFill="1" applyBorder="1" applyAlignment="1" applyProtection="1">
      <alignment horizontal="left" wrapText="1"/>
      <protection locked="0"/>
    </xf>
    <xf numFmtId="0" fontId="14" fillId="0" borderId="33" xfId="46" applyBorder="1" applyAlignment="1" applyProtection="1">
      <alignment horizontal="left" wrapText="1"/>
      <protection locked="0"/>
    </xf>
    <xf numFmtId="0" fontId="14" fillId="29" borderId="58" xfId="46" applyFill="1" applyBorder="1" applyAlignment="1" applyProtection="1">
      <alignment horizontal="left" wrapText="1"/>
      <protection locked="0"/>
    </xf>
    <xf numFmtId="0" fontId="14" fillId="29" borderId="14" xfId="46" applyFill="1" applyBorder="1" applyAlignment="1" applyProtection="1">
      <alignment horizontal="left" wrapText="1"/>
      <protection locked="0"/>
    </xf>
    <xf numFmtId="0" fontId="14" fillId="29" borderId="86" xfId="46" applyFill="1" applyBorder="1" applyAlignment="1" applyProtection="1">
      <alignment horizontal="left" wrapText="1"/>
      <protection locked="0"/>
    </xf>
    <xf numFmtId="0" fontId="17" fillId="0" borderId="32" xfId="46" applyFont="1" applyFill="1" applyBorder="1" applyAlignment="1" applyProtection="1">
      <alignment vertical="center" wrapText="1"/>
      <protection locked="0"/>
    </xf>
    <xf numFmtId="0" fontId="17" fillId="0" borderId="24" xfId="46" applyFont="1" applyFill="1" applyBorder="1" applyAlignment="1" applyProtection="1">
      <alignment vertical="center" wrapText="1"/>
      <protection locked="0"/>
    </xf>
    <xf numFmtId="0" fontId="17" fillId="0" borderId="27" xfId="46" applyFont="1" applyFill="1" applyBorder="1" applyAlignment="1" applyProtection="1">
      <alignment vertical="center" wrapText="1"/>
      <protection locked="0"/>
    </xf>
    <xf numFmtId="0" fontId="17" fillId="0" borderId="10" xfId="46" applyFont="1" applyFill="1" applyBorder="1" applyAlignment="1" applyProtection="1">
      <alignment vertical="center" wrapText="1"/>
      <protection locked="0"/>
    </xf>
    <xf numFmtId="0" fontId="17" fillId="64" borderId="43" xfId="46" applyFont="1" applyFill="1" applyBorder="1" applyAlignment="1" applyProtection="1">
      <alignment horizontal="center" vertical="center" wrapText="1"/>
      <protection locked="0"/>
    </xf>
    <xf numFmtId="0" fontId="14" fillId="64" borderId="40" xfId="46" applyFill="1" applyBorder="1" applyAlignment="1" applyProtection="1">
      <alignment horizontal="center" vertical="center" wrapText="1"/>
      <protection locked="0"/>
    </xf>
    <xf numFmtId="0" fontId="14" fillId="64" borderId="92" xfId="46" applyFill="1" applyBorder="1" applyAlignment="1" applyProtection="1">
      <alignment horizontal="center" vertical="center" wrapText="1"/>
      <protection locked="0"/>
    </xf>
    <xf numFmtId="0" fontId="17" fillId="64" borderId="43" xfId="46" applyFont="1" applyFill="1" applyBorder="1" applyAlignment="1" applyProtection="1">
      <alignment horizontal="center" vertical="center"/>
      <protection locked="0"/>
    </xf>
    <xf numFmtId="0" fontId="17" fillId="64" borderId="40" xfId="46" applyFont="1" applyFill="1" applyBorder="1" applyAlignment="1" applyProtection="1">
      <alignment horizontal="center" vertical="center"/>
      <protection locked="0"/>
    </xf>
    <xf numFmtId="0" fontId="17" fillId="64" borderId="43" xfId="46" applyFont="1" applyFill="1" applyBorder="1" applyAlignment="1" applyProtection="1">
      <alignment horizontal="center" wrapText="1"/>
      <protection locked="0"/>
    </xf>
    <xf numFmtId="0" fontId="17" fillId="64" borderId="40" xfId="46" applyFont="1" applyFill="1" applyBorder="1" applyAlignment="1" applyProtection="1">
      <alignment horizontal="center" wrapText="1"/>
      <protection locked="0"/>
    </xf>
    <xf numFmtId="0" fontId="17" fillId="64" borderId="92" xfId="46" applyFont="1" applyFill="1" applyBorder="1" applyAlignment="1" applyProtection="1">
      <alignment horizontal="center" wrapText="1"/>
      <protection locked="0"/>
    </xf>
    <xf numFmtId="0" fontId="17" fillId="64" borderId="40" xfId="46" applyFont="1" applyFill="1" applyBorder="1" applyAlignment="1" applyProtection="1">
      <alignment horizontal="center" vertical="center" wrapText="1"/>
      <protection locked="0"/>
    </xf>
    <xf numFmtId="0" fontId="17" fillId="64" borderId="92" xfId="46" applyFont="1" applyFill="1" applyBorder="1" applyAlignment="1" applyProtection="1">
      <alignment horizontal="center" vertical="center" wrapText="1"/>
      <protection locked="0"/>
    </xf>
  </cellXfs>
  <cellStyles count="130">
    <cellStyle name="$" xfId="103"/>
    <cellStyle name="$.00" xfId="104"/>
    <cellStyle name="$_9. Rev2Cost_GDPIPI" xfId="105"/>
    <cellStyle name="$_lists" xfId="106"/>
    <cellStyle name="$_lists_4. Current Monthly Fixed Charge" xfId="107"/>
    <cellStyle name="$_Sheet4" xfId="108"/>
    <cellStyle name="$M" xfId="109"/>
    <cellStyle name="$M.00" xfId="110"/>
    <cellStyle name="$M_9. Rev2Cost_GDPIPI" xfId="111"/>
    <cellStyle name="20% - Accent1" xfId="1" builtinId="30" customBuiltin="1"/>
    <cellStyle name="20% - Accent1 2" xfId="67"/>
    <cellStyle name="20% - Accent2" xfId="2" builtinId="34" customBuiltin="1"/>
    <cellStyle name="20% - Accent2 2" xfId="71"/>
    <cellStyle name="20% - Accent3" xfId="3" builtinId="38" customBuiltin="1"/>
    <cellStyle name="20% - Accent3 2" xfId="75"/>
    <cellStyle name="20% - Accent4" xfId="4" builtinId="42" customBuiltin="1"/>
    <cellStyle name="20% - Accent4 2" xfId="79"/>
    <cellStyle name="20% - Accent5" xfId="5" builtinId="46" customBuiltin="1"/>
    <cellStyle name="20% - Accent5 2" xfId="83"/>
    <cellStyle name="20% - Accent6" xfId="6" builtinId="50" customBuiltin="1"/>
    <cellStyle name="20% - Accent6 2" xfId="87"/>
    <cellStyle name="40% - Accent1" xfId="7" builtinId="31" customBuiltin="1"/>
    <cellStyle name="40% - Accent1 2" xfId="68"/>
    <cellStyle name="40% - Accent2" xfId="8" builtinId="35" customBuiltin="1"/>
    <cellStyle name="40% - Accent2 2" xfId="72"/>
    <cellStyle name="40% - Accent3" xfId="9" builtinId="39" customBuiltin="1"/>
    <cellStyle name="40% - Accent3 2" xfId="76"/>
    <cellStyle name="40% - Accent4" xfId="10" builtinId="43" customBuiltin="1"/>
    <cellStyle name="40% - Accent4 2" xfId="80"/>
    <cellStyle name="40% - Accent5" xfId="11" builtinId="47" customBuiltin="1"/>
    <cellStyle name="40% - Accent5 2" xfId="84"/>
    <cellStyle name="40% - Accent6" xfId="12" builtinId="51" customBuiltin="1"/>
    <cellStyle name="40% - Accent6 2" xfId="88"/>
    <cellStyle name="60% - Accent1" xfId="13" builtinId="32" customBuiltin="1"/>
    <cellStyle name="60% - Accent1 2" xfId="69"/>
    <cellStyle name="60% - Accent2" xfId="14" builtinId="36" customBuiltin="1"/>
    <cellStyle name="60% - Accent2 2" xfId="73"/>
    <cellStyle name="60% - Accent3" xfId="15" builtinId="40" customBuiltin="1"/>
    <cellStyle name="60% - Accent3 2" xfId="77"/>
    <cellStyle name="60% - Accent4" xfId="16" builtinId="44" customBuiltin="1"/>
    <cellStyle name="60% - Accent4 2" xfId="81"/>
    <cellStyle name="60% - Accent5" xfId="17" builtinId="48" customBuiltin="1"/>
    <cellStyle name="60% - Accent5 2" xfId="85"/>
    <cellStyle name="60% - Accent6" xfId="18" builtinId="52" customBuiltin="1"/>
    <cellStyle name="60% - Accent6 2" xfId="89"/>
    <cellStyle name="Accent1" xfId="19" builtinId="29" customBuiltin="1"/>
    <cellStyle name="Accent1 2" xfId="66"/>
    <cellStyle name="Accent2" xfId="20" builtinId="33" customBuiltin="1"/>
    <cellStyle name="Accent2 2" xfId="70"/>
    <cellStyle name="Accent3" xfId="21" builtinId="37" customBuiltin="1"/>
    <cellStyle name="Accent3 2" xfId="74"/>
    <cellStyle name="Accent4" xfId="22" builtinId="41" customBuiltin="1"/>
    <cellStyle name="Accent4 2" xfId="78"/>
    <cellStyle name="Accent5" xfId="23" builtinId="45" customBuiltin="1"/>
    <cellStyle name="Accent5 2" xfId="82"/>
    <cellStyle name="Accent6" xfId="24" builtinId="49" customBuiltin="1"/>
    <cellStyle name="Accent6 2" xfId="86"/>
    <cellStyle name="Bad" xfId="25" builtinId="27" customBuiltin="1"/>
    <cellStyle name="Bad 2" xfId="55"/>
    <cellStyle name="Calculation" xfId="26" builtinId="22" customBuiltin="1"/>
    <cellStyle name="Calculation 2" xfId="59"/>
    <cellStyle name="Check Cell" xfId="27" builtinId="23" customBuiltin="1"/>
    <cellStyle name="Check Cell 2" xfId="61"/>
    <cellStyle name="Comma" xfId="28" builtinId="3"/>
    <cellStyle name="Comma 2" xfId="91"/>
    <cellStyle name="Comma 3" xfId="94"/>
    <cellStyle name="Comma 3 2" xfId="127"/>
    <cellStyle name="Comma 4" xfId="102"/>
    <cellStyle name="Comma0" xfId="112"/>
    <cellStyle name="Currency" xfId="29" builtinId="4"/>
    <cellStyle name="Currency 2" xfId="101"/>
    <cellStyle name="Currency 3" xfId="129"/>
    <cellStyle name="Currency0" xfId="113"/>
    <cellStyle name="Date" xfId="114"/>
    <cellStyle name="Explanatory Text" xfId="30" builtinId="53" customBuiltin="1"/>
    <cellStyle name="Explanatory Text 2" xfId="64"/>
    <cellStyle name="Fixed" xfId="115"/>
    <cellStyle name="Good" xfId="31" builtinId="26" customBuiltin="1"/>
    <cellStyle name="Good 2" xfId="54"/>
    <cellStyle name="Grey" xfId="116"/>
    <cellStyle name="Heading 1" xfId="32" builtinId="16" customBuiltin="1"/>
    <cellStyle name="Heading 1 2" xfId="50"/>
    <cellStyle name="Heading 2" xfId="33" builtinId="17" customBuiltin="1"/>
    <cellStyle name="Heading 2 2" xfId="49"/>
    <cellStyle name="Heading 3" xfId="34" builtinId="18" customBuiltin="1"/>
    <cellStyle name="Heading 3 2" xfId="52"/>
    <cellStyle name="Heading 4" xfId="35" builtinId="19" customBuiltin="1"/>
    <cellStyle name="Heading 4 2" xfId="53"/>
    <cellStyle name="Hyperlink" xfId="36" builtinId="8"/>
    <cellStyle name="Input" xfId="37" builtinId="20" customBuiltin="1"/>
    <cellStyle name="Input [yellow]" xfId="117"/>
    <cellStyle name="Input 2" xfId="57"/>
    <cellStyle name="Linked Cell" xfId="38" builtinId="24" customBuiltin="1"/>
    <cellStyle name="Linked Cell 2" xfId="60"/>
    <cellStyle name="M" xfId="118"/>
    <cellStyle name="M.00" xfId="119"/>
    <cellStyle name="M_9. Rev2Cost_GDPIPI" xfId="120"/>
    <cellStyle name="M_lists" xfId="121"/>
    <cellStyle name="M_lists_4. Current Monthly Fixed Charge" xfId="122"/>
    <cellStyle name="M_Sheet4" xfId="123"/>
    <cellStyle name="Neutral" xfId="39" builtinId="28" customBuiltin="1"/>
    <cellStyle name="Neutral 2" xfId="56"/>
    <cellStyle name="Normal" xfId="0" builtinId="0"/>
    <cellStyle name="Normal - Style1" xfId="124"/>
    <cellStyle name="Normal 2" xfId="46"/>
    <cellStyle name="Normal 3" xfId="51"/>
    <cellStyle name="Normal 4" xfId="90"/>
    <cellStyle name="Normal 5" xfId="93"/>
    <cellStyle name="Normal 5 2" xfId="126"/>
    <cellStyle name="Normal 6" xfId="99"/>
    <cellStyle name="Normal_PPE Deferral Account Schedule for 2013 MIFRS CoS applications (2)" xfId="47"/>
    <cellStyle name="Normal_Service Quality" xfId="96"/>
    <cellStyle name="Normal_Sheet2" xfId="97"/>
    <cellStyle name="Normal_Sheet3" xfId="98"/>
    <cellStyle name="Note" xfId="40" builtinId="10" customBuiltin="1"/>
    <cellStyle name="Note 2" xfId="63"/>
    <cellStyle name="Output" xfId="41" builtinId="21" customBuiltin="1"/>
    <cellStyle name="Output 2" xfId="58"/>
    <cellStyle name="Percent" xfId="42" builtinId="5"/>
    <cellStyle name="Percent [2]" xfId="125"/>
    <cellStyle name="Percent 2" xfId="92"/>
    <cellStyle name="Percent 3" xfId="95"/>
    <cellStyle name="Percent 3 2" xfId="128"/>
    <cellStyle name="Percent 4" xfId="100"/>
    <cellStyle name="Title" xfId="43" builtinId="15" customBuiltin="1"/>
    <cellStyle name="Title 2" xfId="48"/>
    <cellStyle name="Total" xfId="44" builtinId="25" customBuiltin="1"/>
    <cellStyle name="Total 2" xfId="65"/>
    <cellStyle name="Warning Text" xfId="45" builtinId="11" customBuiltin="1"/>
    <cellStyle name="Warning Text 2" xfId="62"/>
  </cellStyles>
  <dxfs count="398">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ill>
        <patternFill>
          <bgColor theme="4" tint="0.79998168889431442"/>
        </patternFill>
      </fill>
    </dxf>
    <dxf>
      <fill>
        <patternFill>
          <bgColor theme="6" tint="0.79998168889431442"/>
        </patternFill>
      </fill>
    </dxf>
    <dxf>
      <fill>
        <patternFill>
          <bgColor theme="8" tint="0.7999816888943144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font>
      <fill>
        <patternFill>
          <bgColor theme="0"/>
        </patternFill>
      </fill>
      <border>
        <left/>
        <right/>
        <top/>
        <bottom/>
        <vertical/>
        <horizontal/>
      </border>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theme="6" tint="0.79998168889431442"/>
        </patternFill>
      </fill>
    </dxf>
    <dxf>
      <font>
        <color theme="0"/>
      </font>
    </dxf>
    <dxf>
      <font>
        <color theme="1"/>
      </font>
    </dxf>
    <dxf>
      <font>
        <color rgb="FFFF0000"/>
      </font>
    </dxf>
    <dxf>
      <font>
        <color theme="0"/>
      </font>
    </dxf>
  </dxfs>
  <tableStyles count="0" defaultTableStyle="TableStyleMedium2" defaultPivotStyle="PivotStyleLight16"/>
  <colors>
    <mruColors>
      <color rgb="FFCCFFCC"/>
      <color rgb="FFFFFF99"/>
      <color rgb="FF0033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1.xml"/><Relationship Id="rId55" Type="http://schemas.openxmlformats.org/officeDocument/2006/relationships/externalLink" Target="externalLinks/externalLink6.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5.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4.xml"/><Relationship Id="rId58" Type="http://schemas.openxmlformats.org/officeDocument/2006/relationships/externalLink" Target="externalLinks/externalLink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8.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3.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7.xml"/><Relationship Id="rId8" Type="http://schemas.openxmlformats.org/officeDocument/2006/relationships/worksheet" Target="worksheets/sheet8.xml"/><Relationship Id="rId51" Type="http://schemas.openxmlformats.org/officeDocument/2006/relationships/externalLink" Target="externalLinks/externalLink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10.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2532</xdr:colOff>
      <xdr:row>12</xdr:row>
      <xdr:rowOff>123261</xdr:rowOff>
    </xdr:to>
    <xdr:grpSp>
      <xdr:nvGrpSpPr>
        <xdr:cNvPr id="11" name="Group 10"/>
        <xdr:cNvGrpSpPr/>
      </xdr:nvGrpSpPr>
      <xdr:grpSpPr>
        <a:xfrm>
          <a:off x="0" y="0"/>
          <a:ext cx="8841732" cy="2066361"/>
          <a:chOff x="10970559" y="5479676"/>
          <a:chExt cx="8857420" cy="2005849"/>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70559" y="5479676"/>
            <a:ext cx="8857420" cy="1915766"/>
          </a:xfrm>
          <a:prstGeom prst="rect">
            <a:avLst/>
          </a:prstGeom>
          <a:ln>
            <a:noFill/>
          </a:ln>
          <a:effectLst>
            <a:softEdge rad="112500"/>
          </a:effectLst>
        </xdr:spPr>
      </xdr:pic>
      <xdr:sp macro="" textlink="">
        <xdr:nvSpPr>
          <xdr:cNvPr id="8" name="Rectangle 7"/>
          <xdr:cNvSpPr/>
        </xdr:nvSpPr>
        <xdr:spPr>
          <a:xfrm>
            <a:off x="11107770" y="5755409"/>
            <a:ext cx="8566570" cy="173011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Chapter 2 Appendices</a:t>
            </a:r>
          </a:p>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Filing Requirements for Electricity Distribution </a:t>
            </a:r>
          </a:p>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Rate Applications</a:t>
            </a:r>
            <a:endParaRPr lang="en-CA" sz="29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9</xdr:col>
      <xdr:colOff>314325</xdr:colOff>
      <xdr:row>9</xdr:row>
      <xdr:rowOff>104775</xdr:rowOff>
    </xdr:from>
    <xdr:to>
      <xdr:col>12</xdr:col>
      <xdr:colOff>114301</xdr:colOff>
      <xdr:row>11</xdr:row>
      <xdr:rowOff>28575</xdr:rowOff>
    </xdr:to>
    <xdr:sp macro="" textlink="">
      <xdr:nvSpPr>
        <xdr:cNvPr id="12" name="TextBox 11"/>
        <xdr:cNvSpPr txBox="1"/>
      </xdr:nvSpPr>
      <xdr:spPr>
        <a:xfrm>
          <a:off x="7077075" y="1562100"/>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2.3 (2017)</a:t>
          </a:r>
          <a:endParaRPr lang="en-CA" sz="1400"/>
        </a:p>
      </xdr:txBody>
    </xdr:sp>
    <xdr:clientData/>
  </xdr:twoCellAnchor>
  <xdr:twoCellAnchor>
    <xdr:from>
      <xdr:col>0</xdr:col>
      <xdr:colOff>66675</xdr:colOff>
      <xdr:row>57</xdr:row>
      <xdr:rowOff>9526</xdr:rowOff>
    </xdr:from>
    <xdr:to>
      <xdr:col>14</xdr:col>
      <xdr:colOff>600075</xdr:colOff>
      <xdr:row>64</xdr:row>
      <xdr:rowOff>114301</xdr:rowOff>
    </xdr:to>
    <xdr:sp macro="" textlink="">
      <xdr:nvSpPr>
        <xdr:cNvPr id="13" name="Text Box 50"/>
        <xdr:cNvSpPr txBox="1">
          <a:spLocks noChangeArrowheads="1"/>
        </xdr:cNvSpPr>
      </xdr:nvSpPr>
      <xdr:spPr bwMode="auto">
        <a:xfrm>
          <a:off x="66675" y="11144251"/>
          <a:ext cx="9667875" cy="1238250"/>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COS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your application,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13</xdr:row>
          <xdr:rowOff>47625</xdr:rowOff>
        </xdr:from>
        <xdr:to>
          <xdr:col>0</xdr:col>
          <xdr:colOff>590550</xdr:colOff>
          <xdr:row>13</xdr:row>
          <xdr:rowOff>504825</xdr:rowOff>
        </xdr:to>
        <xdr:sp macro="" textlink="">
          <xdr:nvSpPr>
            <xdr:cNvPr id="203779" name="Check Box 3" hidden="1">
              <a:extLst>
                <a:ext uri="{63B3BB69-23CF-44E3-9099-C40C66FF867C}">
                  <a14:compatExt spid="_x0000_s2037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14</xdr:row>
          <xdr:rowOff>28575</xdr:rowOff>
        </xdr:from>
        <xdr:to>
          <xdr:col>0</xdr:col>
          <xdr:colOff>571500</xdr:colOff>
          <xdr:row>14</xdr:row>
          <xdr:rowOff>447675</xdr:rowOff>
        </xdr:to>
        <xdr:sp macro="" textlink="">
          <xdr:nvSpPr>
            <xdr:cNvPr id="203780" name="Check Box 4" hidden="1">
              <a:extLst>
                <a:ext uri="{63B3BB69-23CF-44E3-9099-C40C66FF867C}">
                  <a14:compatExt spid="_x0000_s203780"/>
                </a:ext>
              </a:extLst>
            </xdr:cNvPr>
            <xdr:cNvSpPr/>
          </xdr:nvSpPr>
          <xdr:spPr>
            <a:xfrm>
              <a:off x="0" y="0"/>
              <a:ext cx="0" cy="0"/>
            </a:xfrm>
            <a:prstGeom prst="rect">
              <a:avLst/>
            </a:prstGeom>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13</xdr:row>
          <xdr:rowOff>47625</xdr:rowOff>
        </xdr:from>
        <xdr:to>
          <xdr:col>0</xdr:col>
          <xdr:colOff>590550</xdr:colOff>
          <xdr:row>13</xdr:row>
          <xdr:rowOff>485775</xdr:rowOff>
        </xdr:to>
        <xdr:sp macro="" textlink="">
          <xdr:nvSpPr>
            <xdr:cNvPr id="204803" name="Check Box 3" hidden="1">
              <a:extLst>
                <a:ext uri="{63B3BB69-23CF-44E3-9099-C40C66FF867C}">
                  <a14:compatExt spid="_x0000_s2048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14</xdr:row>
          <xdr:rowOff>47625</xdr:rowOff>
        </xdr:from>
        <xdr:to>
          <xdr:col>0</xdr:col>
          <xdr:colOff>571500</xdr:colOff>
          <xdr:row>15</xdr:row>
          <xdr:rowOff>0</xdr:rowOff>
        </xdr:to>
        <xdr:sp macro="" textlink="">
          <xdr:nvSpPr>
            <xdr:cNvPr id="204804" name="Check Box 4" hidden="1">
              <a:extLst>
                <a:ext uri="{63B3BB69-23CF-44E3-9099-C40C66FF867C}">
                  <a14:compatExt spid="_x0000_s204804"/>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13</xdr:row>
          <xdr:rowOff>47625</xdr:rowOff>
        </xdr:from>
        <xdr:to>
          <xdr:col>0</xdr:col>
          <xdr:colOff>590550</xdr:colOff>
          <xdr:row>13</xdr:row>
          <xdr:rowOff>485775</xdr:rowOff>
        </xdr:to>
        <xdr:sp macro="" textlink="">
          <xdr:nvSpPr>
            <xdr:cNvPr id="217090" name="Check Box 2" hidden="1">
              <a:extLst>
                <a:ext uri="{63B3BB69-23CF-44E3-9099-C40C66FF867C}">
                  <a14:compatExt spid="_x0000_s217090"/>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28575</xdr:rowOff>
    </xdr:from>
    <xdr:to>
      <xdr:col>5</xdr:col>
      <xdr:colOff>3247195</xdr:colOff>
      <xdr:row>12</xdr:row>
      <xdr:rowOff>24649</xdr:rowOff>
    </xdr:to>
    <xdr:grpSp>
      <xdr:nvGrpSpPr>
        <xdr:cNvPr id="6" name="Group 5"/>
        <xdr:cNvGrpSpPr/>
      </xdr:nvGrpSpPr>
      <xdr:grpSpPr>
        <a:xfrm>
          <a:off x="28575" y="28575"/>
          <a:ext cx="8857420" cy="2005849"/>
          <a:chOff x="10970559" y="5479676"/>
          <a:chExt cx="8857420" cy="2005849"/>
        </a:xfrm>
      </xdr:grpSpPr>
      <xdr:pic>
        <xdr:nvPicPr>
          <xdr:cNvPr id="7" name="Picture 6"/>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70559" y="5479676"/>
            <a:ext cx="8857420" cy="1915766"/>
          </a:xfrm>
          <a:prstGeom prst="rect">
            <a:avLst/>
          </a:prstGeom>
          <a:ln>
            <a:noFill/>
          </a:ln>
          <a:effectLst>
            <a:softEdge rad="112500"/>
          </a:effectLst>
        </xdr:spPr>
      </xdr:pic>
      <xdr:sp macro="" textlink="">
        <xdr:nvSpPr>
          <xdr:cNvPr id="8" name="Rectangle 7"/>
          <xdr:cNvSpPr/>
        </xdr:nvSpPr>
        <xdr:spPr>
          <a:xfrm>
            <a:off x="11107770" y="5755409"/>
            <a:ext cx="8566570" cy="173011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Chapter 2 Appendices</a:t>
            </a:r>
          </a:p>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Filing Requirements for Electricity Distribution </a:t>
            </a:r>
          </a:p>
          <a:p>
            <a:pPr algn="ctr" rtl="0"/>
            <a:r>
              <a:rPr lang="en-CA" sz="29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Rate Applications</a:t>
            </a:r>
            <a:endParaRPr lang="en-CA" sz="29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161925</xdr:colOff>
      <xdr:row>7</xdr:row>
      <xdr:rowOff>0</xdr:rowOff>
    </xdr:from>
    <xdr:to>
      <xdr:col>6</xdr:col>
      <xdr:colOff>495300</xdr:colOff>
      <xdr:row>38</xdr:row>
      <xdr:rowOff>114300</xdr:rowOff>
    </xdr:to>
    <xdr:pic>
      <xdr:nvPicPr>
        <xdr:cNvPr id="4098"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1752600"/>
          <a:ext cx="8467725" cy="513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466725</xdr:colOff>
          <xdr:row>4</xdr:row>
          <xdr:rowOff>638175</xdr:rowOff>
        </xdr:from>
        <xdr:to>
          <xdr:col>7</xdr:col>
          <xdr:colOff>66675</xdr:colOff>
          <xdr:row>12</xdr:row>
          <xdr:rowOff>171450</xdr:rowOff>
        </xdr:to>
        <xdr:sp macro="" textlink="">
          <xdr:nvSpPr>
            <xdr:cNvPr id="140295" name="Object 7" hidden="1">
              <a:extLst>
                <a:ext uri="{63B3BB69-23CF-44E3-9099-C40C66FF867C}">
                  <a14:compatExt spid="_x0000_s140295"/>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95252</xdr:colOff>
      <xdr:row>10</xdr:row>
      <xdr:rowOff>9525</xdr:rowOff>
    </xdr:from>
    <xdr:to>
      <xdr:col>1</xdr:col>
      <xdr:colOff>276226</xdr:colOff>
      <xdr:row>16</xdr:row>
      <xdr:rowOff>28575</xdr:rowOff>
    </xdr:to>
    <xdr:sp macro="" textlink="">
      <xdr:nvSpPr>
        <xdr:cNvPr id="5" name="Right Brace 4"/>
        <xdr:cNvSpPr/>
      </xdr:nvSpPr>
      <xdr:spPr>
        <a:xfrm>
          <a:off x="1057277" y="2447925"/>
          <a:ext cx="180974" cy="10763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13</xdr:row>
          <xdr:rowOff>104775</xdr:rowOff>
        </xdr:from>
        <xdr:to>
          <xdr:col>0</xdr:col>
          <xdr:colOff>590550</xdr:colOff>
          <xdr:row>13</xdr:row>
          <xdr:rowOff>523875</xdr:rowOff>
        </xdr:to>
        <xdr:sp macro="" textlink="">
          <xdr:nvSpPr>
            <xdr:cNvPr id="194563" name="Check Box 3" hidden="1">
              <a:extLst>
                <a:ext uri="{63B3BB69-23CF-44E3-9099-C40C66FF867C}">
                  <a14:compatExt spid="_x0000_s1945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14</xdr:row>
          <xdr:rowOff>47625</xdr:rowOff>
        </xdr:from>
        <xdr:to>
          <xdr:col>0</xdr:col>
          <xdr:colOff>571500</xdr:colOff>
          <xdr:row>14</xdr:row>
          <xdr:rowOff>466725</xdr:rowOff>
        </xdr:to>
        <xdr:sp macro="" textlink="">
          <xdr:nvSpPr>
            <xdr:cNvPr id="194564" name="Check Box 4" hidden="1">
              <a:extLst>
                <a:ext uri="{63B3BB69-23CF-44E3-9099-C40C66FF867C}">
                  <a14:compatExt spid="_x0000_s194564"/>
                </a:ext>
              </a:extLst>
            </xdr:cNvPr>
            <xdr:cNvSpPr/>
          </xdr:nvSpPr>
          <xdr:spPr>
            <a:xfrm>
              <a:off x="0" y="0"/>
              <a:ext cx="0" cy="0"/>
            </a:xfrm>
            <a:prstGeom prst="rect">
              <a:avLst/>
            </a:prstGeom>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13</xdr:row>
          <xdr:rowOff>76200</xdr:rowOff>
        </xdr:from>
        <xdr:to>
          <xdr:col>0</xdr:col>
          <xdr:colOff>590550</xdr:colOff>
          <xdr:row>13</xdr:row>
          <xdr:rowOff>495300</xdr:rowOff>
        </xdr:to>
        <xdr:sp macro="" textlink="">
          <xdr:nvSpPr>
            <xdr:cNvPr id="200711" name="Check Box 7" hidden="1">
              <a:extLst>
                <a:ext uri="{63B3BB69-23CF-44E3-9099-C40C66FF867C}">
                  <a14:compatExt spid="_x0000_s2007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14</xdr:row>
          <xdr:rowOff>47625</xdr:rowOff>
        </xdr:from>
        <xdr:to>
          <xdr:col>0</xdr:col>
          <xdr:colOff>571500</xdr:colOff>
          <xdr:row>14</xdr:row>
          <xdr:rowOff>466725</xdr:rowOff>
        </xdr:to>
        <xdr:sp macro="" textlink="">
          <xdr:nvSpPr>
            <xdr:cNvPr id="200712" name="Check Box 8" hidden="1">
              <a:extLst>
                <a:ext uri="{63B3BB69-23CF-44E3-9099-C40C66FF867C}">
                  <a14:compatExt spid="_x0000_s200712"/>
                </a:ext>
              </a:extLst>
            </xdr:cNvPr>
            <xdr:cNvSpPr/>
          </xdr:nvSpPr>
          <xdr:spPr>
            <a:xfrm>
              <a:off x="0" y="0"/>
              <a:ext cx="0" cy="0"/>
            </a:xfrm>
            <a:prstGeom prst="rect">
              <a:avLst/>
            </a:prstGeom>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13</xdr:row>
          <xdr:rowOff>47625</xdr:rowOff>
        </xdr:from>
        <xdr:to>
          <xdr:col>0</xdr:col>
          <xdr:colOff>590550</xdr:colOff>
          <xdr:row>13</xdr:row>
          <xdr:rowOff>447675</xdr:rowOff>
        </xdr:to>
        <xdr:sp macro="" textlink="">
          <xdr:nvSpPr>
            <xdr:cNvPr id="201733" name="Check Box 5" hidden="1">
              <a:extLst>
                <a:ext uri="{63B3BB69-23CF-44E3-9099-C40C66FF867C}">
                  <a14:compatExt spid="_x0000_s2017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14</xdr:row>
          <xdr:rowOff>38100</xdr:rowOff>
        </xdr:from>
        <xdr:to>
          <xdr:col>0</xdr:col>
          <xdr:colOff>571500</xdr:colOff>
          <xdr:row>14</xdr:row>
          <xdr:rowOff>457200</xdr:rowOff>
        </xdr:to>
        <xdr:sp macro="" textlink="">
          <xdr:nvSpPr>
            <xdr:cNvPr id="201734" name="Check Box 6" hidden="1">
              <a:extLst>
                <a:ext uri="{63B3BB69-23CF-44E3-9099-C40C66FF867C}">
                  <a14:compatExt spid="_x0000_s201734"/>
                </a:ext>
              </a:extLst>
            </xdr:cNvPr>
            <xdr:cNvSpPr/>
          </xdr:nvSpPr>
          <xdr:spPr>
            <a:xfrm>
              <a:off x="0" y="0"/>
              <a:ext cx="0" cy="0"/>
            </a:xfrm>
            <a:prstGeom prst="rect">
              <a:avLst/>
            </a:prstGeom>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323850</xdr:colOff>
          <xdr:row>13</xdr:row>
          <xdr:rowOff>47625</xdr:rowOff>
        </xdr:from>
        <xdr:to>
          <xdr:col>0</xdr:col>
          <xdr:colOff>590550</xdr:colOff>
          <xdr:row>13</xdr:row>
          <xdr:rowOff>447675</xdr:rowOff>
        </xdr:to>
        <xdr:sp macro="" textlink="">
          <xdr:nvSpPr>
            <xdr:cNvPr id="202760" name="Check Box 8" hidden="1">
              <a:extLst>
                <a:ext uri="{63B3BB69-23CF-44E3-9099-C40C66FF867C}">
                  <a14:compatExt spid="_x0000_s2027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14</xdr:row>
          <xdr:rowOff>47625</xdr:rowOff>
        </xdr:from>
        <xdr:to>
          <xdr:col>0</xdr:col>
          <xdr:colOff>571500</xdr:colOff>
          <xdr:row>14</xdr:row>
          <xdr:rowOff>466725</xdr:rowOff>
        </xdr:to>
        <xdr:sp macro="" textlink="">
          <xdr:nvSpPr>
            <xdr:cNvPr id="202761" name="Check Box 9" hidden="1">
              <a:extLst>
                <a:ext uri="{63B3BB69-23CF-44E3-9099-C40C66FF867C}">
                  <a14:compatExt spid="_x0000_s202761"/>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ntarioenergyboard.ca/oeb/_Documents/2015EDR/2015%20Filing%20Requirements/Filing_Requirements_Chapter2_Appendices_for%202014_unprotected.v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itchike/AppData/Local/Microsoft/Windows/Temporary%20Internet%20Files/Content.Outlook/IMG9R824/Appendices_remove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Applications%20Department/Department%20Applications/Rates/2013%20Electricity%20Rates/$Models/Final%202013%20IRM%20R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kwando/AppData/Local/Microsoft/Windows/Temporary%20Internet%20Files/Content.Outlook/2LI0QYVT/Recent%20Drafts/Filing_Requirements_Chapter2_Appendices%20-%20Excel%20(May%203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www.ontarioenergyboard.ca/Home/Market%20Operations/Department%20Applications/Reports/Rates/Electricity%20Rates%20-%20Billing%20Determinants%20Database/2012%20IRM%20DEVELOPMENT/2012%20IRM%20MODEL%20(2ND%20AND%203R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 Fix Asset Cont."/>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A_OldCGAAP_DepExp_2012"/>
      <sheetName val="App.2-CB_NewCGAAP_DepExp_2012"/>
      <sheetName val="App.2-CC_NewCGAAP_DepExp_2013"/>
      <sheetName val="App.2-CD NewCGAAP_DepExp_2014"/>
      <sheetName val="App.2-CE MIFRS_DepExp_2015"/>
      <sheetName val="App.2-CF_OldCGAAP_DepExp_2013"/>
      <sheetName val="App.2-CG_NewCGAAP_DepExp_2013"/>
      <sheetName val="App.2-CH_NewCGAAP_DepExp_2014"/>
      <sheetName val="App.2-CI MIFRS_DepExp_2015"/>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ow r="24">
          <cell r="E24">
            <v>2014</v>
          </cell>
        </row>
        <row r="26">
          <cell r="E26">
            <v>2013</v>
          </cell>
        </row>
        <row r="28">
          <cell r="E28">
            <v>2009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ow r="1">
          <cell r="A1" t="str">
            <v>DISTRIBUTED GENERATION [DGEN]</v>
          </cell>
          <cell r="I1" t="str">
            <v>Distribution Volumetric Rate</v>
          </cell>
          <cell r="Z1" t="str">
            <v>Account History</v>
          </cell>
          <cell r="AA1" t="str">
            <v>Account set up charge/change of occupancy charge (plus credit agency costs if applicable)</v>
          </cell>
        </row>
        <row r="2">
          <cell r="A2" t="str">
            <v>EMBEDDED DISTRIBUTOR</v>
          </cell>
          <cell r="I2" t="str">
            <v>Distribution Volumetric Rate - $/kW of contracted amount</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Wheeling Service Rate</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General Service 1,500 to 4,999 kW customer</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General Service 50 to 1,499 kW customer</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General Service Large Use customer</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Green Energy Act Plan Funding Adder - effective April 1, 2013 until March 31, 2014</v>
          </cell>
        </row>
        <row r="8">
          <cell r="A8" t="str">
            <v>GENERAL SERVICE 1,000 TO 2,999 KW</v>
          </cell>
          <cell r="I8" t="str">
            <v>Green Energy Act Plan Funding Adder - effective until March 31, 2013</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 - INTERVAL METERS</v>
          </cell>
          <cell r="I9" t="str">
            <v>Low Voltage Service Charge</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(CO-GENERATION)</v>
          </cell>
          <cell r="I10" t="str">
            <v>Low Voltage Service Rate</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v>
          </cell>
          <cell r="I11" t="str">
            <v>Low Voltage Volumetric Rate</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Mechanism (SSM) Recovery (2012) - effective until April 30, 2014</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Minimum Distribution Charge - per KW of maximum billing demand in the previous 11 months</v>
          </cell>
        </row>
        <row r="14">
          <cell r="A14" t="str">
            <v>GENERAL SERVICE 3,000 TO 4,999 KW - INTERMEDIATE USE</v>
          </cell>
          <cell r="I14" t="str">
            <v>Monthly Distribution Wheeling Service Rate - Dedicated LV Line</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INTERVAL METERED</v>
          </cell>
          <cell r="I15" t="str">
            <v>Monthly Distribution Wheeling Service Rate - Hydro One Networks</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TIME OF USE</v>
          </cell>
          <cell r="I16" t="str">
            <v>Monthly Distribution Wheeling Service Rate - Shared LV Line</v>
          </cell>
          <cell r="Z16" t="str">
            <v>Dispute Test – Commercial self contained -- MC</v>
          </cell>
          <cell r="AA16" t="str">
            <v>Disconnect/Reconnect at pole – during regular hours</v>
          </cell>
        </row>
        <row r="17">
          <cell r="A17" t="str">
            <v>GENERAL SERVICE 3,000 TO 4,999 KW</v>
          </cell>
          <cell r="I17" t="str">
            <v>Monthly Distribution Wheeling Service Rate - Waterloo North Hydro</v>
          </cell>
          <cell r="Z17" t="str">
            <v>Dispute Test – Commercial TT -- MC</v>
          </cell>
          <cell r="AA17" t="str">
            <v>Disconnect/Reconnect Charge – At Meter – After Hours</v>
          </cell>
        </row>
        <row r="18">
          <cell r="A18" t="str">
            <v>GENERAL SERVICE 50 TO 1,000 KW - INTERVAL METERS</v>
          </cell>
          <cell r="I18" t="str">
            <v>Rate Rider for Application of Tax Change - effective until April 30, 2014</v>
          </cell>
          <cell r="Z18" t="str">
            <v>Dispute Test – Residential</v>
          </cell>
          <cell r="AA18" t="str">
            <v>Disconnect/Reconnect Charge – At Meter – During Regular Hours</v>
          </cell>
        </row>
        <row r="19">
          <cell r="A19" t="str">
            <v>GENERAL SERVICE 50 TO 1,000 KW - NON INTERVAL METERS</v>
          </cell>
          <cell r="I19" t="str">
            <v>Rate Rider for Application of Tax Change - effective until December 31, 2013</v>
          </cell>
          <cell r="Z19" t="str">
            <v>Duplicate Invoices for previous billing</v>
          </cell>
          <cell r="AA19" t="str">
            <v>Disconnect/Reconnect Charge – At Pole – After Hours</v>
          </cell>
        </row>
        <row r="20">
          <cell r="A20" t="str">
            <v>GENERAL SERVICE 50 TO 1,000 KW</v>
          </cell>
          <cell r="I20" t="str">
            <v>Rate Rider for Application of Tax Change - Hydro One Networks - effective until April 30, 2014</v>
          </cell>
          <cell r="Z20" t="str">
            <v>Easement Letter</v>
          </cell>
          <cell r="AA20" t="str">
            <v>Disconnect/Reconnect Charge – At Pole – During Regular Hours</v>
          </cell>
        </row>
        <row r="21">
          <cell r="A21" t="str">
            <v>GENERAL SERVICE 50 TO 1,499 KW - INTERVAL METERED</v>
          </cell>
          <cell r="I21" t="str">
            <v>Rate Rider for Application of Tax Change - Waterloo North Hydro - effective until April 30, 2014</v>
          </cell>
          <cell r="Z21" t="str">
            <v>Income Tax Letter</v>
          </cell>
          <cell r="AA21" t="str">
            <v>Disconnect/Reconnect Charges for non payment of account - At Meter After Hours</v>
          </cell>
        </row>
        <row r="22">
          <cell r="A22" t="str">
            <v>GENERAL SERVICE 50 TO 1,499 KW</v>
          </cell>
          <cell r="I22" t="str">
            <v>Rate Rider for Application of Tax Change (2013) - effective until April 30, 2014</v>
          </cell>
          <cell r="Z22" t="str">
            <v>Interval Meter Interrogation</v>
          </cell>
          <cell r="AA22" t="str">
            <v>Disconnect/Reconnect charges for non payment of account – at meter after regular hours</v>
          </cell>
        </row>
        <row r="23">
          <cell r="A23" t="str">
            <v>GENERAL SERVICE 50 TO 2,499 KW</v>
          </cell>
          <cell r="I23" t="str">
            <v>Rate Rider for Application of Tax Change (per connection) - effective until April 30, 2014</v>
          </cell>
          <cell r="Z23" t="str">
            <v>Interval meter request change</v>
          </cell>
          <cell r="AA23" t="str">
            <v>Disconnect/Reconnect Charges for non payment of account - At Meter During Regular Hours</v>
          </cell>
        </row>
        <row r="24">
          <cell r="A24" t="str">
            <v>GENERAL SERVICE 50 TO 2,999 KW - INTERVAL METERED</v>
          </cell>
          <cell r="I24" t="str">
            <v>Rate Rider for Application of Tax Change Dedicated LV Line - effective until April 30, 2014</v>
          </cell>
          <cell r="Z24" t="str">
            <v>Legal letter</v>
          </cell>
          <cell r="AA24" t="str">
            <v>Disconnect/Reconnect charges for non payment of account – at meter during regular hours</v>
          </cell>
        </row>
        <row r="25">
          <cell r="A25" t="str">
            <v>GENERAL SERVICE 50 TO 2,999 KW - TIME OF USE</v>
          </cell>
          <cell r="I25" t="str">
            <v>Rate Rider for Application of Tax Change Shared LV Line - effective until April 30, 2014</v>
          </cell>
          <cell r="Z25" t="str">
            <v>Legal letter charge</v>
          </cell>
          <cell r="AA25" t="str">
            <v>Disconnect/Reconnect charges for non payment of account – at pole after regular hours</v>
          </cell>
        </row>
        <row r="26">
          <cell r="A26" t="str">
            <v>GENERAL SERVICE 50 TO 2,999 KW</v>
          </cell>
          <cell r="I26" t="str">
            <v>Rate Rider for Deferral/Variance Account (2012) - effective unitl April 30, 2016</v>
          </cell>
          <cell r="Z26" t="str">
            <v>Meter dispute charge plus Measurement Canada fees (if meter found correct)</v>
          </cell>
          <cell r="AA26" t="str">
            <v>Disconnect/Reconnect charges for non payment of account – at pole during regular hours</v>
          </cell>
        </row>
        <row r="27">
          <cell r="A27" t="str">
            <v>GENERAL SERVICE 50 TO 4,999 KW - INTERVAL METERED</v>
          </cell>
          <cell r="I27" t="str">
            <v>Rate Rider for Deferral/Variance Account Disposition (2012) - effective until April 30, 2016</v>
          </cell>
          <cell r="Z27" t="str">
            <v>Notification charge</v>
          </cell>
          <cell r="AA27" t="str">
            <v>Disconnect/Reconnection for &gt;300 volts - after regular hours</v>
          </cell>
        </row>
        <row r="28">
          <cell r="A28" t="str">
            <v>GENERAL SERVICE 50 TO 4,999 KW - TIME OF USE</v>
          </cell>
          <cell r="I28" t="str">
            <v>Rate Rider for Deferral/Variance Account Disposition (2013) - effective until April 30, 2014</v>
          </cell>
          <cell r="Z28" t="str">
            <v>Pulling Post Dated Cheques</v>
          </cell>
          <cell r="AA28" t="str">
            <v>Disconnect/Reconnection for &gt;300 volts - during regular hours</v>
          </cell>
        </row>
        <row r="29">
          <cell r="A29" t="str">
            <v>GENERAL SERVICE 50 TO 4,999 KW (COGENERATION)</v>
          </cell>
          <cell r="I29" t="str">
            <v>Rate Rider for Deferral/Variance Account Dispositon (2012) - effective until April 30, 2016</v>
          </cell>
          <cell r="Z29" t="str">
            <v>Request for other billing information</v>
          </cell>
          <cell r="AA29" t="str">
            <v>Disposal of Concrete Poles</v>
          </cell>
        </row>
        <row r="30">
          <cell r="A30" t="str">
            <v>GENERAL SERVICE 50 TO 4,999 KW (FORMERLY TIME OF USE)</v>
          </cell>
          <cell r="I30" t="str">
            <v>Rate Rider for Disposition of Capital Gain - effective until April 30, 2014</v>
          </cell>
          <cell r="Z30" t="str">
            <v>Returned cheque (plus bank charges)</v>
          </cell>
          <cell r="AA30" t="str">
            <v>Dispute Test – Commercial TT -- MC</v>
          </cell>
        </row>
        <row r="31">
          <cell r="A31" t="str">
            <v>GENERAL SERVICE 50 TO 4,999 KW</v>
          </cell>
          <cell r="I31" t="str">
            <v>Rate Rider for Disposition of Deferral/Variance Accounts - effective until August 31, 2013</v>
          </cell>
          <cell r="Z31" t="str">
            <v>Returned cheque charge (plus bank charges)</v>
          </cell>
          <cell r="AA31" t="str">
            <v>Install/Remove load control device – after regular hours</v>
          </cell>
        </row>
        <row r="32">
          <cell r="A32" t="str">
            <v>GENERAL SERVICE 50 TO 499 KW</v>
          </cell>
          <cell r="I32" t="str">
            <v>Rate Rider for Disposition of Deferral/Variance Accounts (2010) - effective until April 30, 2014</v>
          </cell>
          <cell r="Z32" t="str">
            <v>Special Billing Service (aggregation)</v>
          </cell>
          <cell r="AA32" t="str">
            <v>Install/Remove load control device – during regular hours</v>
          </cell>
        </row>
        <row r="33">
          <cell r="A33" t="str">
            <v>GENERAL SERVICE 50 TO 699 KW</v>
          </cell>
          <cell r="I33" t="str">
            <v>Rate Rider for Disposition of Deferral/Variance Accounts (2011) - effective until April 30, 2014</v>
          </cell>
          <cell r="Z33" t="str">
            <v>Special Billing Service (sub-metering charge per meter)</v>
          </cell>
          <cell r="AA33" t="str">
            <v>Interval Meter Interrogation</v>
          </cell>
        </row>
        <row r="34">
          <cell r="A34" t="str">
            <v>GENERAL SERVICE 50 TO 999 KW - INTERVAL METERED</v>
          </cell>
          <cell r="I34" t="str">
            <v>Rate Rider for Disposition of Deferral/Variance Accounts (2011) - effective until April 30, 2015</v>
          </cell>
          <cell r="Z34" t="str">
            <v>Special meter reads</v>
          </cell>
          <cell r="AA34" t="str">
            <v>Interval Meter Load Management Tool Charge $/month</v>
          </cell>
        </row>
        <row r="35">
          <cell r="A35" t="str">
            <v>GENERAL SERVICE 50 TO 999 KW</v>
          </cell>
          <cell r="I35" t="str">
            <v>Rate Rider for Disposition of Deferral/Variance Accounts (2011) - effective until April 30, 2016</v>
          </cell>
          <cell r="Z35" t="str">
            <v>Statement of Account</v>
          </cell>
          <cell r="AA35" t="str">
            <v>Interval meter request change</v>
          </cell>
        </row>
        <row r="36">
          <cell r="A36" t="str">
            <v>GENERAL SERVICE 500 TO 4,999 KW</v>
          </cell>
          <cell r="I36" t="str">
            <v>Rate Rider for Disposition of Deferral/Variance Accounts (2012) - effective until April 30, 2014</v>
          </cell>
          <cell r="Z36" t="str">
            <v>Unprocessed Payment Charge (plus bank charges)</v>
          </cell>
          <cell r="AA36" t="str">
            <v>Late Payment – per annum</v>
          </cell>
        </row>
        <row r="37">
          <cell r="A37" t="str">
            <v>GENERAL SERVICE 700 TO 4,999 KW</v>
          </cell>
          <cell r="I37" t="str">
            <v>Rate Rider for Disposition of Deferral/Variance Accounts (2012) - effective until April 30, 2015</v>
          </cell>
          <cell r="AA37" t="str">
            <v>Late Payment – per month</v>
          </cell>
        </row>
        <row r="38">
          <cell r="A38" t="str">
            <v>GENERAL SERVICE DEMAND BILLED (50 KW AND ABOVE) [GSD]</v>
          </cell>
          <cell r="I38" t="str">
            <v>Rate Rider for Disposition of Deferral/Variance Accounts (2012) - effective until April 30, 2016</v>
          </cell>
          <cell r="AA38" t="str">
            <v>Layout fees</v>
          </cell>
        </row>
        <row r="39">
          <cell r="A39" t="str">
            <v>GENERAL SERVICE ENERGY BILLED (LESS THAN 50 KW) [GSE-METERED]</v>
          </cell>
          <cell r="I39" t="str">
            <v>Rate Rider for Disposition of Deferral/Variance Accounts (2012) - effective until December 31, 2013</v>
          </cell>
          <cell r="AA39" t="str">
            <v>Meter dispute charge plus Measurement Canada fees (if meter found correct)</v>
          </cell>
        </row>
        <row r="40">
          <cell r="A40" t="str">
            <v>GENERAL SERVICE ENERGY BILLED (LESS THAN TO 50 KW) [GSE-UNMETERED]</v>
          </cell>
          <cell r="I40" t="str">
            <v>Rate Rider for Disposition of Deferral/Variance Accounts (2012) - effective until December 31, 2013 Applicable in the service area excluding the former service area of Clinton Power</v>
          </cell>
          <cell r="AA40" t="str">
            <v>Meter Interrogation Charge</v>
          </cell>
        </row>
        <row r="41">
          <cell r="A41" t="str">
            <v>GENERAL SERVICE EQUAL TO OR GREATER THAN 1,500 KW - INTERVAL METERED</v>
          </cell>
          <cell r="I41" t="str">
            <v>Rate Rider for Disposition of Deferral/Variance Accounts (2012) - effective until December 31, 2013 Applicable in the service area excluding the former service areas of Clinton Power and 
West Perth Power</v>
          </cell>
          <cell r="AA41" t="str">
            <v>Missed Service Appointment</v>
          </cell>
        </row>
        <row r="42">
          <cell r="A42" t="str">
            <v>GENERAL SERVICE EQUAL TO OR GREATER THAN 1,500 KW</v>
          </cell>
          <cell r="I42" t="str">
            <v>Rate Rider for Disposition of Deferral/Variance Accounts (2012) - effective until December 31, 2013 Applicable only in the former service area of West Perth Power</v>
          </cell>
          <cell r="AA42" t="str">
            <v>Norfolk Pole Rentals – Billed</v>
          </cell>
        </row>
        <row r="43">
          <cell r="A43" t="str">
            <v>GENERAL SERVICE GREATER THAN 1,000 KW</v>
          </cell>
          <cell r="I43" t="str">
            <v>Rate Rider for Disposition of Deferral/Variance Accounts (2012) - effective until December 31, 2015</v>
          </cell>
          <cell r="AA43" t="str">
            <v>Optional Interval/TOU Meter charge $/month</v>
          </cell>
        </row>
        <row r="44">
          <cell r="A44" t="str">
            <v>GENERAL SERVICE INTERMEDIATE 1,000 TO 4,999 KW</v>
          </cell>
          <cell r="I44" t="str">
            <v>Rate Rider for Disposition of Deferral/Variance Accounts (2012) - effective until December 31, 2016 Applicable only in the former service area of Clinton Power</v>
          </cell>
          <cell r="AA44" t="str">
            <v>Overtime Locate</v>
          </cell>
        </row>
        <row r="45">
          <cell r="A45" t="str">
            <v>GENERAL SERVICE INTERMEDIATE RATE CLASS 1,000 TO 4,999 KW (FORMERLY GENERAL SERVICE &gt; 50 KW CUSTOMERS)</v>
          </cell>
          <cell r="I45" t="str">
            <v>Rate Rider for Disposition of Deferral/Variance Accounts (2012) - effective until February 28, 2013</v>
          </cell>
          <cell r="AA45" t="str">
            <v>Owner Requested Disconnection/Reconnection – after regular hours</v>
          </cell>
        </row>
        <row r="46">
          <cell r="A46" t="str">
            <v>GENERAL SERVICE INTERMEDIATE RATE CLASS 1,000 TO 4,999 KW (FORMERLY LARGE USE CUSTOMERS)</v>
          </cell>
          <cell r="I46" t="str">
            <v>Rate Rider for Disposition of Deferral/Variance Accounts (2012) - effective until June 30, 2014</v>
          </cell>
          <cell r="AA46" t="str">
            <v>Owner Requested Disconnection/Reconnection – during regular hours</v>
          </cell>
        </row>
        <row r="47">
          <cell r="A47" t="str">
            <v>GENERAL SERVICE LESS THAN 50 KW - SINGLE PHASE ENERGY-BILLED [G1]</v>
          </cell>
          <cell r="I47" t="str">
            <v>Rate Rider for Disposition of Deferral/Variance Accounts (2012) - effective until March 31, 2013</v>
          </cell>
          <cell r="AA47" t="str">
            <v>Returned cheque (plus bank charges)</v>
          </cell>
        </row>
        <row r="48">
          <cell r="A48" t="str">
            <v>GENERAL SERVICE LESS THAN 50 KW - THREE PHASE ENERGY-BILLED [G3]</v>
          </cell>
          <cell r="I48" t="str">
            <v>Rate Rider for Disposition of Deferral/Variance Accounts (2012) - effective until October 31, 2013</v>
          </cell>
          <cell r="AA48" t="str">
            <v>Rural system expansion / line connection fee</v>
          </cell>
        </row>
        <row r="49">
          <cell r="A49" t="str">
            <v>GENERAL SERVICE LESS THAN 50 KW - TRANSMISSION CLASS ENERGY-BILLED [T]</v>
          </cell>
          <cell r="I49" t="str">
            <v>Rate Rider for Disposition of Deferral/Variance Accounts (2013) - effective until April 30, 2014</v>
          </cell>
          <cell r="AA49" t="str">
            <v>Same Day Open Trench</v>
          </cell>
        </row>
        <row r="50">
          <cell r="A50" t="str">
            <v>GENERAL SERVICE LESS THAN 50 KW - URBAN ENERGY-BILLED [UG]</v>
          </cell>
          <cell r="I50" t="str">
            <v>Rate Rider for Disposition of Deferral/Variance Accounts (2013) - effective until April 30, 2015</v>
          </cell>
          <cell r="AA50" t="str">
            <v>Scheduled Day Open Trench</v>
          </cell>
        </row>
        <row r="51">
          <cell r="A51" t="str">
            <v>GENERAL SERVICE LESS THAN 50 KW</v>
          </cell>
          <cell r="I51" t="str">
            <v>Rate Rider for Disposition of Deferral/Variance Accounts (2013) - effective until April 30, 2017</v>
          </cell>
          <cell r="AA51" t="str">
            <v>Service call – after regular hours</v>
          </cell>
        </row>
        <row r="52">
          <cell r="A52" t="str">
            <v>GENERAL SERVICE SINGLE PHASE - G1</v>
          </cell>
          <cell r="I52" t="str">
            <v>Rate Rider for Disposition of Deferral/Variance Accounts (2013) - effective until December 31, 2013</v>
          </cell>
          <cell r="AA52" t="str">
            <v>Service call – customer owned equipment</v>
          </cell>
        </row>
        <row r="53">
          <cell r="A53" t="str">
            <v>GENERAL SERVICE THREE PHASE - G3</v>
          </cell>
          <cell r="I53" t="str">
            <v>Rate Rider for Disposition of Deferred PILs Variance Account 1562 - effective until April 30, 2014</v>
          </cell>
          <cell r="AA53" t="str">
            <v>Service Call – Customer-owned Equipment – After Regular Hours</v>
          </cell>
        </row>
        <row r="54">
          <cell r="A54" t="str">
            <v>INTERMEDIATE USERS</v>
          </cell>
          <cell r="I54" t="str">
            <v>Rate Rider for Disposition of Deferred PILs Variance Account 1562 - effective until December 31, 2013</v>
          </cell>
          <cell r="AA54" t="str">
            <v>Service Call – Customer-owned Equipment – During Regular Hours</v>
          </cell>
        </row>
        <row r="55">
          <cell r="A55" t="str">
            <v>INTERMEDIATE WITH SELF GENERATION</v>
          </cell>
          <cell r="I55" t="str">
            <v>Rate Rider for Disposition of Deferred PILs Variance Account 1562 - effective until March 31, 2016</v>
          </cell>
          <cell r="AA55" t="str">
            <v>Service Charge for onsite interrogation of interval meter due to customer phone line failure - required weekly until line repaired $ 6</v>
          </cell>
        </row>
        <row r="56">
          <cell r="A56" t="str">
            <v>LARGE USE - 3TS</v>
          </cell>
          <cell r="I56" t="str">
            <v>Rate Rider for Disposition of Deferred PILs Variance Account 1562 - effective until November 30, 2013</v>
          </cell>
          <cell r="AA56" t="str">
            <v>Service Layout - Commercial</v>
          </cell>
        </row>
        <row r="57">
          <cell r="A57" t="str">
            <v>LARGE USE - FORD ANNEX</v>
          </cell>
          <cell r="I57" t="str">
            <v>Rate Rider for Disposition of Deferred PILs Variance Account 1562 - effective until October 31, 2013</v>
          </cell>
          <cell r="AA57" t="str">
            <v>Service Layout - ResidentiaI</v>
          </cell>
        </row>
        <row r="58">
          <cell r="A58" t="str">
            <v>LARGE USE - REGULAR</v>
          </cell>
          <cell r="I58" t="str">
            <v>Rate Rider for Disposition of Deferred PILs Variance Account 1562 (2012) - effective until April 30, 2015</v>
          </cell>
          <cell r="AA58" t="str">
            <v>Special Billing Service (sub-metering charge per meter)</v>
          </cell>
        </row>
        <row r="59">
          <cell r="A59" t="str">
            <v>LARGE USE &gt; 5000 KW</v>
          </cell>
          <cell r="I59" t="str">
            <v>Rate Rider for Disposition of Deferred PILs Variance Account 1562 (per connection) (2012) - effective until April 30, 2015</v>
          </cell>
          <cell r="AA59" t="str">
            <v>Special meter reads</v>
          </cell>
        </row>
        <row r="60">
          <cell r="A60" t="str">
            <v>LARGE USE</v>
          </cell>
          <cell r="I60" t="str">
            <v>Rate Rider for Disposition of Global Adjustment Sub-Account - effective until November 30, 2013 
 Applicable only for Non-RPP Customers</v>
          </cell>
          <cell r="AA60" t="str">
            <v>Specific Charge for Access to the Power Poles - $/pole/year</v>
          </cell>
        </row>
        <row r="61">
          <cell r="A61" t="str">
            <v>microFIT</v>
          </cell>
          <cell r="I61" t="str">
            <v>Rate Rider for Disposition of Global Adjustment Sub-Account - effective until November 30, 2013 Applicable only for Non-RPP Customers</v>
          </cell>
          <cell r="AA61" t="str">
            <v>Specific Charge for Bell Canada Access to the Power Poles – per pole/year</v>
          </cell>
        </row>
        <row r="62">
          <cell r="A62" t="str">
            <v>RESIDENTIAL - HENSALL</v>
          </cell>
          <cell r="I62" t="str">
            <v>Rate Rider for Disposition of Global Adjustment Sub-Account (2010) - effective until April 30, 2014 Applicable only for Non-RPP Customers</v>
          </cell>
          <cell r="AA62" t="str">
            <v>Switching for company maintenance – Charge based on Time and Materials</v>
          </cell>
        </row>
        <row r="63">
          <cell r="A63" t="str">
            <v>RESIDENTIAL - HIGH DENSITY [R1]</v>
          </cell>
          <cell r="I63" t="str">
            <v>Rate Rider for Disposition of Global Adjustment Sub-Account (2011) - effective until April 30, 2014 Applicable only for Non-RPP Customers</v>
          </cell>
          <cell r="AA63" t="str">
            <v>Temporary Service – Install &amp; remove – overhead – no transformer</v>
          </cell>
        </row>
        <row r="64">
          <cell r="A64" t="str">
            <v>RESIDENTIAL - LOW DENSITY [R2]</v>
          </cell>
          <cell r="I64" t="str">
            <v>Rate Rider for Disposition of Global Adjustment Sub-Account (2011) - effective until April 30, 2015 Applicable only for Non-RPP Customers</v>
          </cell>
          <cell r="AA64" t="str">
            <v>Temporary Service – Install &amp; remove – overhead – with transformer</v>
          </cell>
        </row>
        <row r="65">
          <cell r="A65" t="str">
            <v>RESIDENTIAL - MEDIUM DENSITY [R1]</v>
          </cell>
          <cell r="I65" t="str">
            <v>Rate Rider for Disposition of Global Adjustment Sub-Account (2011) - effective until April 30, 2016 Applicable only for Non-RPP Customers</v>
          </cell>
          <cell r="AA65" t="str">
            <v>Temporary Service – Install &amp; remove – underground – no transformer</v>
          </cell>
        </row>
        <row r="66">
          <cell r="A66" t="str">
            <v>RESIDENTIAL - NORMAL DENSITY [R2]</v>
          </cell>
          <cell r="I66" t="str">
            <v>Rate Rider for Disposition of Global Adjustment Sub-Account (2012) - effective until April 30, 2014 Applicable only for Non-RPP Customers</v>
          </cell>
          <cell r="AA66" t="str">
            <v>Temporary service install &amp; remove – overhead – no transformer</v>
          </cell>
        </row>
        <row r="67">
          <cell r="A67" t="str">
            <v>RESIDENTIAL - TIME OF USE</v>
          </cell>
          <cell r="I67" t="str">
            <v>Rate Rider for Disposition of Global Adjustment Sub-Account (2012) - effective until April 30, 2015 Applicable only for Non-RPP Customers</v>
          </cell>
          <cell r="AA67" t="str">
            <v>Temporary Service Install &amp; Remove – Overhead – With Transformer</v>
          </cell>
        </row>
        <row r="68">
          <cell r="A68" t="str">
            <v>RESIDENTIAL - URBAN [UR]</v>
          </cell>
          <cell r="I68" t="str">
            <v>Rate Rider for Disposition of Global Adjustment Sub-Account (2012) - effective until April 30, 2015 Applicatble only for Non-RPP Customers</v>
          </cell>
          <cell r="AA68" t="str">
            <v>Temporary Service Install &amp; Remove – Underground – No Transformer</v>
          </cell>
        </row>
        <row r="69">
          <cell r="A69" t="str">
            <v>RESIDENTIAL REGULAR</v>
          </cell>
          <cell r="I69" t="str">
            <v>Rate Rider for Disposition of Global Adjustment Sub-Account (2012) - effective until April 30, 2016 Applicable only for Non-RPP Customers</v>
          </cell>
          <cell r="AA69" t="str">
            <v>Temporary service installation and removal – overhead – no transformer</v>
          </cell>
        </row>
        <row r="70">
          <cell r="A70" t="str">
            <v>RESIDENTIAL</v>
          </cell>
          <cell r="I70" t="str">
            <v>Rate Rider for Disposition of Global Adjustment Sub-Account (2012) - effective until December 31, 2013 Applicable only for Non-RPP Customers in the former service area of Clinton Power</v>
          </cell>
          <cell r="AA70" t="str">
            <v>Temporary service installation and removal – overhead – with transformer</v>
          </cell>
        </row>
        <row r="71">
          <cell r="A71" t="str">
            <v>RESIDENTIAL SUBURBAN SEASONAL</v>
          </cell>
          <cell r="I71" t="str">
            <v>Rate Rider for Disposition of Global Adjustment Sub-Account (2012) - effective until December 31, 2013 Applicable only for Non-RPP Customers in the former service area of West Perth Power</v>
          </cell>
          <cell r="AA71" t="str">
            <v>Temporary service installation and removal – underground – no transformer</v>
          </cell>
        </row>
        <row r="72">
          <cell r="A72" t="str">
            <v>RESIDENTIAL SUBURBAN</v>
          </cell>
          <cell r="I72" t="str">
            <v>Rate Rider for Disposition of Global Adjustment Sub-Account (2012) - effective until December 31, 2013 Applicable only for Non-RPP Customers in the service area excluding the former service areas of Clinton Power and West Perth Power</v>
          </cell>
        </row>
        <row r="73">
          <cell r="A73" t="str">
            <v>RESIDENTIAL SUBURBAN YEAR ROUND</v>
          </cell>
          <cell r="I73" t="str">
            <v>Rate Rider for Disposition of Global Adjustment Sub-Account (2012) - effective until February 28, 2013 Applicable only for Non-RPP Customers</v>
          </cell>
        </row>
        <row r="74">
          <cell r="A74" t="str">
            <v>RESIDENTIAL URBAN</v>
          </cell>
          <cell r="I74" t="str">
            <v>Rate Rider for Disposition of Global Adjustment Sub-Account (2012) - effective until June 30, 2014 Applicable only for Non-RPP Customers</v>
          </cell>
        </row>
        <row r="75">
          <cell r="A75" t="str">
            <v>RESIDENTIAL URBAN YEAR-ROUND</v>
          </cell>
          <cell r="I75" t="str">
            <v>Rate Rider for Disposition of Global Adjustment Sub-Account (2012) - effective until March 31, 2013 Applicable only for Non-RPP Customers</v>
          </cell>
        </row>
        <row r="76">
          <cell r="A76" t="str">
            <v>SEASONAL RESIDENTIAL - HIGH DENSITY [R3]</v>
          </cell>
          <cell r="I76" t="str">
            <v>Rate Rider for Disposition of Global Adjustment Sub-Account (2012) - effective until October 31, 2013 Applicable only for Non-RPP Customers</v>
          </cell>
        </row>
        <row r="77">
          <cell r="A77" t="str">
            <v>SEASONAL RESIDENTIAL - NORMAL DENSITY [R4]</v>
          </cell>
          <cell r="I77" t="str">
            <v>Rate Rider for Disposition of Global Adjustment Sub-Account (2013) - effective until April 30, 2014 Applicable only for Non-RPP Customers</v>
          </cell>
        </row>
        <row r="78">
          <cell r="A78" t="str">
            <v>SEASONAL RESIDENTIAL</v>
          </cell>
          <cell r="I78" t="str">
            <v>Rate Rider for Disposition of Global Adjustment Sub-Account (2013) - effective until April 30, 2015 Applicable only for Non-RPP Customers</v>
          </cell>
        </row>
        <row r="79">
          <cell r="A79" t="str">
            <v>SENTINEL LIGHTING</v>
          </cell>
          <cell r="I79" t="str">
            <v>Rate Rider for Disposition of Global Adjustment Sub-Account (2013) - effective until April 30, 2017 Applicable only for Non-RPP Customers</v>
          </cell>
        </row>
        <row r="80">
          <cell r="A80" t="str">
            <v>SMALL COMMERCIAL AND USL - PER CONNECTION</v>
          </cell>
          <cell r="I80" t="str">
            <v>Rate Rider for Disposition of Global Adjustment Sub-Account (2013) - effective until December 31, 2013 Applicable only for Non-RPP Customers</v>
          </cell>
        </row>
        <row r="81">
          <cell r="A81" t="str">
            <v>SMALL COMMERCIAL AND USL - PER METER</v>
          </cell>
          <cell r="I81" t="str">
            <v>Rate Rider for Disposition of Post Retirement Actuarial Gain - effective until March 31, 2025</v>
          </cell>
        </row>
        <row r="82">
          <cell r="A82" t="str">
            <v>STANDARD A GENERAL SERVICE AIR ACCESS</v>
          </cell>
          <cell r="I82" t="str">
            <v>Rate Rider for Disposition of Residual Hisotrical Smart Meter Costs - effective until April 30, 2015</v>
          </cell>
        </row>
        <row r="83">
          <cell r="A83" t="str">
            <v>STANDARD A GENERAL SERVICE ROAD/RAIL</v>
          </cell>
          <cell r="I83" t="str">
            <v>Rate Rider for Disposition of Residual Historical Smart Meter Costs - effective until April 30, 2013</v>
          </cell>
        </row>
        <row r="84">
          <cell r="A84" t="str">
            <v>STANDARD A RESIDENTIAL AIR ACCESS</v>
          </cell>
          <cell r="I84" t="str">
            <v>Rate Rider for Disposition of Residual Historical Smart Meter Costs - effective until April 30, 2014</v>
          </cell>
        </row>
        <row r="85">
          <cell r="A85" t="str">
            <v>STANDARD A RESIDENTIAL ROAD/RAIL</v>
          </cell>
          <cell r="I85" t="str">
            <v>Rate Rider for Disposition of Residual Historical Smart Meter Costs - effective until April 30, 2016</v>
          </cell>
        </row>
        <row r="86">
          <cell r="A86" t="str">
            <v>STANDBY - GENERAL SERVICE 1,000 - 5,000 KW</v>
          </cell>
          <cell r="I86" t="str">
            <v>Rate Rider for Disposition of Residual Historical Smart Meter Costs - effective until August 31, 2013</v>
          </cell>
        </row>
        <row r="87">
          <cell r="A87" t="str">
            <v>STANDBY - GENERAL SERVICE 50 - 1,000 KW</v>
          </cell>
          <cell r="I87" t="str">
            <v>Rate Rider for Disposition of Residual Historical Smart Meter Costs - effective until August 31, 2015</v>
          </cell>
        </row>
        <row r="88">
          <cell r="A88" t="str">
            <v>STANDBY - LARGE USE</v>
          </cell>
          <cell r="I88" t="str">
            <v>Rate Rider for Disposition of Residual Historical Smart Meter Costs - effective until December 31, 2013</v>
          </cell>
        </row>
        <row r="89">
          <cell r="A89" t="str">
            <v>STANDBY DISTRIBUTION SERVICE</v>
          </cell>
          <cell r="I89" t="str">
            <v>Rate Rider for Disposition of Residual Historical Smart Meter Costs - effective until December 31, 2014</v>
          </cell>
        </row>
        <row r="90">
          <cell r="A90" t="str">
            <v>STANDBY POWER - APPROVED ON AN INTERIM BASIS</v>
          </cell>
          <cell r="I90" t="str">
            <v>Rate Rider for Disposition of Residual Historical Smart Meter Costs - effective until December 31, 2015</v>
          </cell>
        </row>
        <row r="91">
          <cell r="A91" t="str">
            <v>STANDBY POWER GENERAL SERVICE 1,500 TO 4,999 KW</v>
          </cell>
          <cell r="I91" t="str">
            <v>Rate Rider for Disposition of Residual Historical Smart Meter Costs - effective until March 31, 2013</v>
          </cell>
        </row>
        <row r="92">
          <cell r="A92" t="str">
            <v>STANDBY POWER GENERAL SERVICE 50 TO 1,499 KW</v>
          </cell>
          <cell r="I92" t="str">
            <v>Rate Rider for Disposition of Residual Historical Smart Meter Costs - effective until November 30, 2013</v>
          </cell>
        </row>
        <row r="93">
          <cell r="A93" t="str">
            <v>STANDBY POWER GENERAL SERVICE LARGE USE</v>
          </cell>
          <cell r="I93" t="str">
            <v>Rate Rider for Disposition of Residual Historical Smart Meter Costs - effective until October 31, 2013</v>
          </cell>
        </row>
        <row r="94">
          <cell r="A94" t="str">
            <v>STANDBY POWER</v>
          </cell>
          <cell r="I94" t="str">
            <v>Rate Rider for Disposition of Residual Historical Smart Meter Costs - effective until September 30, 2014</v>
          </cell>
        </row>
        <row r="95">
          <cell r="A95" t="str">
            <v>STREET LIGHTING</v>
          </cell>
          <cell r="I95" t="str">
            <v>Rate Rider for Disposition of Residual Historical Smart Meter Costs - Non-Interval Metered 
 - effective until April 30, 2014</v>
          </cell>
        </row>
        <row r="96">
          <cell r="A96" t="str">
            <v>SUB TRANSMISSION [ST]</v>
          </cell>
          <cell r="I96" t="str">
            <v>Rate Rider for Disposition of Residual Historical Smart Meter Costs 2 - in effect until the effective 
 date of the next cost of service-based rate order</v>
          </cell>
        </row>
        <row r="97">
          <cell r="A97" t="str">
            <v>UNMETERED SCATTERED LOAD</v>
          </cell>
          <cell r="I97" t="str">
            <v>Rate Rider for Disposition of Residual Historical Smart Meter Costs 3 - in effect until the effective 
 date of the next cost of service-based rate order</v>
          </cell>
        </row>
        <row r="98">
          <cell r="A98" t="str">
            <v>URBAN GENERAL SERVICE DEMAND BILLED (50 KW AND ABOVE) [UGD]</v>
          </cell>
          <cell r="I98" t="str">
            <v>Rate Rider for Disposition of Residual Incremental Historical Smart Meter Costs - 
 effective until August 31, 2015</v>
          </cell>
        </row>
        <row r="99">
          <cell r="A99" t="str">
            <v>URBAN GENERAL SERVICE ENERGY BILLED (LESS THAN 50 KW) [UGE]</v>
          </cell>
          <cell r="I99" t="str">
            <v>Rate Rider for Disposition of Stranded Meter Costs - effective until April 30, 2016</v>
          </cell>
        </row>
        <row r="100">
          <cell r="A100" t="str">
            <v>WESTPORT SEWAGE TREATMENT PLANT</v>
          </cell>
          <cell r="I100" t="str">
            <v>Rate Rider for Global Adjustment Sub Account Disposition - effective until April 30, 2016 Applicable only for Non RPP Customers</v>
          </cell>
        </row>
        <row r="101">
          <cell r="A101" t="str">
            <v>YEAR-ROUND RESIDENTIAL - R2</v>
          </cell>
          <cell r="I101" t="str">
            <v>Rate Rider for Incremental Capital (2012) - effective until April 30, 2015</v>
          </cell>
        </row>
        <row r="102">
          <cell r="I102" t="str">
            <v>Rate Rider for Lost Revenue Adjustment (LRAM) Recovery/Shared Savings Mechanism Recovery 
 (2011) - effective until April 30, 2014</v>
          </cell>
        </row>
        <row r="103">
          <cell r="I103" t="str">
            <v>Rate Rider for Lost Revenue Adjustment Mechanism Variance Account (LRAMVA) (2011) – effective until April 30, 2014</v>
          </cell>
        </row>
        <row r="104">
          <cell r="I104" t="str">
            <v>Rate Rider for Lost Revenue Adjustment Mechanism Variance Account (LRAMVA) Recovery 
 (2011 CDM Activities) - effective until April 30, 2014</v>
          </cell>
        </row>
        <row r="105">
          <cell r="I105" t="str">
            <v>Rate Rider for Recover of Residual Historical Smart Meter Costs - effective until June 30, 2014</v>
          </cell>
        </row>
        <row r="106">
          <cell r="I106" t="str">
            <v>Rate Rider for Recovery of Deferred Revenue - effective until December 31, 2013</v>
          </cell>
        </row>
        <row r="107">
          <cell r="I107" t="str">
            <v>Rate Rider for Recovery of Forgone Revenue - effective until April 30, 2014</v>
          </cell>
        </row>
        <row r="108">
          <cell r="I108" t="str">
            <v>Rate Rider for Recovery of Green Energy Act related costs - effective until December 31, 2013</v>
          </cell>
        </row>
        <row r="109">
          <cell r="I109" t="str">
            <v>Rate Rider for Recovery of Incremental Capital (2013) - in effect until the effective date of the
 next cost of service-based rate order</v>
          </cell>
        </row>
        <row r="110">
          <cell r="I110" t="str">
            <v>Rate Rider for Recovery of Incremental Capital (2013) (per connection) - in effect until the effective date of 
 the next cost of service-based rate order</v>
          </cell>
        </row>
        <row r="111">
          <cell r="I111" t="str">
            <v>Rate Rider for Recovery of Incremental Capital Costs</v>
          </cell>
        </row>
        <row r="112">
          <cell r="I112" t="str">
            <v>Rate Rider for Recovery of Incremental Capital Costs - effective until April 30, 2014</v>
          </cell>
        </row>
        <row r="113">
          <cell r="I113" t="str">
            <v>Rate Rider for Recovery of Incremental Capital Costs - effective until April 30, 2015</v>
          </cell>
        </row>
        <row r="114">
          <cell r="I114" t="str">
            <v>Rate Rider for Recovery of Lost Revenue Adjustment Mechanism (LRAM) - effective until April 30, 2014</v>
          </cell>
        </row>
        <row r="115">
          <cell r="I115" t="str">
            <v>Rate Rider for Recovery of Lost Revenue Adjustment Mechanism (LRAM) - effective until April 30, 2016</v>
          </cell>
        </row>
        <row r="116">
          <cell r="I116" t="str">
            <v>Rate Rider for Recovery of Lost Revenue Adjustment Mechanism (LRAM) - effective until August 31, 2013</v>
          </cell>
        </row>
        <row r="117">
          <cell r="I117" t="str">
            <v>Rate Rider for Recovery of Lost Revenue Adjustment Mechanism (LRAM) - effective until December 31, 2013</v>
          </cell>
        </row>
        <row r="118">
          <cell r="I118" t="str">
            <v>Rate Rider for Recovery of Lost Revenue Adjustment Mechanism (LRAM) - effective until June 30, 2013</v>
          </cell>
        </row>
        <row r="119">
          <cell r="I119" t="str">
            <v>Rate Rider for Recovery of Lost Revenue Adjustment Mechanism (LRAM) - effective until November 30, 2013</v>
          </cell>
        </row>
        <row r="120">
          <cell r="I120" t="str">
            <v>Rate Rider for Recovery of Lost Revenue Adjustment Mechanism (LRAM) (2012) - effective until April 30, 2014</v>
          </cell>
        </row>
        <row r="121">
          <cell r="I121" t="str">
            <v>Rate Rider for Recovery of Lost Revenue Adjustment Mechanism (LRAM) (2012) - effective until February 28, 2013</v>
          </cell>
        </row>
        <row r="122">
          <cell r="I122" t="str">
            <v>Rate Rider for Recovery of Lost Revenue Adjustment Mechanism (LRAM) (2013) - effective until December 31, 2013</v>
          </cell>
        </row>
        <row r="123">
          <cell r="I123" t="str">
            <v>Rate Rider for Recovery of Lost Revenue Adjustment Mechanism (LRAM) (pre-2011 CDM Activities) - effective until April 30, 2014</v>
          </cell>
        </row>
        <row r="124">
          <cell r="I124" t="str">
            <v>Rate Rider for Recovery of Lost Revenue Adjustment Mechanism (LRAM)/Shared Savings</v>
          </cell>
        </row>
        <row r="125">
          <cell r="I125" t="str">
            <v>Rate Rider for Recovery of Lost Revenue Adjustment Mechanism (LRAM)/Shared Savings Mechanism (SSM) - effective until April 30, 2014</v>
          </cell>
        </row>
        <row r="126">
          <cell r="I126" t="str">
            <v>Rate Rider for Recovery of Lost Revenue Adjustment Mechanism (LRAM)/Shared Savings Mechanism (SSM) - effective until December 31, 2014 and applicable in the service area excluding the former service area of Clinton Power</v>
          </cell>
        </row>
        <row r="127">
          <cell r="I127" t="str">
            <v>Rate Rider for Recovery of Lost Revenue Adjustment Mechanism (LRAM)/Shared Savings Mechanism (SSM) - effective until December 31, 2014 and applicable in the service area excluding the former service areas of Clinton Power and West Perth Power</v>
          </cell>
        </row>
        <row r="128">
          <cell r="I128" t="str">
            <v>Rate Rider for Recovery of Lost Revenue Adjustment Mechanism (LRAM)/Shared Savings Mechanism (SSM) - effective until December 31, 2014 and applicable only in the former service area of Clinton Power</v>
          </cell>
        </row>
        <row r="129">
          <cell r="I129" t="str">
            <v>Rate Rider for Recovery of Lost Revenue Adjustment Mechanism (LRAM)/Shared Savings Mechanism (SSM) - effective until December 31, 2014 and applicable only in the former service area of West Perth Power</v>
          </cell>
        </row>
        <row r="130">
          <cell r="I130" t="str">
            <v>Rate Rider for Recovery of Lost Revenue Adjustment Mechanism (LRAM)/Shared Savings Mechanism (SSM) - effective until March 31, 2016</v>
          </cell>
        </row>
        <row r="131">
          <cell r="I131" t="str">
            <v>Rate Rider for Recovery of Lost Revenue Adjustment Mechanism (LRAM)/Shared Savings Mechanism (SSM) Recovery - effective until April 30, 2014</v>
          </cell>
        </row>
        <row r="132">
          <cell r="I132" t="str">
            <v>Rate Rider for Recovery of Lost Revenue Adjustment Mechanism (LRAM)/Shared Savings Mechanism (SSM) Recovery - effective until April 30, 2015</v>
          </cell>
        </row>
        <row r="133">
          <cell r="I133" t="str">
            <v>Rate Rider for Recovery of Lost Revenue Adjustment Mechanism (LRAM)/Shared Savings Mechanism (SSM) Recovery (2010) - effective until April 30, 2014</v>
          </cell>
        </row>
        <row r="134">
          <cell r="I134" t="str">
            <v>Rate Rider for Recovery of Lost Revenue Adjustment Mechanism (LRAM)/Shared Savings Mechanism (SSM) Recovery (2012) - effective until April 30, 2014</v>
          </cell>
        </row>
        <row r="135">
          <cell r="I135" t="str">
            <v>Rate Rider for Recovery of Lost Revenue Adjustment Mechanism (LRAM)/Shared Savings Mechanism (SSM) Recovery (2012) - effective until October 31, 2013</v>
          </cell>
        </row>
        <row r="136">
          <cell r="I136" t="str">
            <v>Rate Rider for Recovery of Residual Historical Smart Meter Costs - effective July 1, 2012 - April 30, 2016</v>
          </cell>
        </row>
        <row r="137">
          <cell r="I137" t="str">
            <v>Rate Rider for Recovery of Smart Meter Incremental Revenue Requirement - effective until the date of the next cost of service-based rate order</v>
          </cell>
        </row>
        <row r="138">
          <cell r="I138" t="str">
            <v>Rate Rider for Recovery of Smart Meter Incremental Revenue Requirement - in effect until the effective date of the next cost of service-based rate order</v>
          </cell>
        </row>
        <row r="139">
          <cell r="I139" t="str">
            <v>Rate Rider for Recovery of Smart Meter Incremental Revenue Requirement - Non-Interval Metered - in effect until the effective date of the next cost of service-based rate order</v>
          </cell>
        </row>
        <row r="140">
          <cell r="I140" t="str">
            <v>Rate Rider for Recovery of Smart Meter Incremental Revenue Requirements - in effect until the effective date of the next cost of service application</v>
          </cell>
        </row>
        <row r="141">
          <cell r="I141" t="str">
            <v>Rate Rider for Recovery of Smart Meter Stranded Assets - effective until April 30, 2016</v>
          </cell>
        </row>
        <row r="142">
          <cell r="I142" t="str">
            <v>Rate Rider for Recovery of Stranded Assets - effective until April 30, 2016</v>
          </cell>
        </row>
        <row r="143">
          <cell r="I143" t="str">
            <v>Rate Rider for Recovery of Stranded Meter Assets - effective July 1, 2012 - April 30, 2016</v>
          </cell>
        </row>
        <row r="144">
          <cell r="I144" t="str">
            <v>Rate Rider for Recovery of Stranded Meter Assets - effective until April 30, 2014</v>
          </cell>
        </row>
        <row r="145">
          <cell r="I145" t="str">
            <v>Rate Rider for Recovery of Stranded Meter Assets – effective until April 30, 2015</v>
          </cell>
        </row>
        <row r="146">
          <cell r="I146" t="str">
            <v>Rate Rider for Recovery of Stranded Meter Assets - effective until April 30, 2016</v>
          </cell>
        </row>
        <row r="147">
          <cell r="I147" t="str">
            <v>Rate Rider for Recovery of Stranded Meter Assets - effective until August 31, 2013</v>
          </cell>
        </row>
        <row r="148">
          <cell r="I148" t="str">
            <v>Rate Rider for Recovery of Stranded Meter Assets - effective until August 31, 2015</v>
          </cell>
        </row>
        <row r="149">
          <cell r="I149" t="str">
            <v>Rate Rider for Recovery of Stranded Meter Assets - effective until December 31, 2014</v>
          </cell>
        </row>
        <row r="150">
          <cell r="I150" t="str">
            <v>Rate Rider for Recovery of Stranded Meter Assets - effective until December 31, 2015</v>
          </cell>
        </row>
        <row r="151">
          <cell r="I151" t="str">
            <v>Rate Rider for Recovery of Stranded Meter Assets - effective until June 30, 2016</v>
          </cell>
        </row>
        <row r="152">
          <cell r="I152" t="str">
            <v>Rate Rider for Recovery of Stranded Meter Assets - effective until March 31, 2016</v>
          </cell>
        </row>
        <row r="153">
          <cell r="I153" t="str">
            <v>Rate Rider for Recovery of Stranded Meter Assets - effective until November 30, 2013</v>
          </cell>
        </row>
        <row r="154">
          <cell r="I154" t="str">
            <v>Rate Rider for Reversal of Deferral/Variance Account Disposition (2011) - effective until April 30, 2015</v>
          </cell>
        </row>
        <row r="155">
          <cell r="I155" t="str">
            <v>Rate Rider for Smart Meter Disposition - effective until October 31, 2013</v>
          </cell>
        </row>
        <row r="156">
          <cell r="I156" t="str">
            <v>Rate Rider for Smart Meter Incremental Revenue Requirement - in effect until the effective date of the next cost of service-based rate order</v>
          </cell>
        </row>
        <row r="157">
          <cell r="I157" t="str">
            <v>Rate Rider for Smart Metering Entity Charge - effective until October 31, 2018</v>
          </cell>
        </row>
        <row r="158">
          <cell r="I158" t="str">
            <v>Rate Rider for the disposition of Deferral/Variance Accounts Disposition (2013) - effective on an interim basis until April 30, 2014</v>
          </cell>
        </row>
        <row r="159">
          <cell r="I159" t="str">
            <v>Rate Rider for the disposition of Global Adjustment Sub-Account Disposition (2013) - effective on an interim basis until April 30, 2014 Applicable only for Non-RPP Customers</v>
          </cell>
        </row>
        <row r="160">
          <cell r="I160" t="str">
            <v>Retail Transmission Rate - Line and Transformation Connection Service Rate</v>
          </cell>
        </row>
        <row r="161">
          <cell r="I161" t="str">
            <v>Retail Transmission Rate - Line and Transformation Connection Service Rate - (less than 1,000 kW)</v>
          </cell>
        </row>
        <row r="162">
          <cell r="I162" t="str">
            <v>Retail Transmission Rate - Line and Transformation Connection Service Rate - Interval Metered</v>
          </cell>
        </row>
        <row r="163">
          <cell r="I163" t="str">
            <v>Retail Transmission Rate - Line and Transformation Connection Service Rate - Interval Metered (1,000 to 4,999 kW)</v>
          </cell>
        </row>
        <row r="164">
          <cell r="I164" t="str">
            <v>Retail Transmission Rate - Line and Transformation Connection Service Rate - Interval Metered (less than 1,000 kW)</v>
          </cell>
        </row>
        <row r="165">
          <cell r="I165" t="str">
            <v>Retail Transmission Rate - Line and Transformation Connection Service Rate - Interval Metered &lt; 1,000 kW</v>
          </cell>
        </row>
        <row r="166">
          <cell r="I166" t="str">
            <v>Retail Transmission Rate - Line and Transformation Connection Service Rate - Interval Metered &gt; 1,000 kW</v>
          </cell>
        </row>
        <row r="167">
          <cell r="I167" t="str">
            <v>Retail Transmission Rate - Line and Transformation Connection Service Rate FOR ALL SERVICE AREAS EXCEPT HENSALL</v>
          </cell>
        </row>
        <row r="168">
          <cell r="I168" t="str">
            <v>Retail Transmission Rate - Line Connection Service Rate</v>
          </cell>
        </row>
        <row r="169">
          <cell r="I169" t="str">
            <v>Retail Transmission Rate - Network Service Rate</v>
          </cell>
        </row>
        <row r="170">
          <cell r="I170" t="str">
            <v>Retail Transmission Rate - Network Service Rate - (less than 1,000 kW)</v>
          </cell>
        </row>
        <row r="171">
          <cell r="I171" t="str">
            <v>Retail Transmission Rate - Network Service Rate - Interval Metered</v>
          </cell>
        </row>
        <row r="172">
          <cell r="I172" t="str">
            <v>Retail Transmission Rate - Network Service Rate - Interval Metered (1,000 to 4,999 kW)</v>
          </cell>
        </row>
        <row r="173">
          <cell r="I173" t="str">
            <v>Retail Transmission Rate - Network Service Rate - Interval Metered (less than 1,000 kW)</v>
          </cell>
        </row>
        <row r="174">
          <cell r="I174" t="str">
            <v>Retail Transmission Rate - Network Service Rate - Interval Metered &gt; 1,000 kW</v>
          </cell>
        </row>
        <row r="175">
          <cell r="I175" t="str">
            <v>Retail Transmission Rate - Transformation Connection Service Rate</v>
          </cell>
        </row>
        <row r="176">
          <cell r="I176" t="str">
            <v>Rider for Global Adjustment Sub-Account Disposition (2012) - effective until April 30, 2016 Applicable only for Non-RPP Customers</v>
          </cell>
        </row>
        <row r="177">
          <cell r="I177" t="str">
            <v>Rural Rate Protection Charge</v>
          </cell>
        </row>
        <row r="178">
          <cell r="I178" t="str">
            <v>Sentinel lights (dusk-to-dawn) connected to unmetered wires will have a flat rate monthly energy charge added to the regular customer bill. Further servicing details are available in the distributor’s Conditions of Service.</v>
          </cell>
        </row>
        <row r="179">
          <cell r="I179" t="str">
            <v>Service Charge</v>
          </cell>
        </row>
        <row r="180">
          <cell r="I180" t="str">
            <v>Service Charge (per connection)</v>
          </cell>
        </row>
        <row r="181">
          <cell r="I181" t="str">
            <v>Service Charge (per customer)</v>
          </cell>
        </row>
        <row r="182">
          <cell r="I182" t="str">
            <v>Standard Supply Service - Administrative Charge (if applicable)</v>
          </cell>
        </row>
        <row r="183">
          <cell r="I183" t="str">
            <v>Standby Charge - for a month where standby power is not provided. The charge is applied to the amount of reserved load transfer capacity contracted or the amount of monthly peak load displaced by a generating facility</v>
          </cell>
        </row>
        <row r="184">
          <cell r="I184" t="str">
            <v>Standby Charge - for a month where standby power is not provided. The charge is applied to the contracted amount (e.g. nameplate rating of the generation facility).</v>
          </cell>
        </row>
        <row r="185">
          <cell r="I185" t="str">
            <v>Wholesale Market Service Rate</v>
          </cell>
        </row>
      </sheetData>
      <sheetData sheetId="72" refreshError="1"/>
      <sheetData sheetId="7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App.2-A_Capital Projects"/>
      <sheetName val="App.2-B_Fixed Asset Continuity"/>
      <sheetName val="App.2-C_Other_Oper_Rev"/>
      <sheetName val="App.2-D_Detailed_OM&amp;A_Expenses"/>
      <sheetName val="App.2-E_OM&amp;A_Detailed_Analysis"/>
      <sheetName val="App.2-F_OM&amp;A_Summary_Analysis"/>
      <sheetName val="App.2-G_OM&amp;A_Cost _Drivers"/>
      <sheetName val="App.2-H_OM&amp;A_per_Cust_FTEE"/>
      <sheetName val="App.2-I Employee Costs"/>
      <sheetName val="App.2-J_Regulatory_Costs"/>
      <sheetName val="App.2-K_Corp_Cost_Allocation"/>
      <sheetName val="App.2-L_Depreciation Expense"/>
      <sheetName val="App.2-M Capital Structure"/>
      <sheetName val="App.2-N_Cost_Allocation"/>
      <sheetName val="App.2-O_Cost of Serv. Emb. Dx"/>
      <sheetName val="App.2-P_Loss Factors"/>
      <sheetName val="App.2-Q_Stranded Meters"/>
      <sheetName val="App.2-S_1592_Defer_PILs"/>
      <sheetName val="App.2-T_Rev_Reconciliation"/>
      <sheetName val="App.2-U Bill Impacts"/>
      <sheetName val="App.2-V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Halton Hills Hydro Inc.</v>
          </cell>
        </row>
        <row r="31">
          <cell r="AA31" t="str">
            <v>Hearst Power Distribution Co. Ltd.</v>
          </cell>
        </row>
        <row r="32">
          <cell r="AA32" t="str">
            <v>Horizon Utilities Corporation</v>
          </cell>
        </row>
        <row r="33">
          <cell r="AA33" t="str">
            <v>Hydro 2000 Inc.</v>
          </cell>
        </row>
        <row r="34">
          <cell r="AA34" t="str">
            <v>Hydro Hawkesbury Inc.</v>
          </cell>
        </row>
        <row r="35">
          <cell r="AA35" t="str">
            <v>Hydro One Brampton Networks Inc.</v>
          </cell>
        </row>
        <row r="36">
          <cell r="AA36" t="str">
            <v>Hydro One Networks Inc.</v>
          </cell>
        </row>
        <row r="37">
          <cell r="AA37" t="str">
            <v>Hydro One Remote Communities Inc.</v>
          </cell>
        </row>
        <row r="38">
          <cell r="AA38" t="str">
            <v>Hydro Ottawa Limited</v>
          </cell>
        </row>
        <row r="39">
          <cell r="AA39" t="str">
            <v>Innisfil Hydro Dist. Systems Limited</v>
          </cell>
        </row>
        <row r="40">
          <cell r="AA40" t="str">
            <v>Kashechewan Power Corporation</v>
          </cell>
        </row>
        <row r="41">
          <cell r="AA41" t="str">
            <v>Kenora Hydro Electric Corporation Ltd.</v>
          </cell>
        </row>
        <row r="42">
          <cell r="AA42" t="str">
            <v>Kingston Hydro Corporation</v>
          </cell>
        </row>
        <row r="43">
          <cell r="AA43" t="str">
            <v>Kitchener-Wilmot Hydro Inc.</v>
          </cell>
        </row>
        <row r="44">
          <cell r="AA44" t="str">
            <v>Lakefront Utilities Inc.</v>
          </cell>
        </row>
        <row r="45">
          <cell r="AA45" t="str">
            <v>Lakeland Power Distribution Ltd.</v>
          </cell>
        </row>
        <row r="46">
          <cell r="AA46" t="str">
            <v>London Hydro Inc.</v>
          </cell>
        </row>
        <row r="47">
          <cell r="AA47" t="str">
            <v>Midland Power Utility Corporation</v>
          </cell>
        </row>
        <row r="48">
          <cell r="AA48" t="str">
            <v>Milton Hydro Distribution Inc.</v>
          </cell>
        </row>
        <row r="49">
          <cell r="AA49" t="str">
            <v>Newmarket – Tay Power Distribution Ltd.</v>
          </cell>
        </row>
        <row r="50">
          <cell r="AA50" t="str">
            <v>Niagara Peninsula Energy Inc.</v>
          </cell>
        </row>
        <row r="51">
          <cell r="AA51" t="str">
            <v>Niagara-on-the-Lake Hydro Inc.</v>
          </cell>
        </row>
        <row r="52">
          <cell r="AA52" t="str">
            <v>Norfolk Power Distribution Ltd.</v>
          </cell>
        </row>
        <row r="53">
          <cell r="AA53" t="str">
            <v>North Bay Hydro Distribution Limited</v>
          </cell>
        </row>
        <row r="54">
          <cell r="AA54" t="str">
            <v>Northern Ontario Wires Inc.</v>
          </cell>
        </row>
        <row r="55">
          <cell r="AA55" t="str">
            <v>Oakville Hydro Distribution Inc.</v>
          </cell>
        </row>
        <row r="56">
          <cell r="AA56" t="str">
            <v>Orangeville Hydro Limited</v>
          </cell>
        </row>
        <row r="57">
          <cell r="AA57" t="str">
            <v>Orillia Power Distribution Corp.</v>
          </cell>
        </row>
        <row r="58">
          <cell r="AA58" t="str">
            <v>Oshawa PUC Networks Inc.</v>
          </cell>
        </row>
        <row r="59">
          <cell r="AA59" t="str">
            <v>Ottawa River Power Corporation</v>
          </cell>
        </row>
        <row r="60">
          <cell r="AA60" t="str">
            <v>Parry Sound Power Corporation</v>
          </cell>
        </row>
        <row r="61">
          <cell r="AA61" t="str">
            <v>Peterborough Distribution Inc.</v>
          </cell>
        </row>
        <row r="62">
          <cell r="AA62" t="str">
            <v>PowerStream Inc.</v>
          </cell>
        </row>
        <row r="63">
          <cell r="AA63" t="str">
            <v>PUC Distribution Inc.</v>
          </cell>
        </row>
        <row r="64">
          <cell r="AA64" t="str">
            <v>Renfrew Hydro Inc.</v>
          </cell>
        </row>
        <row r="65">
          <cell r="AA65" t="str">
            <v>Rideau St. Lawrence Distribution Inc.</v>
          </cell>
        </row>
        <row r="66">
          <cell r="AA66" t="str">
            <v>St. Thomas Energy Inc.</v>
          </cell>
        </row>
        <row r="67">
          <cell r="AA67" t="str">
            <v>Sioux Lookout Hydro Inc.</v>
          </cell>
        </row>
        <row r="68">
          <cell r="AA68" t="str">
            <v>Thunder Bay Hydro Electricity Distribution</v>
          </cell>
        </row>
        <row r="69">
          <cell r="AA69" t="str">
            <v>Tillsonburg Hydro Inc.</v>
          </cell>
        </row>
        <row r="70">
          <cell r="AA70" t="str">
            <v>Toronto Hydro-Electric System Limited</v>
          </cell>
        </row>
        <row r="71">
          <cell r="AA71" t="str">
            <v>Veridian Connections Inc.</v>
          </cell>
        </row>
        <row r="72">
          <cell r="AA72" t="str">
            <v>Wasaga Distribution Inc.</v>
          </cell>
        </row>
        <row r="73">
          <cell r="AA73" t="str">
            <v>Waterloo North Hydro Inc.</v>
          </cell>
        </row>
        <row r="74">
          <cell r="AA74" t="str">
            <v>Welland Hydro Electric System Corp.</v>
          </cell>
        </row>
        <row r="75">
          <cell r="AA75" t="str">
            <v>Wellington North Power Inc.</v>
          </cell>
        </row>
        <row r="76">
          <cell r="AA76" t="str">
            <v>West Coast Huron Energy Inc.</v>
          </cell>
        </row>
        <row r="77">
          <cell r="AA77" t="str">
            <v>Westario Power Inc.</v>
          </cell>
        </row>
        <row r="78">
          <cell r="AA78" t="str">
            <v>Whitby Hydro Electric Corporation</v>
          </cell>
        </row>
        <row r="79">
          <cell r="AA79"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13.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1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11.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12.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4.emf"/><Relationship Id="rId4" Type="http://schemas.openxmlformats.org/officeDocument/2006/relationships/oleObject" Target="../embeddings/oleObject1.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sheetPr>
  <dimension ref="A3:AA77"/>
  <sheetViews>
    <sheetView showGridLines="0" tabSelected="1" zoomScaleNormal="100" workbookViewId="0">
      <selection activeCell="E16" sqref="E16:I16"/>
    </sheetView>
  </sheetViews>
  <sheetFormatPr defaultRowHeight="12.75" x14ac:dyDescent="0.2"/>
  <cols>
    <col min="3" max="3" width="13.5703125" customWidth="1"/>
    <col min="4" max="4" width="18.7109375" customWidth="1"/>
    <col min="5" max="5" width="14.28515625" bestFit="1" customWidth="1"/>
    <col min="13" max="13" width="3.7109375" customWidth="1"/>
    <col min="14" max="14" width="4.42578125" customWidth="1"/>
    <col min="26" max="31" width="9.140625" customWidth="1"/>
  </cols>
  <sheetData>
    <row r="3" spans="4:27" x14ac:dyDescent="0.2">
      <c r="Z3" s="1247">
        <v>1</v>
      </c>
      <c r="AA3" s="16" t="s">
        <v>319</v>
      </c>
    </row>
    <row r="4" spans="4:27" x14ac:dyDescent="0.2">
      <c r="Z4" s="1247">
        <v>2</v>
      </c>
      <c r="AA4" s="16" t="s">
        <v>320</v>
      </c>
    </row>
    <row r="5" spans="4:27" x14ac:dyDescent="0.2">
      <c r="Z5" s="1247">
        <v>3</v>
      </c>
      <c r="AA5" s="16" t="s">
        <v>321</v>
      </c>
    </row>
    <row r="6" spans="4:27" x14ac:dyDescent="0.2">
      <c r="Z6" s="1247">
        <v>4</v>
      </c>
      <c r="AA6" s="16" t="s">
        <v>751</v>
      </c>
    </row>
    <row r="7" spans="4:27" x14ac:dyDescent="0.2">
      <c r="Z7" s="1247">
        <v>5</v>
      </c>
      <c r="AA7" s="16" t="s">
        <v>322</v>
      </c>
    </row>
    <row r="8" spans="4:27" x14ac:dyDescent="0.2">
      <c r="Z8" s="1247">
        <v>6</v>
      </c>
      <c r="AA8" s="16" t="s">
        <v>323</v>
      </c>
    </row>
    <row r="9" spans="4:27" x14ac:dyDescent="0.2">
      <c r="Z9" s="1247">
        <v>7</v>
      </c>
      <c r="AA9" s="16" t="s">
        <v>752</v>
      </c>
    </row>
    <row r="10" spans="4:27" x14ac:dyDescent="0.2">
      <c r="Z10" s="1247">
        <v>8</v>
      </c>
      <c r="AA10" s="16" t="s">
        <v>324</v>
      </c>
    </row>
    <row r="11" spans="4:27" x14ac:dyDescent="0.2">
      <c r="Z11" s="1247">
        <v>9</v>
      </c>
      <c r="AA11" s="16" t="s">
        <v>325</v>
      </c>
    </row>
    <row r="12" spans="4:27" x14ac:dyDescent="0.2">
      <c r="Z12" s="1247">
        <v>10</v>
      </c>
      <c r="AA12" s="16" t="s">
        <v>1025</v>
      </c>
    </row>
    <row r="13" spans="4:27" ht="13.5" thickBot="1" x14ac:dyDescent="0.25">
      <c r="L13" s="34"/>
      <c r="Z13" s="1247">
        <v>11</v>
      </c>
      <c r="AA13" s="16" t="s">
        <v>326</v>
      </c>
    </row>
    <row r="14" spans="4:27" ht="32.25" customHeight="1" thickTop="1" thickBot="1" x14ac:dyDescent="0.25">
      <c r="D14" s="20" t="s">
        <v>315</v>
      </c>
      <c r="E14" s="1533" t="s">
        <v>327</v>
      </c>
      <c r="F14" s="1534"/>
      <c r="G14" s="1534"/>
      <c r="H14" s="1534"/>
      <c r="I14" s="1534"/>
      <c r="J14" s="1534"/>
      <c r="K14" s="1535"/>
      <c r="Z14" s="1247">
        <v>12</v>
      </c>
      <c r="AA14" s="16" t="s">
        <v>327</v>
      </c>
    </row>
    <row r="15" spans="4:27" ht="13.5" thickBot="1" x14ac:dyDescent="0.25">
      <c r="D15" s="21"/>
      <c r="E15" s="4"/>
      <c r="F15" s="5"/>
      <c r="G15" s="4"/>
      <c r="H15" s="4"/>
      <c r="I15" s="4"/>
      <c r="J15" s="1"/>
      <c r="K15" s="1"/>
      <c r="Z15" s="1247">
        <v>13</v>
      </c>
      <c r="AA15" s="16" t="s">
        <v>1183</v>
      </c>
    </row>
    <row r="16" spans="4:27" ht="16.5" thickTop="1" thickBot="1" x14ac:dyDescent="0.25">
      <c r="D16" s="22" t="s">
        <v>316</v>
      </c>
      <c r="E16" s="1536" t="s">
        <v>1529</v>
      </c>
      <c r="F16" s="1537"/>
      <c r="G16" s="1537"/>
      <c r="H16" s="1537"/>
      <c r="I16" s="1538"/>
      <c r="J16" s="1"/>
      <c r="K16" s="1"/>
      <c r="Z16" s="1247">
        <v>14</v>
      </c>
      <c r="AA16" s="16" t="s">
        <v>328</v>
      </c>
    </row>
    <row r="17" spans="1:27" ht="13.5" thickBot="1" x14ac:dyDescent="0.25">
      <c r="D17" s="14"/>
      <c r="E17" s="1"/>
      <c r="F17" s="1"/>
      <c r="G17" s="1"/>
      <c r="H17" s="1"/>
      <c r="I17" s="1"/>
      <c r="J17" s="1"/>
      <c r="K17" s="1"/>
      <c r="Z17" s="1247">
        <v>15</v>
      </c>
      <c r="AA17" s="16" t="s">
        <v>329</v>
      </c>
    </row>
    <row r="18" spans="1:27" ht="16.5" thickTop="1" thickBot="1" x14ac:dyDescent="0.25">
      <c r="D18" s="22" t="s">
        <v>474</v>
      </c>
      <c r="E18" s="1530" t="s">
        <v>1296</v>
      </c>
      <c r="F18" s="1531"/>
      <c r="G18" s="1531"/>
      <c r="H18" s="1531"/>
      <c r="I18" s="1531"/>
      <c r="J18" s="1531"/>
      <c r="K18" s="1532"/>
      <c r="Z18" s="1247">
        <v>16</v>
      </c>
      <c r="AA18" s="16" t="s">
        <v>330</v>
      </c>
    </row>
    <row r="19" spans="1:27" ht="14.25" thickTop="1" thickBot="1" x14ac:dyDescent="0.25">
      <c r="D19" s="21"/>
      <c r="E19" s="4"/>
      <c r="F19" s="5"/>
      <c r="G19" s="4"/>
      <c r="H19" s="4"/>
      <c r="I19" s="4"/>
      <c r="J19" s="1"/>
      <c r="K19" s="1"/>
      <c r="Z19" s="1247">
        <v>17</v>
      </c>
      <c r="AA19" s="16" t="s">
        <v>753</v>
      </c>
    </row>
    <row r="20" spans="1:27" ht="16.5" thickTop="1" thickBot="1" x14ac:dyDescent="0.25">
      <c r="D20" s="20" t="s">
        <v>317</v>
      </c>
      <c r="E20" s="1539" t="s">
        <v>1297</v>
      </c>
      <c r="F20" s="1537"/>
      <c r="G20" s="1537"/>
      <c r="H20" s="1537"/>
      <c r="I20" s="1538"/>
      <c r="J20" s="1"/>
      <c r="K20" s="1"/>
      <c r="Z20" s="1247">
        <v>18</v>
      </c>
      <c r="AA20" s="16" t="s">
        <v>331</v>
      </c>
    </row>
    <row r="21" spans="1:27" ht="13.5" thickBot="1" x14ac:dyDescent="0.25">
      <c r="D21" s="21"/>
      <c r="E21" s="4"/>
      <c r="F21" s="5"/>
      <c r="G21" s="4"/>
      <c r="H21" s="4"/>
      <c r="I21" s="4"/>
      <c r="J21" s="1"/>
      <c r="K21" s="1"/>
      <c r="Z21" s="1247">
        <v>19</v>
      </c>
      <c r="AA21" s="16" t="s">
        <v>332</v>
      </c>
    </row>
    <row r="22" spans="1:27" ht="16.5" thickTop="1" thickBot="1" x14ac:dyDescent="0.25">
      <c r="D22" s="20" t="s">
        <v>318</v>
      </c>
      <c r="E22" s="39" t="s">
        <v>1298</v>
      </c>
      <c r="F22" s="40"/>
      <c r="G22" s="40"/>
      <c r="H22" s="40"/>
      <c r="I22" s="41"/>
      <c r="J22" s="1"/>
      <c r="K22" s="1"/>
      <c r="Z22" s="1247">
        <v>20</v>
      </c>
      <c r="AA22" s="16" t="s">
        <v>333</v>
      </c>
    </row>
    <row r="23" spans="1:27" ht="13.5" thickBot="1" x14ac:dyDescent="0.25">
      <c r="D23" s="21"/>
      <c r="E23" s="4"/>
      <c r="F23" s="5"/>
      <c r="G23" s="4"/>
      <c r="H23" s="4"/>
      <c r="I23" s="4"/>
      <c r="J23" s="1"/>
      <c r="K23" s="1"/>
      <c r="Z23" s="1247">
        <v>21</v>
      </c>
      <c r="AA23" s="16" t="s">
        <v>334</v>
      </c>
    </row>
    <row r="24" spans="1:27" ht="16.5" thickTop="1" thickBot="1" x14ac:dyDescent="0.25">
      <c r="D24" s="22" t="s">
        <v>314</v>
      </c>
      <c r="E24" s="1524">
        <v>2017</v>
      </c>
      <c r="F24" s="1525"/>
      <c r="G24" s="1526"/>
      <c r="H24" s="4"/>
      <c r="I24" s="4"/>
      <c r="J24" s="1"/>
      <c r="K24" s="1"/>
      <c r="Z24" s="1247">
        <v>22</v>
      </c>
      <c r="AA24" s="16" t="s">
        <v>335</v>
      </c>
    </row>
    <row r="25" spans="1:27" ht="13.5" thickBot="1" x14ac:dyDescent="0.25">
      <c r="D25" s="10"/>
      <c r="Z25" s="1247">
        <v>23</v>
      </c>
      <c r="AA25" s="16" t="s">
        <v>336</v>
      </c>
    </row>
    <row r="26" spans="1:27" ht="16.5" thickTop="1" thickBot="1" x14ac:dyDescent="0.25">
      <c r="D26" s="22" t="s">
        <v>313</v>
      </c>
      <c r="E26" s="1540">
        <f>IF(ISBLANK(E24), "", E24-1)</f>
        <v>2016</v>
      </c>
      <c r="F26" s="1541"/>
      <c r="G26" s="1542"/>
      <c r="Z26" s="1247">
        <v>24</v>
      </c>
      <c r="AA26" s="16" t="s">
        <v>337</v>
      </c>
    </row>
    <row r="27" spans="1:27" ht="13.5" thickBot="1" x14ac:dyDescent="0.25">
      <c r="D27" s="23"/>
      <c r="Z27" s="1247">
        <v>25</v>
      </c>
      <c r="AA27" s="16" t="s">
        <v>338</v>
      </c>
    </row>
    <row r="28" spans="1:27" ht="16.5" thickTop="1" thickBot="1" x14ac:dyDescent="0.25">
      <c r="D28" s="22" t="s">
        <v>312</v>
      </c>
      <c r="E28" s="1524">
        <v>2012</v>
      </c>
      <c r="F28" s="1525"/>
      <c r="G28" s="1526"/>
      <c r="Z28" s="1247">
        <v>26</v>
      </c>
      <c r="AA28" s="16" t="s">
        <v>339</v>
      </c>
    </row>
    <row r="29" spans="1:27" x14ac:dyDescent="0.2">
      <c r="Z29" s="1247">
        <v>27</v>
      </c>
      <c r="AA29" s="16" t="s">
        <v>340</v>
      </c>
    </row>
    <row r="30" spans="1:27" ht="14.25" customHeight="1" thickBot="1" x14ac:dyDescent="0.25">
      <c r="A30" s="1527" t="s">
        <v>487</v>
      </c>
      <c r="B30" s="1527"/>
      <c r="C30" s="1527"/>
      <c r="D30" s="1527"/>
      <c r="Z30" s="1247">
        <v>28</v>
      </c>
      <c r="AA30" s="16" t="s">
        <v>754</v>
      </c>
    </row>
    <row r="31" spans="1:27" ht="15.75" customHeight="1" thickTop="1" thickBot="1" x14ac:dyDescent="0.25">
      <c r="A31" s="1527"/>
      <c r="B31" s="1527"/>
      <c r="C31" s="1527"/>
      <c r="D31" s="1527"/>
      <c r="E31" s="1524" t="s">
        <v>105</v>
      </c>
      <c r="F31" s="1525"/>
      <c r="G31" s="1526"/>
      <c r="H31" s="38"/>
      <c r="I31" s="38"/>
      <c r="J31" s="38"/>
      <c r="Z31" s="1247">
        <v>29</v>
      </c>
      <c r="AA31" s="16" t="s">
        <v>341</v>
      </c>
    </row>
    <row r="32" spans="1:27" ht="15.75" customHeight="1" x14ac:dyDescent="0.2">
      <c r="A32" s="36"/>
      <c r="B32" s="36"/>
      <c r="C32" s="36"/>
      <c r="D32" s="36"/>
      <c r="Z32" s="1247">
        <v>30</v>
      </c>
      <c r="AA32" s="16" t="s">
        <v>342</v>
      </c>
    </row>
    <row r="33" spans="1:27" ht="30.75" customHeight="1" thickBot="1" x14ac:dyDescent="0.25">
      <c r="A33" s="1527" t="s">
        <v>1265</v>
      </c>
      <c r="B33" s="1527"/>
      <c r="C33" s="1527"/>
      <c r="D33" s="1527"/>
      <c r="Z33" s="1247">
        <v>31</v>
      </c>
      <c r="AA33" s="16" t="s">
        <v>343</v>
      </c>
    </row>
    <row r="34" spans="1:27" ht="15.75" customHeight="1" thickTop="1" thickBot="1" x14ac:dyDescent="0.25">
      <c r="A34" s="1527"/>
      <c r="B34" s="1527"/>
      <c r="C34" s="1527"/>
      <c r="D34" s="1527"/>
      <c r="E34" s="1524" t="s">
        <v>1299</v>
      </c>
      <c r="F34" s="1525"/>
      <c r="G34" s="1526"/>
      <c r="Z34" s="1247">
        <v>32</v>
      </c>
      <c r="AA34" s="16" t="s">
        <v>344</v>
      </c>
    </row>
    <row r="35" spans="1:27" ht="15.75" customHeight="1" x14ac:dyDescent="0.2">
      <c r="A35" s="42"/>
      <c r="B35" s="42"/>
      <c r="C35" s="42"/>
      <c r="D35" s="42"/>
      <c r="Z35" s="1247">
        <v>33</v>
      </c>
      <c r="AA35" s="16" t="s">
        <v>345</v>
      </c>
    </row>
    <row r="36" spans="1:27" ht="15.75" customHeight="1" thickBot="1" x14ac:dyDescent="0.25">
      <c r="A36" s="1527" t="s">
        <v>1266</v>
      </c>
      <c r="B36" s="1527"/>
      <c r="C36" s="1527"/>
      <c r="D36" s="1527"/>
      <c r="Z36" s="1247">
        <v>34</v>
      </c>
      <c r="AA36" s="16" t="s">
        <v>1184</v>
      </c>
    </row>
    <row r="37" spans="1:27" ht="15.75" customHeight="1" thickTop="1" thickBot="1" x14ac:dyDescent="0.25">
      <c r="A37" s="1527"/>
      <c r="B37" s="1527"/>
      <c r="C37" s="1527"/>
      <c r="D37" s="1527"/>
      <c r="E37" s="46">
        <v>36892</v>
      </c>
      <c r="F37" s="47">
        <v>2013</v>
      </c>
      <c r="Z37" s="1247">
        <v>35</v>
      </c>
      <c r="AA37" s="16" t="s">
        <v>346</v>
      </c>
    </row>
    <row r="38" spans="1:27" ht="30.75" customHeight="1" x14ac:dyDescent="0.2">
      <c r="A38" s="42"/>
      <c r="B38" s="42"/>
      <c r="C38" s="42"/>
      <c r="Z38" s="1247">
        <v>36</v>
      </c>
      <c r="AA38" s="16" t="s">
        <v>347</v>
      </c>
    </row>
    <row r="39" spans="1:27" ht="7.5" customHeight="1" thickBot="1" x14ac:dyDescent="0.25">
      <c r="A39" s="1527" t="s">
        <v>1267</v>
      </c>
      <c r="B39" s="1527"/>
      <c r="C39" s="1527"/>
      <c r="D39" s="1527"/>
      <c r="Z39" s="1247">
        <v>37</v>
      </c>
      <c r="AA39" s="16" t="s">
        <v>1026</v>
      </c>
    </row>
    <row r="40" spans="1:27" ht="26.25" customHeight="1" thickTop="1" thickBot="1" x14ac:dyDescent="0.25">
      <c r="A40" s="1527"/>
      <c r="B40" s="1527"/>
      <c r="C40" s="1527"/>
      <c r="D40" s="1527"/>
      <c r="E40" s="1524">
        <v>2015</v>
      </c>
      <c r="F40" s="1525"/>
      <c r="G40" s="1526"/>
      <c r="Z40" s="1247">
        <v>38</v>
      </c>
      <c r="AA40" s="16" t="s">
        <v>348</v>
      </c>
    </row>
    <row r="41" spans="1:27" ht="12.75" customHeight="1" x14ac:dyDescent="0.2">
      <c r="A41" s="36"/>
      <c r="B41" s="36"/>
      <c r="C41" s="36"/>
      <c r="D41" s="36"/>
      <c r="Z41" s="1247">
        <v>39</v>
      </c>
      <c r="AA41" s="16" t="s">
        <v>349</v>
      </c>
    </row>
    <row r="42" spans="1:27" ht="12.75" customHeight="1" x14ac:dyDescent="0.2">
      <c r="A42" s="37"/>
      <c r="B42" s="37"/>
      <c r="C42" s="37"/>
      <c r="D42" s="37"/>
      <c r="N42" s="13"/>
      <c r="Z42" s="1247">
        <v>40</v>
      </c>
      <c r="AA42" s="16" t="s">
        <v>350</v>
      </c>
    </row>
    <row r="43" spans="1:27" ht="21" customHeight="1" thickBot="1" x14ac:dyDescent="0.25">
      <c r="A43" s="1528" t="s">
        <v>488</v>
      </c>
      <c r="B43" s="1528"/>
      <c r="C43" s="1528"/>
      <c r="D43" s="1528"/>
      <c r="E43" s="1429"/>
      <c r="Z43" s="1247">
        <v>41</v>
      </c>
      <c r="AA43" s="16" t="s">
        <v>351</v>
      </c>
    </row>
    <row r="44" spans="1:27" ht="23.25" customHeight="1" thickTop="1" x14ac:dyDescent="0.2">
      <c r="A44" s="1528"/>
      <c r="B44" s="1528"/>
      <c r="C44" s="1528"/>
      <c r="D44" s="1529"/>
      <c r="E44" s="1428" t="s">
        <v>1299</v>
      </c>
      <c r="Z44" s="1247">
        <v>42</v>
      </c>
      <c r="AA44" s="16" t="s">
        <v>352</v>
      </c>
    </row>
    <row r="45" spans="1:27" ht="12.75" customHeight="1" thickBot="1" x14ac:dyDescent="0.25">
      <c r="B45" s="35"/>
      <c r="C45" s="35"/>
      <c r="D45" s="35"/>
      <c r="Z45" s="1247">
        <v>43</v>
      </c>
      <c r="AA45" s="16" t="s">
        <v>353</v>
      </c>
    </row>
    <row r="46" spans="1:27" ht="23.25" customHeight="1" thickTop="1" thickBot="1" x14ac:dyDescent="0.25">
      <c r="A46" s="1517" t="str">
        <f>"Is " &amp; E14 &amp; " an embedded distributor?"</f>
        <v>Is E.L.K. Energy Inc. an embedded distributor?</v>
      </c>
      <c r="B46" s="1517"/>
      <c r="C46" s="1517"/>
      <c r="D46" s="1518"/>
      <c r="E46" s="1095" t="s">
        <v>1299</v>
      </c>
      <c r="Z46" s="1247">
        <v>44</v>
      </c>
      <c r="AA46" s="16" t="s">
        <v>354</v>
      </c>
    </row>
    <row r="47" spans="1:27" ht="12.75" customHeight="1" x14ac:dyDescent="0.2">
      <c r="B47" s="35"/>
      <c r="C47" s="35"/>
      <c r="D47" s="35"/>
      <c r="Z47" s="1247">
        <v>45</v>
      </c>
      <c r="AA47" s="16" t="s">
        <v>355</v>
      </c>
    </row>
    <row r="48" spans="1:27" ht="12.75" customHeight="1" x14ac:dyDescent="0.2">
      <c r="B48" s="35"/>
      <c r="C48" s="35"/>
      <c r="D48" s="35"/>
      <c r="Z48" s="1247">
        <v>46</v>
      </c>
      <c r="AA48" s="16" t="s">
        <v>356</v>
      </c>
    </row>
    <row r="49" spans="2:27" x14ac:dyDescent="0.2">
      <c r="B49" s="6" t="s">
        <v>311</v>
      </c>
      <c r="Z49" s="1247">
        <v>47</v>
      </c>
      <c r="AA49" s="16" t="s">
        <v>1027</v>
      </c>
    </row>
    <row r="50" spans="2:27" ht="13.5" thickBot="1" x14ac:dyDescent="0.25">
      <c r="Z50" s="1247">
        <v>48</v>
      </c>
      <c r="AA50" s="16" t="s">
        <v>357</v>
      </c>
    </row>
    <row r="51" spans="2:27" ht="13.5" thickBot="1" x14ac:dyDescent="0.25">
      <c r="B51" s="17"/>
      <c r="C51" s="1519" t="s">
        <v>206</v>
      </c>
      <c r="D51" s="1519"/>
      <c r="E51" s="1519"/>
      <c r="F51" s="1519"/>
      <c r="G51" s="1519"/>
      <c r="H51" s="1519"/>
      <c r="I51" s="1519"/>
      <c r="J51" s="1519"/>
      <c r="K51" s="1519"/>
      <c r="L51" s="1519"/>
      <c r="Z51" s="1247">
        <v>49</v>
      </c>
      <c r="AA51" s="16" t="s">
        <v>358</v>
      </c>
    </row>
    <row r="52" spans="2:27" ht="13.5" thickBot="1" x14ac:dyDescent="0.25">
      <c r="Z52" s="1247">
        <v>50</v>
      </c>
      <c r="AA52" s="16" t="s">
        <v>359</v>
      </c>
    </row>
    <row r="53" spans="2:27" ht="13.5" thickBot="1" x14ac:dyDescent="0.25">
      <c r="B53" s="18"/>
      <c r="C53" s="1522" t="s">
        <v>380</v>
      </c>
      <c r="D53" s="1523"/>
      <c r="E53" s="1523"/>
      <c r="F53" s="1523"/>
      <c r="G53" s="1523"/>
      <c r="H53" s="1523"/>
      <c r="I53" s="1523"/>
      <c r="J53" s="1523"/>
      <c r="K53" s="1523"/>
      <c r="L53" s="1523"/>
      <c r="M53" s="1523"/>
      <c r="N53" s="1523"/>
      <c r="Z53" s="1247">
        <v>51</v>
      </c>
      <c r="AA53" s="16" t="s">
        <v>360</v>
      </c>
    </row>
    <row r="54" spans="2:27" ht="13.5" thickBot="1" x14ac:dyDescent="0.25">
      <c r="B54" s="9"/>
      <c r="Z54" s="1247">
        <v>52</v>
      </c>
      <c r="AA54" s="16" t="s">
        <v>755</v>
      </c>
    </row>
    <row r="55" spans="2:27" ht="13.5" customHeight="1" thickBot="1" x14ac:dyDescent="0.25">
      <c r="B55" s="7"/>
      <c r="C55" s="1520" t="s">
        <v>475</v>
      </c>
      <c r="D55" s="1521"/>
      <c r="E55" s="1521"/>
      <c r="F55" s="1521"/>
      <c r="G55" s="1521"/>
      <c r="H55" s="1521"/>
      <c r="I55" s="1521"/>
      <c r="J55" s="1521"/>
      <c r="K55" s="1521"/>
      <c r="L55" s="1521"/>
      <c r="M55" s="1521"/>
      <c r="N55" t="str">
        <f>IF(LEN($G55)&gt;1, (SUMPRODUCT(--($C$78:$C$1000=$C55),--($A$78:$A$1000=$D55), --($B$78:$B$1000=$B55&amp;"_TOTAL"), $L$78:$L$1000)), "")</f>
        <v/>
      </c>
      <c r="O55" t="str">
        <f>IF(LEN($G55)&gt;1, (SUMPRODUCT(--($C$78:$C$1000=$C55),--($A$78:$A$1000=$D55), --($B$78:$B$1000=$B55&amp;"_TOTAL"), $M$78:$M$1000)), "")</f>
        <v/>
      </c>
      <c r="Z55" s="1247">
        <v>53</v>
      </c>
      <c r="AA55" s="16" t="s">
        <v>361</v>
      </c>
    </row>
    <row r="56" spans="2:27" x14ac:dyDescent="0.2">
      <c r="H56" s="1409"/>
      <c r="I56" s="1409"/>
      <c r="J56" s="1409"/>
      <c r="K56" s="1409"/>
      <c r="L56" s="1409"/>
      <c r="M56" s="1409"/>
      <c r="N56" t="str">
        <f t="shared" ref="N56:N74" si="0">IF(LEN($G56)&gt;1, (SUMPRODUCT(--($C$78:$C$1000=$C56),--($A$78:$A$1000=$D56), --($B$78:$B$1000=$B56&amp;"_TOTAL"), $L$78:$L$1000)), "")</f>
        <v/>
      </c>
      <c r="O56" t="str">
        <f t="shared" ref="O56:O74" si="1">IF(LEN($G56)&gt;1, (SUMPRODUCT(--($C$78:$C$1000=$C56),--($A$78:$A$1000=$D56), --($B$78:$B$1000=$B56&amp;"_TOTAL"), $M$78:$M$1000)), "")</f>
        <v/>
      </c>
      <c r="Z56" s="1247">
        <v>54</v>
      </c>
      <c r="AA56" s="16" t="s">
        <v>756</v>
      </c>
    </row>
    <row r="57" spans="2:27" x14ac:dyDescent="0.2">
      <c r="H57" s="1409"/>
      <c r="I57" s="1409"/>
      <c r="J57" s="1409"/>
      <c r="K57" s="1409"/>
      <c r="L57" s="1409"/>
      <c r="M57" s="1409"/>
      <c r="N57" t="str">
        <f t="shared" si="0"/>
        <v/>
      </c>
      <c r="O57" t="str">
        <f t="shared" si="1"/>
        <v/>
      </c>
      <c r="Z57" s="1247">
        <v>55</v>
      </c>
      <c r="AA57" s="16" t="s">
        <v>362</v>
      </c>
    </row>
    <row r="58" spans="2:27" x14ac:dyDescent="0.2">
      <c r="H58" s="1409"/>
      <c r="I58" s="1409"/>
      <c r="J58" s="1409"/>
      <c r="K58" s="1409"/>
      <c r="L58" s="1409"/>
      <c r="M58" s="1409"/>
      <c r="N58" t="str">
        <f t="shared" si="0"/>
        <v/>
      </c>
      <c r="O58" t="str">
        <f t="shared" si="1"/>
        <v/>
      </c>
      <c r="Z58" s="1247">
        <v>56</v>
      </c>
      <c r="AA58" s="16" t="s">
        <v>363</v>
      </c>
    </row>
    <row r="59" spans="2:27" x14ac:dyDescent="0.2">
      <c r="H59" s="1409"/>
      <c r="I59" s="1409"/>
      <c r="J59" s="1409"/>
      <c r="K59" s="1409"/>
      <c r="L59" s="1409"/>
      <c r="M59" s="1409"/>
      <c r="N59" t="str">
        <f t="shared" si="0"/>
        <v/>
      </c>
      <c r="O59" t="str">
        <f t="shared" si="1"/>
        <v/>
      </c>
      <c r="Z59" s="1247">
        <v>57</v>
      </c>
      <c r="AA59" s="16" t="s">
        <v>1185</v>
      </c>
    </row>
    <row r="60" spans="2:27" x14ac:dyDescent="0.2">
      <c r="H60" s="1409"/>
      <c r="I60" s="1409"/>
      <c r="J60" s="1409"/>
      <c r="K60" s="1409"/>
      <c r="L60" s="1409"/>
      <c r="M60" s="1409"/>
      <c r="N60" t="str">
        <f t="shared" si="0"/>
        <v/>
      </c>
      <c r="O60" t="str">
        <f t="shared" si="1"/>
        <v/>
      </c>
      <c r="Z60" s="1247">
        <v>58</v>
      </c>
      <c r="AA60" s="16" t="s">
        <v>364</v>
      </c>
    </row>
    <row r="61" spans="2:27" x14ac:dyDescent="0.2">
      <c r="H61" s="1409"/>
      <c r="I61" s="1409"/>
      <c r="J61" s="1409"/>
      <c r="K61" s="1409"/>
      <c r="L61" s="1409"/>
      <c r="M61" s="1409"/>
      <c r="N61" t="str">
        <f t="shared" si="0"/>
        <v/>
      </c>
      <c r="O61" t="str">
        <f t="shared" si="1"/>
        <v/>
      </c>
      <c r="Z61" s="1247">
        <v>59</v>
      </c>
      <c r="AA61" s="16" t="s">
        <v>365</v>
      </c>
    </row>
    <row r="62" spans="2:27" x14ac:dyDescent="0.2">
      <c r="H62" s="1409"/>
      <c r="I62" s="1409"/>
      <c r="J62" s="1409"/>
      <c r="K62" s="1409"/>
      <c r="L62" s="1409"/>
      <c r="M62" s="1409"/>
      <c r="N62" t="str">
        <f t="shared" si="0"/>
        <v/>
      </c>
      <c r="O62" t="str">
        <f t="shared" si="1"/>
        <v/>
      </c>
      <c r="Z62" s="1247">
        <v>60</v>
      </c>
      <c r="AA62" s="16" t="s">
        <v>366</v>
      </c>
    </row>
    <row r="63" spans="2:27" x14ac:dyDescent="0.2">
      <c r="H63" s="1409"/>
      <c r="I63" s="1409"/>
      <c r="J63" s="1409"/>
      <c r="K63" s="1409"/>
      <c r="L63" s="1409"/>
      <c r="M63" s="1409"/>
      <c r="N63" t="str">
        <f t="shared" si="0"/>
        <v/>
      </c>
      <c r="O63" t="str">
        <f t="shared" si="1"/>
        <v/>
      </c>
      <c r="Z63" s="1247">
        <v>61</v>
      </c>
      <c r="AA63" s="16" t="s">
        <v>367</v>
      </c>
    </row>
    <row r="64" spans="2:27" x14ac:dyDescent="0.2">
      <c r="H64" s="1409"/>
      <c r="I64" s="1409"/>
      <c r="J64" s="1409"/>
      <c r="K64" s="1409"/>
      <c r="L64" s="1409"/>
      <c r="M64" s="1409"/>
      <c r="N64" t="str">
        <f t="shared" si="0"/>
        <v/>
      </c>
      <c r="O64" t="str">
        <f t="shared" si="1"/>
        <v/>
      </c>
      <c r="Z64" s="1247">
        <v>62</v>
      </c>
      <c r="AA64" s="16" t="s">
        <v>369</v>
      </c>
    </row>
    <row r="65" spans="8:27" x14ac:dyDescent="0.2">
      <c r="H65" s="1409"/>
      <c r="I65" s="1409"/>
      <c r="J65" s="1409"/>
      <c r="K65" s="1409"/>
      <c r="L65" s="1409"/>
      <c r="M65" s="1409"/>
      <c r="N65" t="str">
        <f t="shared" si="0"/>
        <v/>
      </c>
      <c r="O65" t="str">
        <f t="shared" si="1"/>
        <v/>
      </c>
      <c r="Z65" s="1247">
        <v>63</v>
      </c>
      <c r="AA65" s="16" t="s">
        <v>368</v>
      </c>
    </row>
    <row r="66" spans="8:27" x14ac:dyDescent="0.2">
      <c r="H66" s="1409"/>
      <c r="I66" s="1409"/>
      <c r="J66" s="1409"/>
      <c r="K66" s="1409"/>
      <c r="L66" s="1409"/>
      <c r="M66" s="1409"/>
      <c r="N66" t="str">
        <f t="shared" si="0"/>
        <v/>
      </c>
      <c r="O66" t="str">
        <f t="shared" si="1"/>
        <v/>
      </c>
      <c r="Z66" s="1247">
        <v>64</v>
      </c>
      <c r="AA66" s="16" t="s">
        <v>757</v>
      </c>
    </row>
    <row r="67" spans="8:27" x14ac:dyDescent="0.2">
      <c r="H67" s="1409"/>
      <c r="I67" s="1409"/>
      <c r="J67" s="1409"/>
      <c r="K67" s="1409"/>
      <c r="L67" s="1409"/>
      <c r="M67" s="1409"/>
      <c r="N67" t="str">
        <f t="shared" si="0"/>
        <v/>
      </c>
      <c r="O67" t="str">
        <f t="shared" si="1"/>
        <v/>
      </c>
      <c r="Z67" s="1247">
        <v>65</v>
      </c>
      <c r="AA67" s="16" t="s">
        <v>370</v>
      </c>
    </row>
    <row r="68" spans="8:27" x14ac:dyDescent="0.2">
      <c r="H68" s="1409"/>
      <c r="I68" s="1409"/>
      <c r="J68" s="1409"/>
      <c r="K68" s="1409"/>
      <c r="L68" s="1409"/>
      <c r="M68" s="1409"/>
      <c r="N68" t="str">
        <f t="shared" si="0"/>
        <v/>
      </c>
      <c r="O68" t="str">
        <f t="shared" si="1"/>
        <v/>
      </c>
      <c r="Z68" s="1247">
        <v>66</v>
      </c>
      <c r="AA68" s="16" t="s">
        <v>371</v>
      </c>
    </row>
    <row r="69" spans="8:27" x14ac:dyDescent="0.2">
      <c r="H69" s="1409"/>
      <c r="I69" s="1409"/>
      <c r="J69" s="1409"/>
      <c r="K69" s="1409"/>
      <c r="L69" s="1409"/>
      <c r="M69" s="1409"/>
      <c r="N69" t="str">
        <f t="shared" si="0"/>
        <v/>
      </c>
      <c r="O69" t="str">
        <f t="shared" si="1"/>
        <v/>
      </c>
      <c r="Z69" s="1247">
        <v>67</v>
      </c>
      <c r="AA69" s="16" t="s">
        <v>372</v>
      </c>
    </row>
    <row r="70" spans="8:27" x14ac:dyDescent="0.2">
      <c r="H70" s="1409"/>
      <c r="I70" s="1409"/>
      <c r="J70" s="1409"/>
      <c r="K70" s="1409"/>
      <c r="L70" s="1409"/>
      <c r="M70" s="1409"/>
      <c r="N70" t="str">
        <f t="shared" si="0"/>
        <v/>
      </c>
      <c r="O70" t="str">
        <f t="shared" si="1"/>
        <v/>
      </c>
      <c r="Z70" s="1247">
        <v>68</v>
      </c>
      <c r="AA70" s="16" t="s">
        <v>373</v>
      </c>
    </row>
    <row r="71" spans="8:27" x14ac:dyDescent="0.2">
      <c r="H71" s="1409"/>
      <c r="I71" s="1409"/>
      <c r="J71" s="1409"/>
      <c r="K71" s="1409"/>
      <c r="L71" s="1409"/>
      <c r="M71" s="1409"/>
      <c r="N71" t="str">
        <f t="shared" si="0"/>
        <v/>
      </c>
      <c r="O71" t="str">
        <f t="shared" si="1"/>
        <v/>
      </c>
      <c r="Z71" s="1247">
        <v>69</v>
      </c>
      <c r="AA71" s="16" t="s">
        <v>374</v>
      </c>
    </row>
    <row r="72" spans="8:27" x14ac:dyDescent="0.2">
      <c r="H72" s="1409"/>
      <c r="I72" s="1409"/>
      <c r="J72" s="1409"/>
      <c r="K72" s="1409"/>
      <c r="L72" s="1409"/>
      <c r="M72" s="1409"/>
      <c r="N72" t="str">
        <f t="shared" si="0"/>
        <v/>
      </c>
      <c r="O72" t="str">
        <f t="shared" si="1"/>
        <v/>
      </c>
      <c r="Z72" s="1247">
        <v>70</v>
      </c>
      <c r="AA72" s="16" t="s">
        <v>758</v>
      </c>
    </row>
    <row r="73" spans="8:27" x14ac:dyDescent="0.2">
      <c r="H73" s="1409"/>
      <c r="I73" s="1409"/>
      <c r="J73" s="1409"/>
      <c r="K73" s="1409"/>
      <c r="L73" s="1409"/>
      <c r="M73" s="1409"/>
      <c r="N73" t="str">
        <f t="shared" si="0"/>
        <v/>
      </c>
      <c r="O73" t="str">
        <f t="shared" si="1"/>
        <v/>
      </c>
      <c r="Z73" s="1247">
        <v>71</v>
      </c>
      <c r="AA73" s="16" t="s">
        <v>375</v>
      </c>
    </row>
    <row r="74" spans="8:27" x14ac:dyDescent="0.2">
      <c r="H74" s="1409"/>
      <c r="I74" s="1409"/>
      <c r="J74" s="1409"/>
      <c r="K74" s="1409"/>
      <c r="L74" s="1409"/>
      <c r="M74" s="1409"/>
      <c r="N74" t="str">
        <f t="shared" si="0"/>
        <v/>
      </c>
      <c r="O74" t="str">
        <f t="shared" si="1"/>
        <v/>
      </c>
      <c r="Z74" s="1247">
        <v>72</v>
      </c>
      <c r="AA74" s="16" t="s">
        <v>376</v>
      </c>
    </row>
    <row r="75" spans="8:27" x14ac:dyDescent="0.2">
      <c r="Z75" s="1247">
        <v>73</v>
      </c>
      <c r="AA75" s="16" t="s">
        <v>377</v>
      </c>
    </row>
    <row r="76" spans="8:27" x14ac:dyDescent="0.2">
      <c r="Z76" s="1247">
        <v>74</v>
      </c>
      <c r="AA76" s="16" t="s">
        <v>378</v>
      </c>
    </row>
    <row r="77" spans="8:27" x14ac:dyDescent="0.2">
      <c r="Z77" s="1247">
        <v>75</v>
      </c>
      <c r="AA77" s="16" t="s">
        <v>379</v>
      </c>
    </row>
  </sheetData>
  <sheetProtection password="F8BD" sheet="1" objects="1" scenarios="1"/>
  <mergeCells count="19">
    <mergeCell ref="E18:K18"/>
    <mergeCell ref="E14:K14"/>
    <mergeCell ref="E16:I16"/>
    <mergeCell ref="E20:I20"/>
    <mergeCell ref="E26:G26"/>
    <mergeCell ref="E24:G24"/>
    <mergeCell ref="A46:D46"/>
    <mergeCell ref="C51:L51"/>
    <mergeCell ref="C55:M55"/>
    <mergeCell ref="C53:N53"/>
    <mergeCell ref="E28:G28"/>
    <mergeCell ref="E31:G31"/>
    <mergeCell ref="A30:D31"/>
    <mergeCell ref="A43:D44"/>
    <mergeCell ref="A39:D40"/>
    <mergeCell ref="E40:G40"/>
    <mergeCell ref="A33:D34"/>
    <mergeCell ref="E34:G34"/>
    <mergeCell ref="A36:D37"/>
  </mergeCells>
  <phoneticPr fontId="16" type="noConversion"/>
  <dataValidations count="9">
    <dataValidation allowBlank="1" showErrorMessage="1" error="Use the following date format when inserting a date:_x000a__x000a_Eg:  &quot;January 1, 2013&quot;" prompt="Use the following format eg: January 1, 2013" sqref="E26:G26 F46:G46"/>
    <dataValidation type="list" allowBlank="1" showErrorMessage="1" error="Use the following date format when inserting a date:_x000a__x000a_Eg:  &quot;January 1, 2013&quot;" prompt="Use the following format eg: January 1, 2013" sqref="E31:G31">
      <formula1>"MIFRS,USGAAP, ASPE"</formula1>
    </dataValidation>
    <dataValidation type="list" allowBlank="1" showErrorMessage="1" prompt="Use the following format eg: January 1, 2013" sqref="E44">
      <formula1>"Yes, No"</formula1>
    </dataValidation>
    <dataValidation type="list" allowBlank="1" showErrorMessage="1" error="Use the following date format when inserting a date:_x000a__x000a_Eg:  &quot;January 1, 2013&quot;" prompt="Use the following format eg: January 1, 2013" sqref="E40:G40">
      <formula1>"2012,2013, 2014, 2015 "</formula1>
    </dataValidation>
    <dataValidation type="list" allowBlank="1" showErrorMessage="1" error="Use the following date format when inserting a date:_x000a__x000a_Eg:  &quot;January 1, 2013&quot;" prompt="Use the following format eg: January 1, 2013" sqref="E34:G34 E46">
      <formula1>"Yes, No"</formula1>
    </dataValidation>
    <dataValidation type="list" allowBlank="1" showErrorMessage="1" error="Use the following date format when inserting a date:_x000a__x000a_Eg:  &quot;January 1, 2013&quot;" prompt="Use the following format eg: January 1, 2013" sqref="E28:G28">
      <formula1>"2008,2009,2010,2011,2012,2013, 2014,2015"</formula1>
    </dataValidation>
    <dataValidation type="list" allowBlank="1" showErrorMessage="1" error="Use the following date format when inserting a date:_x000a__x000a_Eg:  &quot;January 1, 2013&quot;" prompt="Use the following format eg: January 1, 2013" sqref="E24:G24">
      <formula1>"2010,2011,2012,2013, 2014, 2015, 2016, 2017"</formula1>
    </dataValidation>
    <dataValidation type="list" allowBlank="1" showErrorMessage="1" error="Use the following date format when inserting a date:_x000a__x000a_Eg:  &quot;January 1, 2013&quot;" prompt="Use the following format eg: January 1, 2013" sqref="F37">
      <formula1>"2012, 2013"</formula1>
    </dataValidation>
    <dataValidation type="list" allowBlank="1" showInputMessage="1" showErrorMessage="1" sqref="E14:K14">
      <formula1>LDCLIST</formula1>
    </dataValidation>
  </dataValidations>
  <pageMargins left="0.75" right="0.75" top="1" bottom="1" header="0.5" footer="0.5"/>
  <pageSetup scale="66" orientation="portrait" r:id="rId1"/>
  <headerFooter alignWithMargins="0"/>
  <colBreaks count="1" manualBreakCount="1">
    <brk id="15"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tabColor rgb="FF00B0F0"/>
  </sheetPr>
  <dimension ref="A1:N418"/>
  <sheetViews>
    <sheetView showGridLines="0" zoomScale="95" zoomScaleNormal="95" zoomScaleSheetLayoutView="85" workbookViewId="0">
      <selection activeCell="A9" sqref="A9:M9"/>
    </sheetView>
  </sheetViews>
  <sheetFormatPr defaultRowHeight="12.75" x14ac:dyDescent="0.2"/>
  <cols>
    <col min="1" max="1" width="7.7109375" style="1070" customWidth="1"/>
    <col min="2" max="2" width="10.140625" style="1070" customWidth="1"/>
    <col min="3" max="3" width="37.85546875" style="52" customWidth="1"/>
    <col min="4" max="4" width="14.42578125" style="52" customWidth="1"/>
    <col min="5" max="5" width="13" style="52" customWidth="1"/>
    <col min="6" max="6" width="11.7109375" style="52" customWidth="1"/>
    <col min="7" max="7" width="13.5703125" style="52" customWidth="1"/>
    <col min="8" max="8" width="1.7109375" style="159" customWidth="1"/>
    <col min="9" max="9" width="14.28515625" style="52" customWidth="1"/>
    <col min="10" max="10" width="13.42578125" style="52" customWidth="1"/>
    <col min="11" max="11" width="11.85546875" style="52" customWidth="1"/>
    <col min="12" max="12" width="14.5703125" style="52" bestFit="1" customWidth="1"/>
    <col min="13" max="13" width="14.140625" style="52" bestFit="1" customWidth="1"/>
    <col min="14" max="14" width="10.28515625" style="52" bestFit="1" customWidth="1"/>
    <col min="15" max="16384" width="9.140625" style="52"/>
  </cols>
  <sheetData>
    <row r="1" spans="1:13" x14ac:dyDescent="0.2">
      <c r="L1" s="152" t="s">
        <v>301</v>
      </c>
      <c r="M1" s="61" t="str">
        <f>EBNUMBER</f>
        <v>EB-2016-0066</v>
      </c>
    </row>
    <row r="2" spans="1:13" x14ac:dyDescent="0.2">
      <c r="L2" s="152" t="s">
        <v>302</v>
      </c>
      <c r="M2" s="51"/>
    </row>
    <row r="3" spans="1:13" x14ac:dyDescent="0.2">
      <c r="L3" s="152" t="s">
        <v>303</v>
      </c>
      <c r="M3" s="51"/>
    </row>
    <row r="4" spans="1:13" x14ac:dyDescent="0.2">
      <c r="L4" s="152" t="s">
        <v>304</v>
      </c>
      <c r="M4" s="51"/>
    </row>
    <row r="5" spans="1:13" x14ac:dyDescent="0.2">
      <c r="L5" s="152" t="s">
        <v>305</v>
      </c>
      <c r="M5" s="1093"/>
    </row>
    <row r="6" spans="1:13" ht="9" customHeight="1" x14ac:dyDescent="0.2">
      <c r="L6" s="152"/>
      <c r="M6" s="1092"/>
    </row>
    <row r="7" spans="1:13" x14ac:dyDescent="0.2">
      <c r="L7" s="152" t="s">
        <v>306</v>
      </c>
      <c r="M7" s="1093"/>
    </row>
    <row r="8" spans="1:13" ht="9" customHeight="1" x14ac:dyDescent="0.2"/>
    <row r="9" spans="1:13" ht="20.25" customHeight="1" x14ac:dyDescent="0.2">
      <c r="A9" s="1609" t="s">
        <v>489</v>
      </c>
      <c r="B9" s="1609"/>
      <c r="C9" s="1609"/>
      <c r="D9" s="1609"/>
      <c r="E9" s="1609"/>
      <c r="F9" s="1609"/>
      <c r="G9" s="1609"/>
      <c r="H9" s="1609"/>
      <c r="I9" s="1609"/>
      <c r="J9" s="1609"/>
      <c r="K9" s="1609"/>
      <c r="L9" s="1609"/>
      <c r="M9" s="1609"/>
    </row>
    <row r="10" spans="1:13" ht="21" x14ac:dyDescent="0.2">
      <c r="A10" s="1609" t="s">
        <v>999</v>
      </c>
      <c r="B10" s="1609"/>
      <c r="C10" s="1609"/>
      <c r="D10" s="1609"/>
      <c r="E10" s="1609"/>
      <c r="F10" s="1609"/>
      <c r="G10" s="1609"/>
      <c r="H10" s="1609"/>
      <c r="I10" s="1609"/>
      <c r="J10" s="1609"/>
      <c r="K10" s="1609"/>
      <c r="L10" s="1609"/>
      <c r="M10" s="1609"/>
    </row>
    <row r="11" spans="1:13" x14ac:dyDescent="0.2">
      <c r="H11" s="52"/>
    </row>
    <row r="12" spans="1:13" x14ac:dyDescent="0.2">
      <c r="E12" s="122" t="s">
        <v>882</v>
      </c>
      <c r="F12" s="48" t="s">
        <v>104</v>
      </c>
      <c r="H12" s="52"/>
    </row>
    <row r="13" spans="1:13" ht="15" x14ac:dyDescent="0.25">
      <c r="C13" s="56"/>
      <c r="E13" s="122" t="s">
        <v>102</v>
      </c>
      <c r="F13" s="160">
        <v>2012</v>
      </c>
      <c r="G13" s="161"/>
    </row>
    <row r="15" spans="1:13" x14ac:dyDescent="0.2">
      <c r="D15" s="1606" t="s">
        <v>264</v>
      </c>
      <c r="E15" s="1607"/>
      <c r="F15" s="1607"/>
      <c r="G15" s="1608"/>
      <c r="I15" s="162"/>
      <c r="J15" s="163" t="s">
        <v>265</v>
      </c>
      <c r="K15" s="163"/>
      <c r="L15" s="164"/>
      <c r="M15" s="159"/>
    </row>
    <row r="16" spans="1:13" ht="25.5" customHeight="1" x14ac:dyDescent="0.2">
      <c r="A16" s="165" t="s">
        <v>1000</v>
      </c>
      <c r="B16" s="165" t="s">
        <v>1002</v>
      </c>
      <c r="C16" s="166" t="s">
        <v>1003</v>
      </c>
      <c r="D16" s="165" t="s">
        <v>236</v>
      </c>
      <c r="E16" s="167" t="s">
        <v>1001</v>
      </c>
      <c r="F16" s="167" t="s">
        <v>1189</v>
      </c>
      <c r="G16" s="165" t="s">
        <v>263</v>
      </c>
      <c r="H16" s="168"/>
      <c r="I16" s="169" t="s">
        <v>236</v>
      </c>
      <c r="J16" s="170" t="s">
        <v>237</v>
      </c>
      <c r="K16" s="170" t="s">
        <v>1189</v>
      </c>
      <c r="L16" s="171" t="s">
        <v>263</v>
      </c>
      <c r="M16" s="165" t="s">
        <v>300</v>
      </c>
    </row>
    <row r="17" spans="1:13" ht="25.5" x14ac:dyDescent="0.2">
      <c r="A17" s="53">
        <v>12</v>
      </c>
      <c r="B17" s="1058">
        <v>1611</v>
      </c>
      <c r="C17" s="172" t="s">
        <v>381</v>
      </c>
      <c r="D17" s="173">
        <v>239727</v>
      </c>
      <c r="E17" s="173">
        <v>1294</v>
      </c>
      <c r="F17" s="173"/>
      <c r="G17" s="174">
        <f>D17+E17+F17</f>
        <v>241021</v>
      </c>
      <c r="H17" s="175"/>
      <c r="I17" s="176">
        <v>194362</v>
      </c>
      <c r="J17" s="173">
        <v>36535</v>
      </c>
      <c r="K17" s="173"/>
      <c r="L17" s="174">
        <f>I17+J17+K17</f>
        <v>230897</v>
      </c>
      <c r="M17" s="177">
        <f>G17-L17</f>
        <v>10124</v>
      </c>
    </row>
    <row r="18" spans="1:13" ht="25.5" x14ac:dyDescent="0.2">
      <c r="A18" s="53" t="s">
        <v>274</v>
      </c>
      <c r="B18" s="1058">
        <v>1612</v>
      </c>
      <c r="C18" s="172" t="s">
        <v>442</v>
      </c>
      <c r="D18" s="173">
        <v>2945</v>
      </c>
      <c r="E18" s="173"/>
      <c r="F18" s="173"/>
      <c r="G18" s="174">
        <f>D18+E18+F18</f>
        <v>2945</v>
      </c>
      <c r="H18" s="175"/>
      <c r="I18" s="176">
        <v>2725</v>
      </c>
      <c r="J18" s="173"/>
      <c r="K18" s="173"/>
      <c r="L18" s="174">
        <f>I18+J18+K18</f>
        <v>2725</v>
      </c>
      <c r="M18" s="177">
        <f t="shared" ref="M18:M54" si="0">G18-L18</f>
        <v>220</v>
      </c>
    </row>
    <row r="19" spans="1:13" x14ac:dyDescent="0.2">
      <c r="A19" s="53" t="s">
        <v>266</v>
      </c>
      <c r="B19" s="178">
        <v>1805</v>
      </c>
      <c r="C19" s="179" t="s">
        <v>267</v>
      </c>
      <c r="D19" s="173">
        <v>2112</v>
      </c>
      <c r="E19" s="173"/>
      <c r="F19" s="173"/>
      <c r="G19" s="174">
        <f>D19+E19+F19</f>
        <v>2112</v>
      </c>
      <c r="H19" s="175"/>
      <c r="I19" s="176"/>
      <c r="J19" s="173"/>
      <c r="K19" s="173"/>
      <c r="L19" s="174">
        <f>I19+J19+K19</f>
        <v>0</v>
      </c>
      <c r="M19" s="177">
        <f t="shared" si="0"/>
        <v>2112</v>
      </c>
    </row>
    <row r="20" spans="1:13" x14ac:dyDescent="0.2">
      <c r="A20" s="53">
        <v>47</v>
      </c>
      <c r="B20" s="178">
        <v>1808</v>
      </c>
      <c r="C20" s="180" t="s">
        <v>268</v>
      </c>
      <c r="D20" s="173"/>
      <c r="E20" s="173"/>
      <c r="F20" s="173"/>
      <c r="G20" s="174">
        <f t="shared" ref="G20:G59" si="1">D20+E20+F20</f>
        <v>0</v>
      </c>
      <c r="H20" s="175"/>
      <c r="I20" s="176"/>
      <c r="J20" s="173"/>
      <c r="K20" s="173"/>
      <c r="L20" s="174">
        <f t="shared" ref="L20:L56" si="2">I20+J20+K20</f>
        <v>0</v>
      </c>
      <c r="M20" s="177">
        <f t="shared" si="0"/>
        <v>0</v>
      </c>
    </row>
    <row r="21" spans="1:13" x14ac:dyDescent="0.2">
      <c r="A21" s="53">
        <v>13</v>
      </c>
      <c r="B21" s="178">
        <v>1810</v>
      </c>
      <c r="C21" s="180" t="s">
        <v>299</v>
      </c>
      <c r="D21" s="173"/>
      <c r="E21" s="173"/>
      <c r="F21" s="173"/>
      <c r="G21" s="174">
        <f t="shared" si="1"/>
        <v>0</v>
      </c>
      <c r="H21" s="175"/>
      <c r="I21" s="176"/>
      <c r="J21" s="173"/>
      <c r="K21" s="173"/>
      <c r="L21" s="174">
        <f t="shared" si="2"/>
        <v>0</v>
      </c>
      <c r="M21" s="177">
        <f t="shared" si="0"/>
        <v>0</v>
      </c>
    </row>
    <row r="22" spans="1:13" x14ac:dyDescent="0.2">
      <c r="A22" s="53">
        <v>47</v>
      </c>
      <c r="B22" s="178">
        <v>1815</v>
      </c>
      <c r="C22" s="180" t="s">
        <v>269</v>
      </c>
      <c r="D22" s="173"/>
      <c r="E22" s="173"/>
      <c r="F22" s="173"/>
      <c r="G22" s="174">
        <f t="shared" si="1"/>
        <v>0</v>
      </c>
      <c r="H22" s="175"/>
      <c r="I22" s="176"/>
      <c r="J22" s="173"/>
      <c r="K22" s="173"/>
      <c r="L22" s="174">
        <f t="shared" si="2"/>
        <v>0</v>
      </c>
      <c r="M22" s="177">
        <f t="shared" si="0"/>
        <v>0</v>
      </c>
    </row>
    <row r="23" spans="1:13" x14ac:dyDescent="0.2">
      <c r="A23" s="53">
        <v>47</v>
      </c>
      <c r="B23" s="178">
        <v>1820</v>
      </c>
      <c r="C23" s="172" t="s">
        <v>207</v>
      </c>
      <c r="D23" s="173">
        <v>142098</v>
      </c>
      <c r="E23" s="173"/>
      <c r="F23" s="173"/>
      <c r="G23" s="174">
        <f t="shared" si="1"/>
        <v>142098</v>
      </c>
      <c r="H23" s="175"/>
      <c r="I23" s="176">
        <v>140952</v>
      </c>
      <c r="J23" s="173">
        <v>62</v>
      </c>
      <c r="K23" s="173"/>
      <c r="L23" s="174">
        <f t="shared" si="2"/>
        <v>141014</v>
      </c>
      <c r="M23" s="177">
        <f t="shared" si="0"/>
        <v>1084</v>
      </c>
    </row>
    <row r="24" spans="1:13" x14ac:dyDescent="0.2">
      <c r="A24" s="53">
        <v>47</v>
      </c>
      <c r="B24" s="178">
        <v>1825</v>
      </c>
      <c r="C24" s="180" t="s">
        <v>270</v>
      </c>
      <c r="D24" s="173"/>
      <c r="E24" s="173"/>
      <c r="F24" s="173"/>
      <c r="G24" s="174">
        <f t="shared" si="1"/>
        <v>0</v>
      </c>
      <c r="H24" s="175"/>
      <c r="I24" s="176"/>
      <c r="J24" s="173"/>
      <c r="K24" s="173"/>
      <c r="L24" s="174">
        <f t="shared" si="2"/>
        <v>0</v>
      </c>
      <c r="M24" s="177">
        <f t="shared" si="0"/>
        <v>0</v>
      </c>
    </row>
    <row r="25" spans="1:13" x14ac:dyDescent="0.2">
      <c r="A25" s="53">
        <v>47</v>
      </c>
      <c r="B25" s="178">
        <v>1830</v>
      </c>
      <c r="C25" s="180" t="s">
        <v>271</v>
      </c>
      <c r="D25" s="173">
        <v>888856</v>
      </c>
      <c r="E25" s="173">
        <v>23732</v>
      </c>
      <c r="F25" s="173"/>
      <c r="G25" s="174">
        <f t="shared" si="1"/>
        <v>912588</v>
      </c>
      <c r="H25" s="175"/>
      <c r="I25" s="176">
        <v>197610</v>
      </c>
      <c r="J25" s="173">
        <v>36039</v>
      </c>
      <c r="K25" s="173"/>
      <c r="L25" s="174">
        <f t="shared" si="2"/>
        <v>233649</v>
      </c>
      <c r="M25" s="177">
        <f t="shared" si="0"/>
        <v>678939</v>
      </c>
    </row>
    <row r="26" spans="1:13" x14ac:dyDescent="0.2">
      <c r="A26" s="53">
        <v>47</v>
      </c>
      <c r="B26" s="178">
        <v>1835</v>
      </c>
      <c r="C26" s="180" t="s">
        <v>208</v>
      </c>
      <c r="D26" s="173">
        <v>6275033</v>
      </c>
      <c r="E26" s="173">
        <v>106131</v>
      </c>
      <c r="F26" s="173"/>
      <c r="G26" s="174">
        <f t="shared" si="1"/>
        <v>6381164</v>
      </c>
      <c r="H26" s="175"/>
      <c r="I26" s="176">
        <v>4306416</v>
      </c>
      <c r="J26" s="173">
        <v>248008</v>
      </c>
      <c r="K26" s="173"/>
      <c r="L26" s="174">
        <f t="shared" si="2"/>
        <v>4554424</v>
      </c>
      <c r="M26" s="177">
        <f t="shared" si="0"/>
        <v>1826740</v>
      </c>
    </row>
    <row r="27" spans="1:13" x14ac:dyDescent="0.2">
      <c r="A27" s="53">
        <v>47</v>
      </c>
      <c r="B27" s="178">
        <v>1840</v>
      </c>
      <c r="C27" s="180" t="s">
        <v>209</v>
      </c>
      <c r="D27" s="173">
        <v>1251542</v>
      </c>
      <c r="E27" s="173">
        <v>124331</v>
      </c>
      <c r="F27" s="173"/>
      <c r="G27" s="174">
        <f t="shared" si="1"/>
        <v>1375873</v>
      </c>
      <c r="H27" s="175"/>
      <c r="I27" s="176">
        <v>243930</v>
      </c>
      <c r="J27" s="173">
        <v>52553</v>
      </c>
      <c r="K27" s="173"/>
      <c r="L27" s="174">
        <f t="shared" si="2"/>
        <v>296483</v>
      </c>
      <c r="M27" s="177">
        <f t="shared" si="0"/>
        <v>1079390</v>
      </c>
    </row>
    <row r="28" spans="1:13" x14ac:dyDescent="0.2">
      <c r="A28" s="53">
        <v>47</v>
      </c>
      <c r="B28" s="178">
        <v>1845</v>
      </c>
      <c r="C28" s="180" t="s">
        <v>210</v>
      </c>
      <c r="D28" s="173">
        <v>7246993</v>
      </c>
      <c r="E28" s="173">
        <v>229404</v>
      </c>
      <c r="F28" s="173"/>
      <c r="G28" s="174">
        <f t="shared" si="1"/>
        <v>7476397</v>
      </c>
      <c r="H28" s="175"/>
      <c r="I28" s="176">
        <v>4537673</v>
      </c>
      <c r="J28" s="173">
        <v>277280</v>
      </c>
      <c r="K28" s="173"/>
      <c r="L28" s="174">
        <f t="shared" si="2"/>
        <v>4814953</v>
      </c>
      <c r="M28" s="177">
        <f t="shared" si="0"/>
        <v>2661444</v>
      </c>
    </row>
    <row r="29" spans="1:13" x14ac:dyDescent="0.2">
      <c r="A29" s="53">
        <v>47</v>
      </c>
      <c r="B29" s="178">
        <v>1850</v>
      </c>
      <c r="C29" s="180" t="s">
        <v>272</v>
      </c>
      <c r="D29" s="173">
        <v>5511324</v>
      </c>
      <c r="E29" s="173">
        <v>216442</v>
      </c>
      <c r="F29" s="173"/>
      <c r="G29" s="174">
        <f t="shared" si="1"/>
        <v>5727766</v>
      </c>
      <c r="H29" s="175"/>
      <c r="I29" s="176">
        <v>3331320</v>
      </c>
      <c r="J29" s="173">
        <v>200371</v>
      </c>
      <c r="K29" s="173"/>
      <c r="L29" s="174">
        <f t="shared" si="2"/>
        <v>3531691</v>
      </c>
      <c r="M29" s="177">
        <f t="shared" si="0"/>
        <v>2196075</v>
      </c>
    </row>
    <row r="30" spans="1:13" x14ac:dyDescent="0.2">
      <c r="A30" s="53">
        <v>47</v>
      </c>
      <c r="B30" s="178">
        <v>1855</v>
      </c>
      <c r="C30" s="180" t="s">
        <v>211</v>
      </c>
      <c r="D30" s="173">
        <v>699827</v>
      </c>
      <c r="E30" s="173">
        <v>72965</v>
      </c>
      <c r="F30" s="173"/>
      <c r="G30" s="174">
        <f t="shared" si="1"/>
        <v>772792</v>
      </c>
      <c r="H30" s="175"/>
      <c r="I30" s="176">
        <v>137902</v>
      </c>
      <c r="J30" s="173">
        <v>29462</v>
      </c>
      <c r="K30" s="173"/>
      <c r="L30" s="174">
        <f t="shared" si="2"/>
        <v>167364</v>
      </c>
      <c r="M30" s="177">
        <f t="shared" si="0"/>
        <v>605428</v>
      </c>
    </row>
    <row r="31" spans="1:13" x14ac:dyDescent="0.2">
      <c r="A31" s="53">
        <v>47</v>
      </c>
      <c r="B31" s="178">
        <v>1860</v>
      </c>
      <c r="C31" s="180" t="s">
        <v>273</v>
      </c>
      <c r="D31" s="173">
        <v>514262</v>
      </c>
      <c r="E31" s="173">
        <v>2402</v>
      </c>
      <c r="F31" s="173"/>
      <c r="G31" s="174">
        <f t="shared" si="1"/>
        <v>516664</v>
      </c>
      <c r="H31" s="175"/>
      <c r="I31" s="176">
        <v>70591</v>
      </c>
      <c r="J31" s="173">
        <v>12642</v>
      </c>
      <c r="K31" s="173"/>
      <c r="L31" s="174">
        <f t="shared" si="2"/>
        <v>83233</v>
      </c>
      <c r="M31" s="177">
        <f t="shared" si="0"/>
        <v>433431</v>
      </c>
    </row>
    <row r="32" spans="1:13" x14ac:dyDescent="0.2">
      <c r="A32" s="53">
        <v>47</v>
      </c>
      <c r="B32" s="178">
        <v>1860</v>
      </c>
      <c r="C32" s="179" t="s">
        <v>212</v>
      </c>
      <c r="D32" s="173"/>
      <c r="E32" s="173"/>
      <c r="F32" s="173"/>
      <c r="G32" s="174">
        <f t="shared" si="1"/>
        <v>0</v>
      </c>
      <c r="H32" s="175"/>
      <c r="I32" s="176"/>
      <c r="J32" s="173"/>
      <c r="K32" s="173"/>
      <c r="L32" s="174">
        <f t="shared" si="2"/>
        <v>0</v>
      </c>
      <c r="M32" s="177">
        <f t="shared" si="0"/>
        <v>0</v>
      </c>
    </row>
    <row r="33" spans="1:13" x14ac:dyDescent="0.2">
      <c r="A33" s="53" t="s">
        <v>266</v>
      </c>
      <c r="B33" s="178">
        <v>1905</v>
      </c>
      <c r="C33" s="179" t="s">
        <v>267</v>
      </c>
      <c r="D33" s="173">
        <v>171765</v>
      </c>
      <c r="E33" s="173"/>
      <c r="F33" s="173"/>
      <c r="G33" s="174">
        <f t="shared" si="1"/>
        <v>171765</v>
      </c>
      <c r="H33" s="175"/>
      <c r="I33" s="176"/>
      <c r="J33" s="173"/>
      <c r="K33" s="173"/>
      <c r="L33" s="174">
        <f t="shared" si="2"/>
        <v>0</v>
      </c>
      <c r="M33" s="177">
        <f t="shared" si="0"/>
        <v>171765</v>
      </c>
    </row>
    <row r="34" spans="1:13" x14ac:dyDescent="0.2">
      <c r="A34" s="53">
        <v>47</v>
      </c>
      <c r="B34" s="178">
        <v>1908</v>
      </c>
      <c r="C34" s="180" t="s">
        <v>275</v>
      </c>
      <c r="D34" s="173">
        <v>661840</v>
      </c>
      <c r="E34" s="173">
        <v>3031</v>
      </c>
      <c r="F34" s="173"/>
      <c r="G34" s="174">
        <f t="shared" si="1"/>
        <v>664871</v>
      </c>
      <c r="H34" s="175"/>
      <c r="I34" s="176">
        <v>429951</v>
      </c>
      <c r="J34" s="173">
        <v>14459</v>
      </c>
      <c r="K34" s="173"/>
      <c r="L34" s="174">
        <f t="shared" si="2"/>
        <v>444410</v>
      </c>
      <c r="M34" s="177">
        <f t="shared" si="0"/>
        <v>220461</v>
      </c>
    </row>
    <row r="35" spans="1:13" x14ac:dyDescent="0.2">
      <c r="A35" s="53">
        <v>13</v>
      </c>
      <c r="B35" s="178">
        <v>1910</v>
      </c>
      <c r="C35" s="180" t="s">
        <v>299</v>
      </c>
      <c r="D35" s="173"/>
      <c r="E35" s="173"/>
      <c r="F35" s="173"/>
      <c r="G35" s="174">
        <f t="shared" si="1"/>
        <v>0</v>
      </c>
      <c r="H35" s="175"/>
      <c r="I35" s="176"/>
      <c r="J35" s="173"/>
      <c r="K35" s="173"/>
      <c r="L35" s="174">
        <f t="shared" si="2"/>
        <v>0</v>
      </c>
      <c r="M35" s="177">
        <f t="shared" si="0"/>
        <v>0</v>
      </c>
    </row>
    <row r="36" spans="1:13" x14ac:dyDescent="0.2">
      <c r="A36" s="53">
        <v>8</v>
      </c>
      <c r="B36" s="178">
        <v>1915</v>
      </c>
      <c r="C36" s="180" t="s">
        <v>213</v>
      </c>
      <c r="D36" s="173">
        <v>242909</v>
      </c>
      <c r="E36" s="173">
        <v>45</v>
      </c>
      <c r="F36" s="173"/>
      <c r="G36" s="174">
        <f t="shared" si="1"/>
        <v>242954</v>
      </c>
      <c r="H36" s="175"/>
      <c r="I36" s="176">
        <v>204575</v>
      </c>
      <c r="J36" s="173">
        <v>6979</v>
      </c>
      <c r="K36" s="173"/>
      <c r="L36" s="174">
        <f t="shared" si="2"/>
        <v>211554</v>
      </c>
      <c r="M36" s="177">
        <f t="shared" si="0"/>
        <v>31400</v>
      </c>
    </row>
    <row r="37" spans="1:13" x14ac:dyDescent="0.2">
      <c r="A37" s="53">
        <v>8</v>
      </c>
      <c r="B37" s="178">
        <v>1915</v>
      </c>
      <c r="C37" s="180" t="s">
        <v>214</v>
      </c>
      <c r="D37" s="173"/>
      <c r="E37" s="173"/>
      <c r="F37" s="173"/>
      <c r="G37" s="174">
        <f t="shared" si="1"/>
        <v>0</v>
      </c>
      <c r="H37" s="175"/>
      <c r="I37" s="176"/>
      <c r="J37" s="173"/>
      <c r="K37" s="173"/>
      <c r="L37" s="174">
        <f t="shared" si="2"/>
        <v>0</v>
      </c>
      <c r="M37" s="177">
        <f t="shared" si="0"/>
        <v>0</v>
      </c>
    </row>
    <row r="38" spans="1:13" x14ac:dyDescent="0.2">
      <c r="A38" s="53">
        <v>10</v>
      </c>
      <c r="B38" s="178">
        <v>1920</v>
      </c>
      <c r="C38" s="180" t="s">
        <v>215</v>
      </c>
      <c r="D38" s="173">
        <v>360969</v>
      </c>
      <c r="E38" s="173">
        <v>4643</v>
      </c>
      <c r="F38" s="173"/>
      <c r="G38" s="174">
        <f t="shared" si="1"/>
        <v>365612</v>
      </c>
      <c r="H38" s="175"/>
      <c r="I38" s="176">
        <v>347322</v>
      </c>
      <c r="J38" s="173">
        <v>11652</v>
      </c>
      <c r="K38" s="173"/>
      <c r="L38" s="174">
        <f t="shared" si="2"/>
        <v>358974</v>
      </c>
      <c r="M38" s="177">
        <f t="shared" si="0"/>
        <v>6638</v>
      </c>
    </row>
    <row r="39" spans="1:13" ht="25.5" x14ac:dyDescent="0.2">
      <c r="A39" s="53">
        <v>45</v>
      </c>
      <c r="B39" s="181">
        <v>1920</v>
      </c>
      <c r="C39" s="172" t="s">
        <v>217</v>
      </c>
      <c r="D39" s="173"/>
      <c r="E39" s="173"/>
      <c r="F39" s="173"/>
      <c r="G39" s="174">
        <f t="shared" si="1"/>
        <v>0</v>
      </c>
      <c r="H39" s="175"/>
      <c r="I39" s="176"/>
      <c r="J39" s="173"/>
      <c r="K39" s="173"/>
      <c r="L39" s="174">
        <f t="shared" si="2"/>
        <v>0</v>
      </c>
      <c r="M39" s="177">
        <f t="shared" si="0"/>
        <v>0</v>
      </c>
    </row>
    <row r="40" spans="1:13" ht="25.5" x14ac:dyDescent="0.2">
      <c r="A40" s="53">
        <v>45.1</v>
      </c>
      <c r="B40" s="181">
        <v>1920</v>
      </c>
      <c r="C40" s="172" t="s">
        <v>216</v>
      </c>
      <c r="D40" s="173"/>
      <c r="E40" s="173"/>
      <c r="F40" s="173"/>
      <c r="G40" s="174">
        <f t="shared" si="1"/>
        <v>0</v>
      </c>
      <c r="H40" s="175"/>
      <c r="I40" s="176"/>
      <c r="J40" s="173"/>
      <c r="K40" s="173"/>
      <c r="L40" s="174">
        <f t="shared" si="2"/>
        <v>0</v>
      </c>
      <c r="M40" s="177">
        <f t="shared" si="0"/>
        <v>0</v>
      </c>
    </row>
    <row r="41" spans="1:13" x14ac:dyDescent="0.2">
      <c r="A41" s="53">
        <v>10</v>
      </c>
      <c r="B41" s="1058">
        <v>1930</v>
      </c>
      <c r="C41" s="180" t="s">
        <v>286</v>
      </c>
      <c r="D41" s="173">
        <v>1886565</v>
      </c>
      <c r="E41" s="173"/>
      <c r="F41" s="173"/>
      <c r="G41" s="174">
        <f t="shared" si="1"/>
        <v>1886565</v>
      </c>
      <c r="H41" s="175"/>
      <c r="I41" s="176">
        <v>1562244</v>
      </c>
      <c r="J41" s="173">
        <v>83137</v>
      </c>
      <c r="K41" s="173"/>
      <c r="L41" s="174">
        <f t="shared" si="2"/>
        <v>1645381</v>
      </c>
      <c r="M41" s="177">
        <f t="shared" si="0"/>
        <v>241184</v>
      </c>
    </row>
    <row r="42" spans="1:13" x14ac:dyDescent="0.2">
      <c r="A42" s="53">
        <v>8</v>
      </c>
      <c r="B42" s="1058">
        <v>1935</v>
      </c>
      <c r="C42" s="180" t="s">
        <v>287</v>
      </c>
      <c r="D42" s="173"/>
      <c r="E42" s="173"/>
      <c r="F42" s="173"/>
      <c r="G42" s="174">
        <f t="shared" si="1"/>
        <v>0</v>
      </c>
      <c r="H42" s="175"/>
      <c r="I42" s="176"/>
      <c r="J42" s="173"/>
      <c r="K42" s="173"/>
      <c r="L42" s="174">
        <f t="shared" si="2"/>
        <v>0</v>
      </c>
      <c r="M42" s="177">
        <f t="shared" si="0"/>
        <v>0</v>
      </c>
    </row>
    <row r="43" spans="1:13" x14ac:dyDescent="0.2">
      <c r="A43" s="53">
        <v>8</v>
      </c>
      <c r="B43" s="1058">
        <v>1940</v>
      </c>
      <c r="C43" s="180" t="s">
        <v>288</v>
      </c>
      <c r="D43" s="173">
        <v>365317</v>
      </c>
      <c r="E43" s="173">
        <v>196</v>
      </c>
      <c r="F43" s="173"/>
      <c r="G43" s="174">
        <f t="shared" si="1"/>
        <v>365513</v>
      </c>
      <c r="H43" s="175"/>
      <c r="I43" s="176">
        <v>306443</v>
      </c>
      <c r="J43" s="173">
        <v>12669</v>
      </c>
      <c r="K43" s="173"/>
      <c r="L43" s="174">
        <f t="shared" si="2"/>
        <v>319112</v>
      </c>
      <c r="M43" s="177">
        <f t="shared" si="0"/>
        <v>46401</v>
      </c>
    </row>
    <row r="44" spans="1:13" x14ac:dyDescent="0.2">
      <c r="A44" s="53">
        <v>8</v>
      </c>
      <c r="B44" s="1058">
        <v>1945</v>
      </c>
      <c r="C44" s="180" t="s">
        <v>289</v>
      </c>
      <c r="D44" s="173"/>
      <c r="E44" s="173"/>
      <c r="F44" s="173"/>
      <c r="G44" s="174">
        <f t="shared" si="1"/>
        <v>0</v>
      </c>
      <c r="H44" s="175"/>
      <c r="I44" s="176"/>
      <c r="J44" s="173"/>
      <c r="K44" s="173"/>
      <c r="L44" s="174">
        <f t="shared" si="2"/>
        <v>0</v>
      </c>
      <c r="M44" s="177">
        <f t="shared" si="0"/>
        <v>0</v>
      </c>
    </row>
    <row r="45" spans="1:13" x14ac:dyDescent="0.2">
      <c r="A45" s="53">
        <v>8</v>
      </c>
      <c r="B45" s="1058">
        <v>1950</v>
      </c>
      <c r="C45" s="180" t="s">
        <v>218</v>
      </c>
      <c r="D45" s="173"/>
      <c r="E45" s="173"/>
      <c r="F45" s="173"/>
      <c r="G45" s="174">
        <f t="shared" si="1"/>
        <v>0</v>
      </c>
      <c r="H45" s="175"/>
      <c r="I45" s="182"/>
      <c r="J45" s="173"/>
      <c r="K45" s="173"/>
      <c r="L45" s="174">
        <f t="shared" si="2"/>
        <v>0</v>
      </c>
      <c r="M45" s="177">
        <f t="shared" si="0"/>
        <v>0</v>
      </c>
    </row>
    <row r="46" spans="1:13" x14ac:dyDescent="0.2">
      <c r="A46" s="53">
        <v>8</v>
      </c>
      <c r="B46" s="1058">
        <v>1955</v>
      </c>
      <c r="C46" s="180" t="s">
        <v>290</v>
      </c>
      <c r="D46" s="173">
        <v>35831</v>
      </c>
      <c r="E46" s="173"/>
      <c r="F46" s="173"/>
      <c r="G46" s="174">
        <f t="shared" si="1"/>
        <v>35831</v>
      </c>
      <c r="H46" s="175"/>
      <c r="I46" s="176">
        <v>23200</v>
      </c>
      <c r="J46" s="173">
        <v>1545</v>
      </c>
      <c r="K46" s="173"/>
      <c r="L46" s="174">
        <f t="shared" si="2"/>
        <v>24745</v>
      </c>
      <c r="M46" s="177">
        <f t="shared" si="0"/>
        <v>11086</v>
      </c>
    </row>
    <row r="47" spans="1:13" x14ac:dyDescent="0.2">
      <c r="A47" s="183">
        <v>8</v>
      </c>
      <c r="B47" s="181">
        <v>1955</v>
      </c>
      <c r="C47" s="184" t="s">
        <v>219</v>
      </c>
      <c r="D47" s="173"/>
      <c r="E47" s="173"/>
      <c r="F47" s="173"/>
      <c r="G47" s="174">
        <f t="shared" si="1"/>
        <v>0</v>
      </c>
      <c r="H47" s="175"/>
      <c r="I47" s="176"/>
      <c r="J47" s="173"/>
      <c r="K47" s="173"/>
      <c r="L47" s="174">
        <f t="shared" si="2"/>
        <v>0</v>
      </c>
      <c r="M47" s="177">
        <f t="shared" si="0"/>
        <v>0</v>
      </c>
    </row>
    <row r="48" spans="1:13" x14ac:dyDescent="0.2">
      <c r="A48" s="183">
        <v>8</v>
      </c>
      <c r="B48" s="185">
        <v>1960</v>
      </c>
      <c r="C48" s="172" t="s">
        <v>220</v>
      </c>
      <c r="D48" s="173"/>
      <c r="E48" s="173"/>
      <c r="F48" s="173"/>
      <c r="G48" s="174">
        <f t="shared" si="1"/>
        <v>0</v>
      </c>
      <c r="H48" s="175"/>
      <c r="I48" s="176"/>
      <c r="J48" s="173"/>
      <c r="K48" s="173"/>
      <c r="L48" s="174">
        <f t="shared" si="2"/>
        <v>0</v>
      </c>
      <c r="M48" s="177">
        <f t="shared" si="0"/>
        <v>0</v>
      </c>
    </row>
    <row r="49" spans="1:13" ht="25.5" x14ac:dyDescent="0.2">
      <c r="A49" s="186">
        <v>47</v>
      </c>
      <c r="B49" s="185">
        <v>1970</v>
      </c>
      <c r="C49" s="180" t="s">
        <v>501</v>
      </c>
      <c r="D49" s="173"/>
      <c r="E49" s="173"/>
      <c r="F49" s="173"/>
      <c r="G49" s="174">
        <f t="shared" si="1"/>
        <v>0</v>
      </c>
      <c r="H49" s="175"/>
      <c r="I49" s="176"/>
      <c r="J49" s="173"/>
      <c r="K49" s="173"/>
      <c r="L49" s="174">
        <f t="shared" si="2"/>
        <v>0</v>
      </c>
      <c r="M49" s="177">
        <f t="shared" si="0"/>
        <v>0</v>
      </c>
    </row>
    <row r="50" spans="1:13" ht="25.5" x14ac:dyDescent="0.2">
      <c r="A50" s="53">
        <v>47</v>
      </c>
      <c r="B50" s="1058">
        <v>1975</v>
      </c>
      <c r="C50" s="180" t="s">
        <v>291</v>
      </c>
      <c r="D50" s="173"/>
      <c r="E50" s="173"/>
      <c r="F50" s="173"/>
      <c r="G50" s="174">
        <f t="shared" si="1"/>
        <v>0</v>
      </c>
      <c r="H50" s="175"/>
      <c r="I50" s="176"/>
      <c r="J50" s="173"/>
      <c r="K50" s="173"/>
      <c r="L50" s="174">
        <f t="shared" si="2"/>
        <v>0</v>
      </c>
      <c r="M50" s="177">
        <f t="shared" si="0"/>
        <v>0</v>
      </c>
    </row>
    <row r="51" spans="1:13" x14ac:dyDescent="0.2">
      <c r="A51" s="53">
        <v>47</v>
      </c>
      <c r="B51" s="1058">
        <v>1980</v>
      </c>
      <c r="C51" s="180" t="s">
        <v>292</v>
      </c>
      <c r="D51" s="173"/>
      <c r="E51" s="173"/>
      <c r="F51" s="173"/>
      <c r="G51" s="174">
        <f t="shared" si="1"/>
        <v>0</v>
      </c>
      <c r="H51" s="175"/>
      <c r="I51" s="176"/>
      <c r="J51" s="173"/>
      <c r="K51" s="173"/>
      <c r="L51" s="174">
        <f t="shared" si="2"/>
        <v>0</v>
      </c>
      <c r="M51" s="177">
        <f t="shared" si="0"/>
        <v>0</v>
      </c>
    </row>
    <row r="52" spans="1:13" x14ac:dyDescent="0.2">
      <c r="A52" s="53">
        <v>47</v>
      </c>
      <c r="B52" s="1058">
        <v>1985</v>
      </c>
      <c r="C52" s="180" t="s">
        <v>1404</v>
      </c>
      <c r="D52" s="173">
        <v>15</v>
      </c>
      <c r="E52" s="173"/>
      <c r="F52" s="173"/>
      <c r="G52" s="174">
        <f t="shared" si="1"/>
        <v>15</v>
      </c>
      <c r="H52" s="175"/>
      <c r="I52" s="176"/>
      <c r="J52" s="173">
        <v>15</v>
      </c>
      <c r="K52" s="173"/>
      <c r="L52" s="174">
        <f t="shared" si="2"/>
        <v>15</v>
      </c>
      <c r="M52" s="177">
        <f t="shared" si="0"/>
        <v>0</v>
      </c>
    </row>
    <row r="53" spans="1:13" x14ac:dyDescent="0.2">
      <c r="A53" s="186">
        <v>47</v>
      </c>
      <c r="B53" s="1058">
        <v>1990</v>
      </c>
      <c r="C53" s="1061" t="s">
        <v>502</v>
      </c>
      <c r="D53" s="173"/>
      <c r="E53" s="173"/>
      <c r="F53" s="173"/>
      <c r="G53" s="174">
        <f t="shared" si="1"/>
        <v>0</v>
      </c>
      <c r="H53" s="175"/>
      <c r="I53" s="176"/>
      <c r="J53" s="173"/>
      <c r="K53" s="173"/>
      <c r="L53" s="174">
        <f t="shared" si="2"/>
        <v>0</v>
      </c>
      <c r="M53" s="177">
        <f t="shared" si="0"/>
        <v>0</v>
      </c>
    </row>
    <row r="54" spans="1:13" x14ac:dyDescent="0.2">
      <c r="A54" s="53">
        <v>47</v>
      </c>
      <c r="B54" s="1058">
        <v>1995</v>
      </c>
      <c r="C54" s="180" t="s">
        <v>294</v>
      </c>
      <c r="D54" s="173">
        <v>-3871421</v>
      </c>
      <c r="E54" s="173">
        <v>-445527</v>
      </c>
      <c r="F54" s="173"/>
      <c r="G54" s="174">
        <f t="shared" si="1"/>
        <v>-4316948</v>
      </c>
      <c r="H54" s="175"/>
      <c r="I54" s="176">
        <v>-1064210</v>
      </c>
      <c r="J54" s="173">
        <v>-165320</v>
      </c>
      <c r="K54" s="173"/>
      <c r="L54" s="174">
        <f t="shared" si="2"/>
        <v>-1229530</v>
      </c>
      <c r="M54" s="177">
        <f t="shared" si="0"/>
        <v>-3087418</v>
      </c>
    </row>
    <row r="55" spans="1:13" ht="14.25" x14ac:dyDescent="0.2">
      <c r="A55" s="53">
        <v>47</v>
      </c>
      <c r="B55" s="1058">
        <v>2440</v>
      </c>
      <c r="C55" s="180" t="s">
        <v>950</v>
      </c>
      <c r="D55" s="173"/>
      <c r="E55" s="173"/>
      <c r="F55" s="173"/>
      <c r="G55" s="174"/>
      <c r="I55" s="176"/>
      <c r="J55" s="173"/>
      <c r="K55" s="173"/>
      <c r="L55" s="174"/>
      <c r="M55" s="177"/>
    </row>
    <row r="56" spans="1:13" x14ac:dyDescent="0.2">
      <c r="A56" s="187"/>
      <c r="B56" s="187"/>
      <c r="C56" s="188"/>
      <c r="D56" s="189"/>
      <c r="E56" s="189"/>
      <c r="F56" s="189"/>
      <c r="G56" s="174">
        <f t="shared" si="1"/>
        <v>0</v>
      </c>
      <c r="I56" s="189"/>
      <c r="J56" s="189"/>
      <c r="K56" s="189"/>
      <c r="L56" s="174">
        <f t="shared" si="2"/>
        <v>0</v>
      </c>
      <c r="M56" s="177">
        <f>G56+L56</f>
        <v>0</v>
      </c>
    </row>
    <row r="57" spans="1:13" x14ac:dyDescent="0.2">
      <c r="A57" s="187"/>
      <c r="B57" s="187"/>
      <c r="C57" s="190" t="s">
        <v>204</v>
      </c>
      <c r="D57" s="191">
        <f>SUM(D17:D56)</f>
        <v>22628509</v>
      </c>
      <c r="E57" s="191">
        <f>SUM(E17:E56)</f>
        <v>339089</v>
      </c>
      <c r="F57" s="191">
        <f>SUM(F17:F56)</f>
        <v>0</v>
      </c>
      <c r="G57" s="191">
        <f>SUM(G17:G56)</f>
        <v>22967598</v>
      </c>
      <c r="H57" s="191"/>
      <c r="I57" s="191">
        <f>SUM(I17:I56)</f>
        <v>14973006</v>
      </c>
      <c r="J57" s="191">
        <f>SUM(J17:J56)</f>
        <v>858088</v>
      </c>
      <c r="K57" s="191">
        <f>SUM(K17:K56)</f>
        <v>0</v>
      </c>
      <c r="L57" s="191">
        <f>SUM(L17:L56)</f>
        <v>15831094</v>
      </c>
      <c r="M57" s="191">
        <f>SUM(M17:M56)</f>
        <v>7136504</v>
      </c>
    </row>
    <row r="58" spans="1:13" ht="37.5" x14ac:dyDescent="0.2">
      <c r="A58" s="187"/>
      <c r="B58" s="187"/>
      <c r="C58" s="192" t="s">
        <v>597</v>
      </c>
      <c r="D58" s="189"/>
      <c r="E58" s="189"/>
      <c r="F58" s="189"/>
      <c r="G58" s="174">
        <f>D58+E58+F58</f>
        <v>0</v>
      </c>
      <c r="I58" s="189"/>
      <c r="J58" s="189"/>
      <c r="K58" s="189"/>
      <c r="L58" s="174">
        <f>I58+J58+K58</f>
        <v>0</v>
      </c>
      <c r="M58" s="177">
        <f>G58+L58</f>
        <v>0</v>
      </c>
    </row>
    <row r="59" spans="1:13" ht="25.5" x14ac:dyDescent="0.2">
      <c r="A59" s="187"/>
      <c r="B59" s="187"/>
      <c r="C59" s="193" t="s">
        <v>596</v>
      </c>
      <c r="D59" s="189"/>
      <c r="E59" s="189"/>
      <c r="F59" s="189"/>
      <c r="G59" s="174">
        <f t="shared" si="1"/>
        <v>0</v>
      </c>
      <c r="I59" s="189"/>
      <c r="J59" s="189"/>
      <c r="K59" s="189"/>
      <c r="L59" s="174">
        <f>I59+J59+K59</f>
        <v>0</v>
      </c>
      <c r="M59" s="177">
        <f>G59+L59</f>
        <v>0</v>
      </c>
    </row>
    <row r="60" spans="1:13" x14ac:dyDescent="0.2">
      <c r="A60" s="187"/>
      <c r="B60" s="187"/>
      <c r="C60" s="190" t="s">
        <v>503</v>
      </c>
      <c r="D60" s="191">
        <f>SUM(D57:D59)</f>
        <v>22628509</v>
      </c>
      <c r="E60" s="191">
        <f>SUM(E57:E59)</f>
        <v>339089</v>
      </c>
      <c r="F60" s="191">
        <f>SUM(F57:F59)</f>
        <v>0</v>
      </c>
      <c r="G60" s="191">
        <f>SUM(G57:G59)</f>
        <v>22967598</v>
      </c>
      <c r="H60" s="191"/>
      <c r="I60" s="191">
        <f>SUM(I57:I59)</f>
        <v>14973006</v>
      </c>
      <c r="J60" s="191">
        <f>SUM(J57:J59)</f>
        <v>858088</v>
      </c>
      <c r="K60" s="191">
        <f>SUM(K57:K59)</f>
        <v>0</v>
      </c>
      <c r="L60" s="191">
        <f>SUM(L57:L59)</f>
        <v>15831094</v>
      </c>
      <c r="M60" s="191">
        <f>SUM(M57:M59)</f>
        <v>7136504</v>
      </c>
    </row>
    <row r="61" spans="1:13" ht="14.25" x14ac:dyDescent="0.2">
      <c r="A61" s="187"/>
      <c r="B61" s="187"/>
      <c r="C61" s="1603" t="s">
        <v>912</v>
      </c>
      <c r="D61" s="1604"/>
      <c r="E61" s="1604"/>
      <c r="F61" s="1604"/>
      <c r="G61" s="1604"/>
      <c r="H61" s="1604"/>
      <c r="I61" s="1605"/>
      <c r="J61" s="189"/>
      <c r="K61" s="194"/>
      <c r="L61" s="195"/>
      <c r="M61" s="196"/>
    </row>
    <row r="62" spans="1:13" x14ac:dyDescent="0.2">
      <c r="A62" s="187"/>
      <c r="B62" s="187"/>
      <c r="C62" s="1603" t="s">
        <v>295</v>
      </c>
      <c r="D62" s="1604"/>
      <c r="E62" s="1604"/>
      <c r="F62" s="1604"/>
      <c r="G62" s="1604"/>
      <c r="H62" s="1604"/>
      <c r="I62" s="1605"/>
      <c r="J62" s="191">
        <f>J60+J61</f>
        <v>858088</v>
      </c>
      <c r="K62" s="194"/>
      <c r="L62" s="195"/>
      <c r="M62" s="196"/>
    </row>
    <row r="64" spans="1:13" x14ac:dyDescent="0.2">
      <c r="I64" s="197" t="s">
        <v>422</v>
      </c>
      <c r="J64" s="1071"/>
    </row>
    <row r="65" spans="1:13" x14ac:dyDescent="0.2">
      <c r="A65" s="187">
        <v>10</v>
      </c>
      <c r="B65" s="187"/>
      <c r="C65" s="188" t="s">
        <v>296</v>
      </c>
      <c r="I65" s="1071" t="s">
        <v>296</v>
      </c>
      <c r="J65" s="1071"/>
      <c r="K65" s="198">
        <f>J41</f>
        <v>83137</v>
      </c>
    </row>
    <row r="66" spans="1:13" x14ac:dyDescent="0.2">
      <c r="A66" s="187">
        <v>8</v>
      </c>
      <c r="B66" s="187"/>
      <c r="C66" s="188" t="s">
        <v>287</v>
      </c>
      <c r="I66" s="1071" t="s">
        <v>851</v>
      </c>
      <c r="J66" s="1071"/>
      <c r="K66" s="199">
        <f>J46</f>
        <v>1545</v>
      </c>
    </row>
    <row r="67" spans="1:13" x14ac:dyDescent="0.2">
      <c r="I67" s="200" t="s">
        <v>297</v>
      </c>
      <c r="K67" s="201">
        <f>-K65-K66</f>
        <v>-84682</v>
      </c>
    </row>
    <row r="68" spans="1:13" x14ac:dyDescent="0.2">
      <c r="A68" s="1451"/>
      <c r="B68" s="1451"/>
      <c r="I68" s="200"/>
      <c r="K68" s="1453"/>
    </row>
    <row r="69" spans="1:13" x14ac:dyDescent="0.2">
      <c r="A69" s="1451"/>
      <c r="B69" s="1451"/>
      <c r="E69" s="122" t="s">
        <v>882</v>
      </c>
      <c r="F69" s="48" t="s">
        <v>105</v>
      </c>
      <c r="H69" s="52"/>
    </row>
    <row r="70" spans="1:13" ht="15" x14ac:dyDescent="0.25">
      <c r="A70" s="1451"/>
      <c r="B70" s="1451"/>
      <c r="C70" s="56"/>
      <c r="E70" s="122" t="s">
        <v>102</v>
      </c>
      <c r="F70" s="160">
        <v>2013</v>
      </c>
      <c r="G70" s="161"/>
    </row>
    <row r="71" spans="1:13" x14ac:dyDescent="0.2">
      <c r="A71" s="1451"/>
      <c r="B71" s="1451"/>
    </row>
    <row r="72" spans="1:13" x14ac:dyDescent="0.2">
      <c r="A72" s="1451"/>
      <c r="B72" s="1451"/>
      <c r="D72" s="1606" t="s">
        <v>264</v>
      </c>
      <c r="E72" s="1607"/>
      <c r="F72" s="1607"/>
      <c r="G72" s="1608"/>
      <c r="I72" s="162"/>
      <c r="J72" s="163" t="s">
        <v>265</v>
      </c>
      <c r="K72" s="163"/>
      <c r="L72" s="164"/>
      <c r="M72" s="159"/>
    </row>
    <row r="73" spans="1:13" ht="27" x14ac:dyDescent="0.2">
      <c r="A73" s="165" t="s">
        <v>1000</v>
      </c>
      <c r="B73" s="165" t="s">
        <v>1002</v>
      </c>
      <c r="C73" s="166" t="s">
        <v>1003</v>
      </c>
      <c r="D73" s="165" t="s">
        <v>236</v>
      </c>
      <c r="E73" s="167" t="s">
        <v>1001</v>
      </c>
      <c r="F73" s="167" t="s">
        <v>1189</v>
      </c>
      <c r="G73" s="165" t="s">
        <v>263</v>
      </c>
      <c r="H73" s="168"/>
      <c r="I73" s="169" t="s">
        <v>236</v>
      </c>
      <c r="J73" s="170" t="s">
        <v>237</v>
      </c>
      <c r="K73" s="170" t="s">
        <v>1189</v>
      </c>
      <c r="L73" s="171" t="s">
        <v>263</v>
      </c>
      <c r="M73" s="165" t="s">
        <v>300</v>
      </c>
    </row>
    <row r="74" spans="1:13" ht="25.5" x14ac:dyDescent="0.2">
      <c r="A74" s="53">
        <v>12</v>
      </c>
      <c r="B74" s="1450">
        <v>1611</v>
      </c>
      <c r="C74" s="172" t="s">
        <v>381</v>
      </c>
      <c r="D74" s="173">
        <v>241021</v>
      </c>
      <c r="E74" s="173">
        <v>2716</v>
      </c>
      <c r="F74" s="173"/>
      <c r="G74" s="174">
        <f>D74+E74+F74</f>
        <v>243737</v>
      </c>
      <c r="H74" s="175"/>
      <c r="I74" s="176">
        <v>230897</v>
      </c>
      <c r="J74" s="173">
        <v>19361</v>
      </c>
      <c r="K74" s="173"/>
      <c r="L74" s="174">
        <f>I74+J74+K74</f>
        <v>250258</v>
      </c>
      <c r="M74" s="177">
        <f>G74-L74</f>
        <v>-6521</v>
      </c>
    </row>
    <row r="75" spans="1:13" ht="25.5" x14ac:dyDescent="0.2">
      <c r="A75" s="53" t="s">
        <v>274</v>
      </c>
      <c r="B75" s="1450">
        <v>1612</v>
      </c>
      <c r="C75" s="172" t="s">
        <v>442</v>
      </c>
      <c r="D75" s="173">
        <v>2945</v>
      </c>
      <c r="E75" s="173"/>
      <c r="F75" s="173"/>
      <c r="G75" s="174">
        <f>D75+E75+F75</f>
        <v>2945</v>
      </c>
      <c r="H75" s="175"/>
      <c r="I75" s="176">
        <v>2725</v>
      </c>
      <c r="J75" s="173"/>
      <c r="K75" s="173"/>
      <c r="L75" s="174">
        <f>I75+J75+K75</f>
        <v>2725</v>
      </c>
      <c r="M75" s="177">
        <f t="shared" ref="M75:M120" si="3">G75-L75</f>
        <v>220</v>
      </c>
    </row>
    <row r="76" spans="1:13" x14ac:dyDescent="0.2">
      <c r="A76" s="53" t="s">
        <v>266</v>
      </c>
      <c r="B76" s="178">
        <v>1805</v>
      </c>
      <c r="C76" s="179" t="s">
        <v>267</v>
      </c>
      <c r="D76" s="173">
        <v>2112</v>
      </c>
      <c r="E76" s="173"/>
      <c r="F76" s="173"/>
      <c r="G76" s="174">
        <f>D76+E76+F76</f>
        <v>2112</v>
      </c>
      <c r="H76" s="175"/>
      <c r="I76" s="176"/>
      <c r="J76" s="173"/>
      <c r="K76" s="173"/>
      <c r="L76" s="174">
        <f>I76+J76+K76</f>
        <v>0</v>
      </c>
      <c r="M76" s="177">
        <f t="shared" si="3"/>
        <v>2112</v>
      </c>
    </row>
    <row r="77" spans="1:13" x14ac:dyDescent="0.2">
      <c r="A77" s="53">
        <v>47</v>
      </c>
      <c r="B77" s="178">
        <v>1808</v>
      </c>
      <c r="C77" s="180" t="s">
        <v>268</v>
      </c>
      <c r="D77" s="173"/>
      <c r="E77" s="173"/>
      <c r="F77" s="173"/>
      <c r="G77" s="174">
        <f t="shared" ref="G77:G120" si="4">D77+E77+F77</f>
        <v>0</v>
      </c>
      <c r="H77" s="175"/>
      <c r="I77" s="176"/>
      <c r="J77" s="173"/>
      <c r="K77" s="173"/>
      <c r="L77" s="174">
        <f t="shared" ref="L77:L120" si="5">I77+J77+K77</f>
        <v>0</v>
      </c>
      <c r="M77" s="177">
        <f t="shared" si="3"/>
        <v>0</v>
      </c>
    </row>
    <row r="78" spans="1:13" x14ac:dyDescent="0.2">
      <c r="A78" s="53">
        <v>13</v>
      </c>
      <c r="B78" s="178">
        <v>1810</v>
      </c>
      <c r="C78" s="180" t="s">
        <v>299</v>
      </c>
      <c r="D78" s="173"/>
      <c r="E78" s="173"/>
      <c r="F78" s="173"/>
      <c r="G78" s="174">
        <f t="shared" si="4"/>
        <v>0</v>
      </c>
      <c r="H78" s="175"/>
      <c r="I78" s="176"/>
      <c r="J78" s="173"/>
      <c r="K78" s="173"/>
      <c r="L78" s="174">
        <f t="shared" si="5"/>
        <v>0</v>
      </c>
      <c r="M78" s="177">
        <f t="shared" si="3"/>
        <v>0</v>
      </c>
    </row>
    <row r="79" spans="1:13" x14ac:dyDescent="0.2">
      <c r="A79" s="53">
        <v>47</v>
      </c>
      <c r="B79" s="178">
        <v>1815</v>
      </c>
      <c r="C79" s="180" t="s">
        <v>269</v>
      </c>
      <c r="D79" s="173"/>
      <c r="E79" s="173"/>
      <c r="F79" s="173"/>
      <c r="G79" s="174">
        <f t="shared" si="4"/>
        <v>0</v>
      </c>
      <c r="H79" s="175"/>
      <c r="I79" s="176"/>
      <c r="J79" s="173"/>
      <c r="K79" s="173"/>
      <c r="L79" s="174">
        <f t="shared" si="5"/>
        <v>0</v>
      </c>
      <c r="M79" s="177">
        <f t="shared" si="3"/>
        <v>0</v>
      </c>
    </row>
    <row r="80" spans="1:13" x14ac:dyDescent="0.2">
      <c r="A80" s="53">
        <v>47</v>
      </c>
      <c r="B80" s="178">
        <v>1820</v>
      </c>
      <c r="C80" s="172" t="s">
        <v>207</v>
      </c>
      <c r="D80" s="173">
        <v>142098</v>
      </c>
      <c r="E80" s="173"/>
      <c r="F80" s="173"/>
      <c r="G80" s="174">
        <f t="shared" si="4"/>
        <v>142098</v>
      </c>
      <c r="H80" s="175"/>
      <c r="I80" s="176">
        <v>141014</v>
      </c>
      <c r="J80" s="173">
        <v>62</v>
      </c>
      <c r="K80" s="173"/>
      <c r="L80" s="174">
        <f t="shared" si="5"/>
        <v>141076</v>
      </c>
      <c r="M80" s="177">
        <f t="shared" si="3"/>
        <v>1022</v>
      </c>
    </row>
    <row r="81" spans="1:13" x14ac:dyDescent="0.2">
      <c r="A81" s="53">
        <v>47</v>
      </c>
      <c r="B81" s="178">
        <v>1825</v>
      </c>
      <c r="C81" s="180" t="s">
        <v>270</v>
      </c>
      <c r="D81" s="173"/>
      <c r="E81" s="173"/>
      <c r="F81" s="173"/>
      <c r="G81" s="174">
        <f t="shared" si="4"/>
        <v>0</v>
      </c>
      <c r="H81" s="175"/>
      <c r="I81" s="176"/>
      <c r="J81" s="173"/>
      <c r="K81" s="173"/>
      <c r="L81" s="174">
        <f t="shared" si="5"/>
        <v>0</v>
      </c>
      <c r="M81" s="177">
        <f t="shared" si="3"/>
        <v>0</v>
      </c>
    </row>
    <row r="82" spans="1:13" x14ac:dyDescent="0.2">
      <c r="A82" s="53">
        <v>47</v>
      </c>
      <c r="B82" s="178">
        <v>1830</v>
      </c>
      <c r="C82" s="180" t="s">
        <v>271</v>
      </c>
      <c r="D82" s="173">
        <v>912587</v>
      </c>
      <c r="E82" s="173">
        <v>88785</v>
      </c>
      <c r="F82" s="173"/>
      <c r="G82" s="174">
        <f t="shared" si="4"/>
        <v>1001372</v>
      </c>
      <c r="H82" s="175"/>
      <c r="I82" s="176">
        <v>233649</v>
      </c>
      <c r="J82" s="173">
        <v>18672</v>
      </c>
      <c r="K82" s="173"/>
      <c r="L82" s="174">
        <f t="shared" si="5"/>
        <v>252321</v>
      </c>
      <c r="M82" s="177">
        <f t="shared" si="3"/>
        <v>749051</v>
      </c>
    </row>
    <row r="83" spans="1:13" x14ac:dyDescent="0.2">
      <c r="A83" s="53">
        <v>47</v>
      </c>
      <c r="B83" s="178">
        <v>1835</v>
      </c>
      <c r="C83" s="180" t="s">
        <v>208</v>
      </c>
      <c r="D83" s="173">
        <v>6381164</v>
      </c>
      <c r="E83" s="173">
        <v>76806</v>
      </c>
      <c r="F83" s="173"/>
      <c r="G83" s="174">
        <f t="shared" si="4"/>
        <v>6457970</v>
      </c>
      <c r="H83" s="175"/>
      <c r="I83" s="176">
        <v>4554423</v>
      </c>
      <c r="J83" s="173">
        <v>36380</v>
      </c>
      <c r="K83" s="173"/>
      <c r="L83" s="174">
        <f t="shared" si="5"/>
        <v>4590803</v>
      </c>
      <c r="M83" s="177">
        <f t="shared" si="3"/>
        <v>1867167</v>
      </c>
    </row>
    <row r="84" spans="1:13" x14ac:dyDescent="0.2">
      <c r="A84" s="53">
        <v>47</v>
      </c>
      <c r="B84" s="178">
        <v>1840</v>
      </c>
      <c r="C84" s="180" t="s">
        <v>209</v>
      </c>
      <c r="D84" s="173">
        <v>1375872</v>
      </c>
      <c r="E84" s="173">
        <v>425196</v>
      </c>
      <c r="F84" s="173"/>
      <c r="G84" s="174">
        <f t="shared" si="4"/>
        <v>1801068</v>
      </c>
      <c r="H84" s="175"/>
      <c r="I84" s="176">
        <v>296483</v>
      </c>
      <c r="J84" s="173">
        <v>28583</v>
      </c>
      <c r="K84" s="173"/>
      <c r="L84" s="174">
        <f t="shared" si="5"/>
        <v>325066</v>
      </c>
      <c r="M84" s="177">
        <f t="shared" si="3"/>
        <v>1476002</v>
      </c>
    </row>
    <row r="85" spans="1:13" x14ac:dyDescent="0.2">
      <c r="A85" s="53">
        <v>47</v>
      </c>
      <c r="B85" s="178">
        <v>1845</v>
      </c>
      <c r="C85" s="180" t="s">
        <v>210</v>
      </c>
      <c r="D85" s="173">
        <v>7476397</v>
      </c>
      <c r="E85" s="173">
        <v>440764</v>
      </c>
      <c r="F85" s="173"/>
      <c r="G85" s="174">
        <f t="shared" si="4"/>
        <v>7917161</v>
      </c>
      <c r="H85" s="175"/>
      <c r="I85" s="176">
        <v>4814953</v>
      </c>
      <c r="J85" s="173">
        <v>91845</v>
      </c>
      <c r="K85" s="173"/>
      <c r="L85" s="174">
        <f t="shared" si="5"/>
        <v>4906798</v>
      </c>
      <c r="M85" s="177">
        <f t="shared" si="3"/>
        <v>3010363</v>
      </c>
    </row>
    <row r="86" spans="1:13" x14ac:dyDescent="0.2">
      <c r="A86" s="53">
        <v>47</v>
      </c>
      <c r="B86" s="178">
        <v>1850</v>
      </c>
      <c r="C86" s="180" t="s">
        <v>272</v>
      </c>
      <c r="D86" s="173">
        <v>5727767</v>
      </c>
      <c r="E86" s="173">
        <v>237824</v>
      </c>
      <c r="F86" s="173"/>
      <c r="G86" s="174">
        <f t="shared" si="4"/>
        <v>5965591</v>
      </c>
      <c r="H86" s="175"/>
      <c r="I86" s="176">
        <v>3531691</v>
      </c>
      <c r="J86" s="173">
        <v>72106</v>
      </c>
      <c r="K86" s="173"/>
      <c r="L86" s="174">
        <f t="shared" si="5"/>
        <v>3603797</v>
      </c>
      <c r="M86" s="177">
        <f t="shared" si="3"/>
        <v>2361794</v>
      </c>
    </row>
    <row r="87" spans="1:13" x14ac:dyDescent="0.2">
      <c r="A87" s="53">
        <v>47</v>
      </c>
      <c r="B87" s="178">
        <v>1851</v>
      </c>
      <c r="C87" s="180" t="s">
        <v>1405</v>
      </c>
      <c r="D87" s="173"/>
      <c r="E87" s="173"/>
      <c r="F87" s="173"/>
      <c r="G87" s="174">
        <f t="shared" si="4"/>
        <v>0</v>
      </c>
      <c r="H87" s="175"/>
      <c r="I87" s="176"/>
      <c r="J87" s="173"/>
      <c r="K87" s="173"/>
      <c r="L87" s="174">
        <f t="shared" si="5"/>
        <v>0</v>
      </c>
      <c r="M87" s="177">
        <f t="shared" si="3"/>
        <v>0</v>
      </c>
    </row>
    <row r="88" spans="1:13" x14ac:dyDescent="0.2">
      <c r="A88" s="53">
        <v>47</v>
      </c>
      <c r="B88" s="178">
        <v>1852</v>
      </c>
      <c r="C88" s="180" t="s">
        <v>1406</v>
      </c>
      <c r="D88" s="173"/>
      <c r="E88" s="173">
        <v>22746</v>
      </c>
      <c r="F88" s="173"/>
      <c r="G88" s="174">
        <f t="shared" si="4"/>
        <v>22746</v>
      </c>
      <c r="H88" s="175"/>
      <c r="I88" s="176"/>
      <c r="J88" s="173">
        <v>190</v>
      </c>
      <c r="K88" s="173"/>
      <c r="L88" s="174">
        <f t="shared" si="5"/>
        <v>190</v>
      </c>
      <c r="M88" s="177">
        <f t="shared" si="3"/>
        <v>22556</v>
      </c>
    </row>
    <row r="89" spans="1:13" x14ac:dyDescent="0.2">
      <c r="A89" s="53">
        <v>47</v>
      </c>
      <c r="B89" s="178">
        <v>1855</v>
      </c>
      <c r="C89" s="180" t="s">
        <v>211</v>
      </c>
      <c r="D89" s="173">
        <v>772791</v>
      </c>
      <c r="E89" s="173">
        <v>99790</v>
      </c>
      <c r="F89" s="173"/>
      <c r="G89" s="174">
        <f t="shared" si="4"/>
        <v>872581</v>
      </c>
      <c r="H89" s="175"/>
      <c r="I89" s="176">
        <v>167364</v>
      </c>
      <c r="J89" s="173">
        <v>32917</v>
      </c>
      <c r="K89" s="173"/>
      <c r="L89" s="174">
        <f t="shared" si="5"/>
        <v>200281</v>
      </c>
      <c r="M89" s="177">
        <f t="shared" si="3"/>
        <v>672300</v>
      </c>
    </row>
    <row r="90" spans="1:13" x14ac:dyDescent="0.2">
      <c r="A90" s="53">
        <v>47</v>
      </c>
      <c r="B90" s="178">
        <v>1860</v>
      </c>
      <c r="C90" s="180" t="s">
        <v>273</v>
      </c>
      <c r="D90" s="173">
        <v>516664</v>
      </c>
      <c r="E90" s="173"/>
      <c r="F90" s="173">
        <v>-516664</v>
      </c>
      <c r="G90" s="174">
        <f>D90+E90+F90</f>
        <v>0</v>
      </c>
      <c r="H90" s="175"/>
      <c r="I90" s="176">
        <v>83233</v>
      </c>
      <c r="J90" s="173"/>
      <c r="K90" s="173">
        <v>-83233</v>
      </c>
      <c r="L90" s="174">
        <f>I90+J90+K90</f>
        <v>0</v>
      </c>
      <c r="M90" s="177">
        <f t="shared" si="3"/>
        <v>0</v>
      </c>
    </row>
    <row r="91" spans="1:13" ht="25.5" x14ac:dyDescent="0.2">
      <c r="A91" s="53">
        <v>47</v>
      </c>
      <c r="B91" s="178">
        <v>1861</v>
      </c>
      <c r="C91" s="180" t="s">
        <v>1396</v>
      </c>
      <c r="D91" s="173">
        <v>912143</v>
      </c>
      <c r="E91" s="173">
        <v>24695</v>
      </c>
      <c r="F91" s="173"/>
      <c r="G91" s="174">
        <f t="shared" si="4"/>
        <v>936838</v>
      </c>
      <c r="H91" s="175"/>
      <c r="I91" s="176"/>
      <c r="J91" s="173">
        <v>128350</v>
      </c>
      <c r="K91" s="173"/>
      <c r="L91" s="174">
        <f t="shared" si="5"/>
        <v>128350</v>
      </c>
      <c r="M91" s="177">
        <f t="shared" si="3"/>
        <v>808488</v>
      </c>
    </row>
    <row r="92" spans="1:13" x14ac:dyDescent="0.2">
      <c r="A92" s="53">
        <v>47</v>
      </c>
      <c r="B92" s="178">
        <v>1862</v>
      </c>
      <c r="C92" s="180" t="s">
        <v>1397</v>
      </c>
      <c r="D92" s="173">
        <v>316116</v>
      </c>
      <c r="E92" s="173">
        <v>7039</v>
      </c>
      <c r="F92" s="173"/>
      <c r="G92" s="174">
        <f t="shared" si="4"/>
        <v>323155</v>
      </c>
      <c r="H92" s="175"/>
      <c r="I92" s="176"/>
      <c r="J92" s="173">
        <v>33942</v>
      </c>
      <c r="K92" s="173"/>
      <c r="L92" s="174">
        <f t="shared" si="5"/>
        <v>33942</v>
      </c>
      <c r="M92" s="177">
        <f t="shared" si="3"/>
        <v>289213</v>
      </c>
    </row>
    <row r="93" spans="1:13" x14ac:dyDescent="0.2">
      <c r="A93" s="53">
        <v>47</v>
      </c>
      <c r="B93" s="178">
        <v>1863</v>
      </c>
      <c r="C93" s="180" t="s">
        <v>1398</v>
      </c>
      <c r="D93" s="173">
        <v>0</v>
      </c>
      <c r="E93" s="173"/>
      <c r="F93" s="173"/>
      <c r="G93" s="174">
        <f t="shared" si="4"/>
        <v>0</v>
      </c>
      <c r="H93" s="175"/>
      <c r="I93" s="176"/>
      <c r="J93" s="173"/>
      <c r="K93" s="173"/>
      <c r="L93" s="174">
        <f t="shared" si="5"/>
        <v>0</v>
      </c>
      <c r="M93" s="177">
        <f t="shared" si="3"/>
        <v>0</v>
      </c>
    </row>
    <row r="94" spans="1:13" x14ac:dyDescent="0.2">
      <c r="A94" s="53">
        <v>47</v>
      </c>
      <c r="B94" s="178">
        <v>1864</v>
      </c>
      <c r="C94" s="180" t="s">
        <v>1399</v>
      </c>
      <c r="D94" s="173">
        <v>108572</v>
      </c>
      <c r="E94" s="173">
        <v>2462</v>
      </c>
      <c r="F94" s="173"/>
      <c r="G94" s="174">
        <f t="shared" si="4"/>
        <v>111034</v>
      </c>
      <c r="H94" s="175"/>
      <c r="I94" s="176"/>
      <c r="J94" s="173">
        <v>3176</v>
      </c>
      <c r="K94" s="173"/>
      <c r="L94" s="174">
        <f t="shared" si="5"/>
        <v>3176</v>
      </c>
      <c r="M94" s="177">
        <f t="shared" si="3"/>
        <v>107858</v>
      </c>
    </row>
    <row r="95" spans="1:13" x14ac:dyDescent="0.2">
      <c r="A95" s="53">
        <v>47</v>
      </c>
      <c r="B95" s="178">
        <v>1865</v>
      </c>
      <c r="C95" s="179" t="s">
        <v>1400</v>
      </c>
      <c r="D95" s="173">
        <v>0</v>
      </c>
      <c r="E95" s="173"/>
      <c r="F95" s="173"/>
      <c r="G95" s="174">
        <f t="shared" si="4"/>
        <v>0</v>
      </c>
      <c r="H95" s="175"/>
      <c r="I95" s="176"/>
      <c r="J95" s="173"/>
      <c r="K95" s="173"/>
      <c r="L95" s="174">
        <f t="shared" si="5"/>
        <v>0</v>
      </c>
      <c r="M95" s="177">
        <f t="shared" si="3"/>
        <v>0</v>
      </c>
    </row>
    <row r="96" spans="1:13" x14ac:dyDescent="0.2">
      <c r="A96" s="53" t="s">
        <v>266</v>
      </c>
      <c r="B96" s="178">
        <v>1905</v>
      </c>
      <c r="C96" s="179" t="s">
        <v>267</v>
      </c>
      <c r="D96" s="173">
        <v>171765</v>
      </c>
      <c r="E96" s="173"/>
      <c r="F96" s="173"/>
      <c r="G96" s="174">
        <f t="shared" si="4"/>
        <v>171765</v>
      </c>
      <c r="H96" s="175"/>
      <c r="I96" s="176"/>
      <c r="J96" s="173"/>
      <c r="K96" s="173"/>
      <c r="L96" s="174">
        <f t="shared" si="5"/>
        <v>0</v>
      </c>
      <c r="M96" s="177">
        <f t="shared" si="3"/>
        <v>171765</v>
      </c>
    </row>
    <row r="97" spans="1:13" x14ac:dyDescent="0.2">
      <c r="A97" s="53">
        <v>47</v>
      </c>
      <c r="B97" s="178">
        <v>1908</v>
      </c>
      <c r="C97" s="180" t="s">
        <v>275</v>
      </c>
      <c r="D97" s="173">
        <v>664871</v>
      </c>
      <c r="E97" s="173"/>
      <c r="F97" s="173"/>
      <c r="G97" s="174">
        <f t="shared" si="4"/>
        <v>664871</v>
      </c>
      <c r="H97" s="175"/>
      <c r="I97" s="176">
        <v>346577</v>
      </c>
      <c r="J97" s="173">
        <v>14490</v>
      </c>
      <c r="K97" s="173"/>
      <c r="L97" s="174">
        <f t="shared" si="5"/>
        <v>361067</v>
      </c>
      <c r="M97" s="177">
        <f t="shared" si="3"/>
        <v>303804</v>
      </c>
    </row>
    <row r="98" spans="1:13" x14ac:dyDescent="0.2">
      <c r="A98" s="53">
        <v>13</v>
      </c>
      <c r="B98" s="178">
        <v>1910</v>
      </c>
      <c r="C98" s="180" t="s">
        <v>299</v>
      </c>
      <c r="D98" s="173"/>
      <c r="E98" s="173"/>
      <c r="F98" s="173"/>
      <c r="G98" s="174">
        <f t="shared" si="4"/>
        <v>0</v>
      </c>
      <c r="H98" s="175"/>
      <c r="I98" s="176"/>
      <c r="J98" s="173"/>
      <c r="K98" s="173"/>
      <c r="L98" s="174">
        <f t="shared" si="5"/>
        <v>0</v>
      </c>
      <c r="M98" s="177">
        <f t="shared" si="3"/>
        <v>0</v>
      </c>
    </row>
    <row r="99" spans="1:13" x14ac:dyDescent="0.2">
      <c r="A99" s="53">
        <v>8</v>
      </c>
      <c r="B99" s="178">
        <v>1915</v>
      </c>
      <c r="C99" s="180" t="s">
        <v>213</v>
      </c>
      <c r="D99" s="173">
        <v>242954</v>
      </c>
      <c r="E99" s="173">
        <v>2223</v>
      </c>
      <c r="F99" s="173"/>
      <c r="G99" s="174">
        <f t="shared" si="4"/>
        <v>245177</v>
      </c>
      <c r="H99" s="175"/>
      <c r="I99" s="176">
        <v>211554</v>
      </c>
      <c r="J99" s="173">
        <v>6873</v>
      </c>
      <c r="K99" s="173"/>
      <c r="L99" s="174">
        <f t="shared" si="5"/>
        <v>218427</v>
      </c>
      <c r="M99" s="177">
        <f t="shared" si="3"/>
        <v>26750</v>
      </c>
    </row>
    <row r="100" spans="1:13" x14ac:dyDescent="0.2">
      <c r="A100" s="53">
        <v>8</v>
      </c>
      <c r="B100" s="178">
        <v>1915</v>
      </c>
      <c r="C100" s="180" t="s">
        <v>214</v>
      </c>
      <c r="D100" s="173"/>
      <c r="E100" s="173"/>
      <c r="F100" s="173"/>
      <c r="G100" s="174">
        <f t="shared" si="4"/>
        <v>0</v>
      </c>
      <c r="H100" s="175"/>
      <c r="I100" s="176"/>
      <c r="J100" s="173"/>
      <c r="K100" s="173"/>
      <c r="L100" s="174">
        <f t="shared" si="5"/>
        <v>0</v>
      </c>
      <c r="M100" s="177">
        <f t="shared" si="3"/>
        <v>0</v>
      </c>
    </row>
    <row r="101" spans="1:13" x14ac:dyDescent="0.2">
      <c r="A101" s="53">
        <v>10</v>
      </c>
      <c r="B101" s="178">
        <v>1920</v>
      </c>
      <c r="C101" s="180" t="s">
        <v>215</v>
      </c>
      <c r="D101" s="173">
        <v>365612</v>
      </c>
      <c r="E101" s="173">
        <v>2165</v>
      </c>
      <c r="F101" s="173"/>
      <c r="G101" s="174">
        <f t="shared" si="4"/>
        <v>367777</v>
      </c>
      <c r="H101" s="175"/>
      <c r="I101" s="176">
        <v>358974</v>
      </c>
      <c r="J101" s="173">
        <v>5837</v>
      </c>
      <c r="K101" s="173"/>
      <c r="L101" s="174">
        <f t="shared" si="5"/>
        <v>364811</v>
      </c>
      <c r="M101" s="177">
        <f t="shared" si="3"/>
        <v>2966</v>
      </c>
    </row>
    <row r="102" spans="1:13" ht="25.5" x14ac:dyDescent="0.2">
      <c r="A102" s="53">
        <v>45</v>
      </c>
      <c r="B102" s="181">
        <v>1920</v>
      </c>
      <c r="C102" s="172" t="s">
        <v>217</v>
      </c>
      <c r="D102" s="173"/>
      <c r="E102" s="173"/>
      <c r="F102" s="173"/>
      <c r="G102" s="174">
        <f t="shared" si="4"/>
        <v>0</v>
      </c>
      <c r="H102" s="175"/>
      <c r="I102" s="176"/>
      <c r="J102" s="173"/>
      <c r="K102" s="173"/>
      <c r="L102" s="174">
        <f t="shared" si="5"/>
        <v>0</v>
      </c>
      <c r="M102" s="177">
        <f t="shared" si="3"/>
        <v>0</v>
      </c>
    </row>
    <row r="103" spans="1:13" ht="25.5" x14ac:dyDescent="0.2">
      <c r="A103" s="53">
        <v>45.1</v>
      </c>
      <c r="B103" s="181">
        <v>1920</v>
      </c>
      <c r="C103" s="172" t="s">
        <v>216</v>
      </c>
      <c r="D103" s="173"/>
      <c r="E103" s="173"/>
      <c r="F103" s="173"/>
      <c r="G103" s="174">
        <f t="shared" si="4"/>
        <v>0</v>
      </c>
      <c r="H103" s="175"/>
      <c r="I103" s="176"/>
      <c r="J103" s="173"/>
      <c r="K103" s="173"/>
      <c r="L103" s="174">
        <f t="shared" si="5"/>
        <v>0</v>
      </c>
      <c r="M103" s="177">
        <f t="shared" si="3"/>
        <v>0</v>
      </c>
    </row>
    <row r="104" spans="1:13" x14ac:dyDescent="0.2">
      <c r="A104" s="53">
        <v>10</v>
      </c>
      <c r="B104" s="1450">
        <v>1930</v>
      </c>
      <c r="C104" s="180" t="s">
        <v>286</v>
      </c>
      <c r="D104" s="173">
        <v>1886565</v>
      </c>
      <c r="E104" s="173"/>
      <c r="F104" s="173">
        <v>-1886565</v>
      </c>
      <c r="G104" s="174">
        <f>D104+E104+F104</f>
        <v>0</v>
      </c>
      <c r="H104" s="175"/>
      <c r="I104" s="176">
        <v>1645381</v>
      </c>
      <c r="J104" s="173"/>
      <c r="K104" s="173">
        <v>-1645381</v>
      </c>
      <c r="L104" s="174">
        <f>I104+J104+K104</f>
        <v>0</v>
      </c>
      <c r="M104" s="177">
        <f t="shared" si="3"/>
        <v>0</v>
      </c>
    </row>
    <row r="105" spans="1:13" x14ac:dyDescent="0.2">
      <c r="A105" s="53">
        <v>10</v>
      </c>
      <c r="B105" s="1473">
        <v>1931</v>
      </c>
      <c r="C105" s="180" t="s">
        <v>1401</v>
      </c>
      <c r="D105" s="173">
        <v>94305</v>
      </c>
      <c r="E105" s="173"/>
      <c r="F105" s="173"/>
      <c r="G105" s="174">
        <f>D105+E105-F105</f>
        <v>94305</v>
      </c>
      <c r="H105" s="175"/>
      <c r="I105" s="176"/>
      <c r="J105" s="173">
        <v>10478</v>
      </c>
      <c r="K105" s="173"/>
      <c r="L105" s="174">
        <f t="shared" si="5"/>
        <v>10478</v>
      </c>
      <c r="M105" s="177">
        <f t="shared" si="3"/>
        <v>83827</v>
      </c>
    </row>
    <row r="106" spans="1:13" x14ac:dyDescent="0.2">
      <c r="A106" s="53">
        <v>10</v>
      </c>
      <c r="B106" s="1473">
        <v>1932</v>
      </c>
      <c r="C106" s="180" t="s">
        <v>1402</v>
      </c>
      <c r="D106" s="173">
        <v>146879</v>
      </c>
      <c r="E106" s="173">
        <v>30000</v>
      </c>
      <c r="F106" s="173">
        <v>-4500</v>
      </c>
      <c r="G106" s="174">
        <f>D106+E106+F106</f>
        <v>172379</v>
      </c>
      <c r="H106" s="175"/>
      <c r="I106" s="176"/>
      <c r="J106" s="173">
        <v>56383</v>
      </c>
      <c r="K106" s="173"/>
      <c r="L106" s="174">
        <f t="shared" si="5"/>
        <v>56383</v>
      </c>
      <c r="M106" s="177">
        <f t="shared" si="3"/>
        <v>115996</v>
      </c>
    </row>
    <row r="107" spans="1:13" x14ac:dyDescent="0.2">
      <c r="A107" s="53">
        <v>10</v>
      </c>
      <c r="B107" s="1473">
        <v>1933</v>
      </c>
      <c r="C107" s="180" t="s">
        <v>1403</v>
      </c>
      <c r="D107" s="173">
        <v>0</v>
      </c>
      <c r="E107" s="173"/>
      <c r="F107" s="173"/>
      <c r="G107" s="174">
        <f>D107+E107-F107</f>
        <v>0</v>
      </c>
      <c r="H107" s="175"/>
      <c r="I107" s="176"/>
      <c r="J107" s="173"/>
      <c r="K107" s="173"/>
      <c r="L107" s="174">
        <f t="shared" si="5"/>
        <v>0</v>
      </c>
      <c r="M107" s="177">
        <f t="shared" si="3"/>
        <v>0</v>
      </c>
    </row>
    <row r="108" spans="1:13" x14ac:dyDescent="0.2">
      <c r="A108" s="53">
        <v>8</v>
      </c>
      <c r="B108" s="1450">
        <v>1935</v>
      </c>
      <c r="C108" s="180" t="s">
        <v>287</v>
      </c>
      <c r="D108" s="173"/>
      <c r="E108" s="173"/>
      <c r="F108" s="173"/>
      <c r="G108" s="174">
        <f t="shared" si="4"/>
        <v>0</v>
      </c>
      <c r="H108" s="175"/>
      <c r="I108" s="176"/>
      <c r="J108" s="173"/>
      <c r="K108" s="173"/>
      <c r="L108" s="174">
        <f t="shared" si="5"/>
        <v>0</v>
      </c>
      <c r="M108" s="177">
        <f t="shared" si="3"/>
        <v>0</v>
      </c>
    </row>
    <row r="109" spans="1:13" x14ac:dyDescent="0.2">
      <c r="A109" s="53">
        <v>8</v>
      </c>
      <c r="B109" s="1450">
        <v>1940</v>
      </c>
      <c r="C109" s="180" t="s">
        <v>288</v>
      </c>
      <c r="D109" s="173">
        <v>365513</v>
      </c>
      <c r="E109" s="173">
        <v>15400</v>
      </c>
      <c r="F109" s="173"/>
      <c r="G109" s="174">
        <f t="shared" si="4"/>
        <v>380913</v>
      </c>
      <c r="H109" s="175"/>
      <c r="I109" s="176">
        <v>319112</v>
      </c>
      <c r="J109" s="173">
        <v>13361</v>
      </c>
      <c r="K109" s="173"/>
      <c r="L109" s="174">
        <f t="shared" si="5"/>
        <v>332473</v>
      </c>
      <c r="M109" s="177">
        <f t="shared" si="3"/>
        <v>48440</v>
      </c>
    </row>
    <row r="110" spans="1:13" x14ac:dyDescent="0.2">
      <c r="A110" s="53">
        <v>8</v>
      </c>
      <c r="B110" s="1450">
        <v>1945</v>
      </c>
      <c r="C110" s="180" t="s">
        <v>289</v>
      </c>
      <c r="D110" s="173"/>
      <c r="E110" s="173"/>
      <c r="F110" s="173"/>
      <c r="G110" s="174">
        <f t="shared" si="4"/>
        <v>0</v>
      </c>
      <c r="H110" s="175"/>
      <c r="I110" s="176"/>
      <c r="J110" s="173"/>
      <c r="K110" s="173"/>
      <c r="L110" s="174">
        <f t="shared" si="5"/>
        <v>0</v>
      </c>
      <c r="M110" s="177">
        <f t="shared" si="3"/>
        <v>0</v>
      </c>
    </row>
    <row r="111" spans="1:13" x14ac:dyDescent="0.2">
      <c r="A111" s="53">
        <v>8</v>
      </c>
      <c r="B111" s="1450">
        <v>1950</v>
      </c>
      <c r="C111" s="180" t="s">
        <v>218</v>
      </c>
      <c r="D111" s="173"/>
      <c r="E111" s="173"/>
      <c r="F111" s="173"/>
      <c r="G111" s="174">
        <f t="shared" si="4"/>
        <v>0</v>
      </c>
      <c r="H111" s="175"/>
      <c r="I111" s="182"/>
      <c r="J111" s="173"/>
      <c r="K111" s="173"/>
      <c r="L111" s="174">
        <f t="shared" si="5"/>
        <v>0</v>
      </c>
      <c r="M111" s="177">
        <f t="shared" si="3"/>
        <v>0</v>
      </c>
    </row>
    <row r="112" spans="1:13" x14ac:dyDescent="0.2">
      <c r="A112" s="53">
        <v>8</v>
      </c>
      <c r="B112" s="1450">
        <v>1955</v>
      </c>
      <c r="C112" s="180" t="s">
        <v>290</v>
      </c>
      <c r="D112" s="173">
        <v>35831</v>
      </c>
      <c r="E112" s="173">
        <v>275</v>
      </c>
      <c r="F112" s="173"/>
      <c r="G112" s="174">
        <f t="shared" si="4"/>
        <v>36106</v>
      </c>
      <c r="H112" s="175"/>
      <c r="I112" s="176">
        <v>24745</v>
      </c>
      <c r="J112" s="173">
        <v>1483</v>
      </c>
      <c r="K112" s="173"/>
      <c r="L112" s="174">
        <f t="shared" si="5"/>
        <v>26228</v>
      </c>
      <c r="M112" s="177">
        <f t="shared" si="3"/>
        <v>9878</v>
      </c>
    </row>
    <row r="113" spans="1:13" x14ac:dyDescent="0.2">
      <c r="A113" s="183">
        <v>8</v>
      </c>
      <c r="B113" s="181">
        <v>1955</v>
      </c>
      <c r="C113" s="184" t="s">
        <v>219</v>
      </c>
      <c r="D113" s="173"/>
      <c r="E113" s="173"/>
      <c r="F113" s="173"/>
      <c r="G113" s="174">
        <f t="shared" si="4"/>
        <v>0</v>
      </c>
      <c r="H113" s="175"/>
      <c r="I113" s="176"/>
      <c r="J113" s="173"/>
      <c r="K113" s="173"/>
      <c r="L113" s="174">
        <f t="shared" si="5"/>
        <v>0</v>
      </c>
      <c r="M113" s="177">
        <f t="shared" si="3"/>
        <v>0</v>
      </c>
    </row>
    <row r="114" spans="1:13" x14ac:dyDescent="0.2">
      <c r="A114" s="183">
        <v>8</v>
      </c>
      <c r="B114" s="185">
        <v>1960</v>
      </c>
      <c r="C114" s="172" t="s">
        <v>220</v>
      </c>
      <c r="D114" s="173"/>
      <c r="E114" s="173"/>
      <c r="F114" s="173"/>
      <c r="G114" s="174">
        <f t="shared" si="4"/>
        <v>0</v>
      </c>
      <c r="H114" s="175"/>
      <c r="I114" s="176"/>
      <c r="J114" s="173"/>
      <c r="K114" s="173"/>
      <c r="L114" s="174">
        <f t="shared" si="5"/>
        <v>0</v>
      </c>
      <c r="M114" s="177">
        <f t="shared" si="3"/>
        <v>0</v>
      </c>
    </row>
    <row r="115" spans="1:13" ht="25.5" x14ac:dyDescent="0.2">
      <c r="A115" s="186">
        <v>47</v>
      </c>
      <c r="B115" s="185">
        <v>1970</v>
      </c>
      <c r="C115" s="180" t="s">
        <v>501</v>
      </c>
      <c r="D115" s="173"/>
      <c r="E115" s="173"/>
      <c r="F115" s="173"/>
      <c r="G115" s="174">
        <f t="shared" si="4"/>
        <v>0</v>
      </c>
      <c r="H115" s="175"/>
      <c r="I115" s="176"/>
      <c r="J115" s="173"/>
      <c r="K115" s="173"/>
      <c r="L115" s="174">
        <f t="shared" si="5"/>
        <v>0</v>
      </c>
      <c r="M115" s="177">
        <f t="shared" si="3"/>
        <v>0</v>
      </c>
    </row>
    <row r="116" spans="1:13" ht="25.5" x14ac:dyDescent="0.2">
      <c r="A116" s="53">
        <v>47</v>
      </c>
      <c r="B116" s="1450">
        <v>1975</v>
      </c>
      <c r="C116" s="180" t="s">
        <v>291</v>
      </c>
      <c r="D116" s="173"/>
      <c r="E116" s="173"/>
      <c r="F116" s="173"/>
      <c r="G116" s="174">
        <f t="shared" si="4"/>
        <v>0</v>
      </c>
      <c r="H116" s="175"/>
      <c r="I116" s="176"/>
      <c r="J116" s="173"/>
      <c r="K116" s="173"/>
      <c r="L116" s="174">
        <f t="shared" si="5"/>
        <v>0</v>
      </c>
      <c r="M116" s="177">
        <f t="shared" si="3"/>
        <v>0</v>
      </c>
    </row>
    <row r="117" spans="1:13" x14ac:dyDescent="0.2">
      <c r="A117" s="53">
        <v>47</v>
      </c>
      <c r="B117" s="1450">
        <v>1980</v>
      </c>
      <c r="C117" s="180" t="s">
        <v>292</v>
      </c>
      <c r="D117" s="173"/>
      <c r="E117" s="173"/>
      <c r="F117" s="173"/>
      <c r="G117" s="174">
        <f t="shared" si="4"/>
        <v>0</v>
      </c>
      <c r="H117" s="175"/>
      <c r="I117" s="176"/>
      <c r="J117" s="173"/>
      <c r="K117" s="173"/>
      <c r="L117" s="174">
        <f t="shared" si="5"/>
        <v>0</v>
      </c>
      <c r="M117" s="177">
        <f t="shared" si="3"/>
        <v>0</v>
      </c>
    </row>
    <row r="118" spans="1:13" x14ac:dyDescent="0.2">
      <c r="A118" s="53">
        <v>47</v>
      </c>
      <c r="B118" s="1450">
        <v>1985</v>
      </c>
      <c r="C118" s="180" t="s">
        <v>1404</v>
      </c>
      <c r="D118" s="173">
        <v>15</v>
      </c>
      <c r="E118" s="173"/>
      <c r="F118" s="173"/>
      <c r="G118" s="174">
        <f t="shared" si="4"/>
        <v>15</v>
      </c>
      <c r="H118" s="175"/>
      <c r="I118" s="176"/>
      <c r="J118" s="173"/>
      <c r="K118" s="173"/>
      <c r="L118" s="174">
        <f t="shared" si="5"/>
        <v>0</v>
      </c>
      <c r="M118" s="177">
        <f t="shared" si="3"/>
        <v>15</v>
      </c>
    </row>
    <row r="119" spans="1:13" x14ac:dyDescent="0.2">
      <c r="A119" s="186">
        <v>47</v>
      </c>
      <c r="B119" s="1450">
        <v>1990</v>
      </c>
      <c r="C119" s="1449" t="s">
        <v>502</v>
      </c>
      <c r="D119" s="173"/>
      <c r="E119" s="173"/>
      <c r="F119" s="173"/>
      <c r="G119" s="174">
        <f t="shared" si="4"/>
        <v>0</v>
      </c>
      <c r="H119" s="175"/>
      <c r="I119" s="176"/>
      <c r="J119" s="173"/>
      <c r="K119" s="173"/>
      <c r="L119" s="174">
        <f t="shared" si="5"/>
        <v>0</v>
      </c>
      <c r="M119" s="177">
        <f t="shared" si="3"/>
        <v>0</v>
      </c>
    </row>
    <row r="120" spans="1:13" x14ac:dyDescent="0.2">
      <c r="A120" s="53">
        <v>47</v>
      </c>
      <c r="B120" s="1450">
        <v>1995</v>
      </c>
      <c r="C120" s="180" t="s">
        <v>294</v>
      </c>
      <c r="D120" s="173">
        <v>-4316948</v>
      </c>
      <c r="E120" s="173">
        <v>-1175443</v>
      </c>
      <c r="F120" s="173"/>
      <c r="G120" s="174">
        <f t="shared" si="4"/>
        <v>-5492391</v>
      </c>
      <c r="H120" s="175"/>
      <c r="I120" s="176">
        <v>-1229529</v>
      </c>
      <c r="J120" s="173">
        <v>-197739</v>
      </c>
      <c r="K120" s="173"/>
      <c r="L120" s="174">
        <f t="shared" si="5"/>
        <v>-1427268</v>
      </c>
      <c r="M120" s="177">
        <f t="shared" si="3"/>
        <v>-4065123</v>
      </c>
    </row>
    <row r="121" spans="1:13" ht="14.25" x14ac:dyDescent="0.2">
      <c r="A121" s="53">
        <v>47</v>
      </c>
      <c r="B121" s="1450">
        <v>2440</v>
      </c>
      <c r="C121" s="180" t="s">
        <v>950</v>
      </c>
      <c r="D121" s="173"/>
      <c r="E121" s="173"/>
      <c r="F121" s="173"/>
      <c r="G121" s="174"/>
      <c r="I121" s="176"/>
      <c r="J121" s="173"/>
      <c r="K121" s="173"/>
      <c r="L121" s="174"/>
      <c r="M121" s="177"/>
    </row>
    <row r="122" spans="1:13" x14ac:dyDescent="0.2">
      <c r="A122" s="187"/>
      <c r="B122" s="187"/>
      <c r="C122" s="188"/>
      <c r="D122" s="189"/>
      <c r="E122" s="189"/>
      <c r="F122" s="189"/>
      <c r="G122" s="174">
        <f>D122+E122+F122</f>
        <v>0</v>
      </c>
      <c r="I122" s="189"/>
      <c r="J122" s="189"/>
      <c r="K122" s="189"/>
      <c r="L122" s="174">
        <f>I122+J122+K122</f>
        <v>0</v>
      </c>
      <c r="M122" s="177">
        <f>G122+L122</f>
        <v>0</v>
      </c>
    </row>
    <row r="123" spans="1:13" x14ac:dyDescent="0.2">
      <c r="A123" s="187"/>
      <c r="B123" s="187"/>
      <c r="C123" s="190" t="s">
        <v>204</v>
      </c>
      <c r="D123" s="191">
        <f>SUM(D74:D122)</f>
        <v>24545611</v>
      </c>
      <c r="E123" s="191">
        <f>SUM(E74:E122)</f>
        <v>303443</v>
      </c>
      <c r="F123" s="191">
        <f>SUM(F74:F122)</f>
        <v>-2407729</v>
      </c>
      <c r="G123" s="191">
        <f>SUM(G74:G122)</f>
        <v>22441325</v>
      </c>
      <c r="H123" s="191"/>
      <c r="I123" s="191">
        <f>SUM(I74:I122)</f>
        <v>15733246</v>
      </c>
      <c r="J123" s="191">
        <f>SUM(J74:J122)</f>
        <v>376750</v>
      </c>
      <c r="K123" s="191">
        <f>SUM(K74:K122)</f>
        <v>-1728614</v>
      </c>
      <c r="L123" s="191">
        <f>SUM(L74:L122)</f>
        <v>14381382</v>
      </c>
      <c r="M123" s="191">
        <f>SUM(M74:M122)</f>
        <v>8059943</v>
      </c>
    </row>
    <row r="124" spans="1:13" ht="37.5" x14ac:dyDescent="0.2">
      <c r="A124" s="187"/>
      <c r="B124" s="187"/>
      <c r="C124" s="192" t="s">
        <v>597</v>
      </c>
      <c r="D124" s="189"/>
      <c r="E124" s="189"/>
      <c r="F124" s="189"/>
      <c r="G124" s="174">
        <f>D124+E124+F124</f>
        <v>0</v>
      </c>
      <c r="I124" s="189"/>
      <c r="J124" s="189"/>
      <c r="K124" s="189"/>
      <c r="L124" s="174">
        <f>I124+J124+K124</f>
        <v>0</v>
      </c>
      <c r="M124" s="177">
        <f>G124+L124</f>
        <v>0</v>
      </c>
    </row>
    <row r="125" spans="1:13" ht="25.5" x14ac:dyDescent="0.2">
      <c r="A125" s="187"/>
      <c r="B125" s="187"/>
      <c r="C125" s="193" t="s">
        <v>596</v>
      </c>
      <c r="D125" s="189"/>
      <c r="E125" s="189"/>
      <c r="F125" s="189"/>
      <c r="G125" s="174">
        <f>D125+E125+F125</f>
        <v>0</v>
      </c>
      <c r="I125" s="189"/>
      <c r="J125" s="189"/>
      <c r="K125" s="189"/>
      <c r="L125" s="174">
        <f>I125+J125+K125</f>
        <v>0</v>
      </c>
      <c r="M125" s="177">
        <f>G125+L125</f>
        <v>0</v>
      </c>
    </row>
    <row r="126" spans="1:13" x14ac:dyDescent="0.2">
      <c r="A126" s="187"/>
      <c r="B126" s="187"/>
      <c r="C126" s="190" t="s">
        <v>503</v>
      </c>
      <c r="D126" s="191">
        <f>SUM(D123:D125)</f>
        <v>24545611</v>
      </c>
      <c r="E126" s="191">
        <f>SUM(E123:E125)</f>
        <v>303443</v>
      </c>
      <c r="F126" s="191">
        <f>SUM(F123:F125)</f>
        <v>-2407729</v>
      </c>
      <c r="G126" s="191">
        <f>SUM(G123:G125)</f>
        <v>22441325</v>
      </c>
      <c r="H126" s="191"/>
      <c r="I126" s="191">
        <f>SUM(I123:I125)</f>
        <v>15733246</v>
      </c>
      <c r="J126" s="191">
        <f>SUM(J123:J125)</f>
        <v>376750</v>
      </c>
      <c r="K126" s="191">
        <f>SUM(K123:K125)</f>
        <v>-1728614</v>
      </c>
      <c r="L126" s="191">
        <f>SUM(L123:L125)</f>
        <v>14381382</v>
      </c>
      <c r="M126" s="191">
        <f>SUM(M123:M125)</f>
        <v>8059943</v>
      </c>
    </row>
    <row r="127" spans="1:13" ht="14.25" x14ac:dyDescent="0.2">
      <c r="A127" s="187"/>
      <c r="B127" s="187"/>
      <c r="C127" s="1603" t="s">
        <v>912</v>
      </c>
      <c r="D127" s="1604"/>
      <c r="E127" s="1604"/>
      <c r="F127" s="1604"/>
      <c r="G127" s="1604"/>
      <c r="H127" s="1604"/>
      <c r="I127" s="1605"/>
      <c r="J127" s="189"/>
      <c r="K127" s="194"/>
      <c r="L127" s="195"/>
      <c r="M127" s="196"/>
    </row>
    <row r="128" spans="1:13" x14ac:dyDescent="0.2">
      <c r="A128" s="187"/>
      <c r="B128" s="187"/>
      <c r="C128" s="1603" t="s">
        <v>295</v>
      </c>
      <c r="D128" s="1604"/>
      <c r="E128" s="1604"/>
      <c r="F128" s="1604"/>
      <c r="G128" s="1604"/>
      <c r="H128" s="1604"/>
      <c r="I128" s="1605"/>
      <c r="J128" s="191">
        <f>J126+J127</f>
        <v>376750</v>
      </c>
      <c r="K128" s="194"/>
      <c r="L128" s="195"/>
      <c r="M128" s="196"/>
    </row>
    <row r="129" spans="1:13" x14ac:dyDescent="0.2">
      <c r="A129" s="1451"/>
      <c r="B129" s="1451"/>
    </row>
    <row r="130" spans="1:13" x14ac:dyDescent="0.2">
      <c r="A130" s="1451"/>
      <c r="B130" s="1451"/>
      <c r="I130" s="197" t="s">
        <v>422</v>
      </c>
      <c r="J130" s="1452"/>
    </row>
    <row r="131" spans="1:13" x14ac:dyDescent="0.2">
      <c r="A131" s="187">
        <v>10</v>
      </c>
      <c r="B131" s="187"/>
      <c r="C131" s="188" t="s">
        <v>296</v>
      </c>
      <c r="I131" s="1452" t="s">
        <v>296</v>
      </c>
      <c r="J131" s="1452"/>
      <c r="K131" s="198">
        <f>J104+J105+J106+J107</f>
        <v>66861</v>
      </c>
    </row>
    <row r="132" spans="1:13" x14ac:dyDescent="0.2">
      <c r="A132" s="187">
        <v>8</v>
      </c>
      <c r="B132" s="187"/>
      <c r="C132" s="188" t="s">
        <v>287</v>
      </c>
      <c r="I132" s="1452" t="s">
        <v>851</v>
      </c>
      <c r="J132" s="1452"/>
      <c r="K132" s="199">
        <f>J112</f>
        <v>1483</v>
      </c>
    </row>
    <row r="133" spans="1:13" x14ac:dyDescent="0.2">
      <c r="A133" s="1451"/>
      <c r="B133" s="1451"/>
      <c r="I133" s="200" t="s">
        <v>297</v>
      </c>
      <c r="K133" s="201">
        <f>J128-K131-K132</f>
        <v>308406</v>
      </c>
    </row>
    <row r="134" spans="1:13" x14ac:dyDescent="0.2">
      <c r="A134" s="1451"/>
      <c r="B134" s="1451"/>
      <c r="I134" s="200"/>
      <c r="K134" s="1453"/>
    </row>
    <row r="135" spans="1:13" x14ac:dyDescent="0.2">
      <c r="A135" s="1474"/>
      <c r="B135" s="1474"/>
      <c r="E135" s="122" t="s">
        <v>882</v>
      </c>
      <c r="F135" s="48" t="s">
        <v>105</v>
      </c>
      <c r="H135" s="52"/>
    </row>
    <row r="136" spans="1:13" ht="15" x14ac:dyDescent="0.25">
      <c r="A136" s="1474"/>
      <c r="B136" s="1474"/>
      <c r="C136" s="56"/>
      <c r="E136" s="122" t="s">
        <v>102</v>
      </c>
      <c r="F136" s="160">
        <v>2014</v>
      </c>
      <c r="G136" s="161"/>
    </row>
    <row r="137" spans="1:13" x14ac:dyDescent="0.2">
      <c r="A137" s="1474"/>
      <c r="B137" s="1474"/>
    </row>
    <row r="138" spans="1:13" x14ac:dyDescent="0.2">
      <c r="A138" s="1474"/>
      <c r="B138" s="1474"/>
      <c r="D138" s="1606" t="s">
        <v>264</v>
      </c>
      <c r="E138" s="1607"/>
      <c r="F138" s="1607"/>
      <c r="G138" s="1608"/>
      <c r="I138" s="162"/>
      <c r="J138" s="163" t="s">
        <v>265</v>
      </c>
      <c r="K138" s="163"/>
      <c r="L138" s="164"/>
      <c r="M138" s="159"/>
    </row>
    <row r="139" spans="1:13" ht="27" x14ac:dyDescent="0.2">
      <c r="A139" s="165" t="s">
        <v>1000</v>
      </c>
      <c r="B139" s="165" t="s">
        <v>1002</v>
      </c>
      <c r="C139" s="166" t="s">
        <v>1003</v>
      </c>
      <c r="D139" s="165" t="s">
        <v>236</v>
      </c>
      <c r="E139" s="167" t="s">
        <v>1001</v>
      </c>
      <c r="F139" s="167" t="s">
        <v>1189</v>
      </c>
      <c r="G139" s="165" t="s">
        <v>263</v>
      </c>
      <c r="H139" s="168"/>
      <c r="I139" s="169" t="s">
        <v>236</v>
      </c>
      <c r="J139" s="170" t="s">
        <v>237</v>
      </c>
      <c r="K139" s="170" t="s">
        <v>1189</v>
      </c>
      <c r="L139" s="171" t="s">
        <v>263</v>
      </c>
      <c r="M139" s="165" t="s">
        <v>300</v>
      </c>
    </row>
    <row r="140" spans="1:13" ht="25.5" x14ac:dyDescent="0.2">
      <c r="A140" s="53">
        <v>12</v>
      </c>
      <c r="B140" s="1473">
        <v>1611</v>
      </c>
      <c r="C140" s="172" t="s">
        <v>381</v>
      </c>
      <c r="D140" s="173">
        <v>243737</v>
      </c>
      <c r="E140" s="173">
        <v>13313</v>
      </c>
      <c r="F140" s="173"/>
      <c r="G140" s="174">
        <f>D140+E140+F140</f>
        <v>257050</v>
      </c>
      <c r="H140" s="175"/>
      <c r="I140" s="176">
        <v>250258</v>
      </c>
      <c r="J140" s="173">
        <v>2851</v>
      </c>
      <c r="K140" s="173"/>
      <c r="L140" s="174">
        <f>I140+J140+K140</f>
        <v>253109</v>
      </c>
      <c r="M140" s="177">
        <f>G140-L140</f>
        <v>3941</v>
      </c>
    </row>
    <row r="141" spans="1:13" ht="25.5" x14ac:dyDescent="0.2">
      <c r="A141" s="53" t="s">
        <v>274</v>
      </c>
      <c r="B141" s="1473">
        <v>1612</v>
      </c>
      <c r="C141" s="172" t="s">
        <v>442</v>
      </c>
      <c r="D141" s="173">
        <v>2945</v>
      </c>
      <c r="E141" s="173"/>
      <c r="F141" s="173"/>
      <c r="G141" s="174">
        <f>D141+E141+F141</f>
        <v>2945</v>
      </c>
      <c r="H141" s="175"/>
      <c r="I141" s="176">
        <v>2725</v>
      </c>
      <c r="J141" s="173">
        <v>0</v>
      </c>
      <c r="K141" s="173"/>
      <c r="L141" s="174">
        <f>I141+J141+K141</f>
        <v>2725</v>
      </c>
      <c r="M141" s="177">
        <f t="shared" ref="M141:M186" si="6">G141-L141</f>
        <v>220</v>
      </c>
    </row>
    <row r="142" spans="1:13" x14ac:dyDescent="0.2">
      <c r="A142" s="53" t="s">
        <v>266</v>
      </c>
      <c r="B142" s="178">
        <v>1805</v>
      </c>
      <c r="C142" s="179" t="s">
        <v>267</v>
      </c>
      <c r="D142" s="173">
        <v>2112</v>
      </c>
      <c r="E142" s="173"/>
      <c r="F142" s="173"/>
      <c r="G142" s="174">
        <f>D142+E142+F142</f>
        <v>2112</v>
      </c>
      <c r="H142" s="175"/>
      <c r="I142" s="176"/>
      <c r="J142" s="173"/>
      <c r="K142" s="173"/>
      <c r="L142" s="174">
        <f>I142+J142+K142</f>
        <v>0</v>
      </c>
      <c r="M142" s="177">
        <f t="shared" si="6"/>
        <v>2112</v>
      </c>
    </row>
    <row r="143" spans="1:13" x14ac:dyDescent="0.2">
      <c r="A143" s="53">
        <v>47</v>
      </c>
      <c r="B143" s="178">
        <v>1808</v>
      </c>
      <c r="C143" s="180" t="s">
        <v>268</v>
      </c>
      <c r="D143" s="173"/>
      <c r="E143" s="173"/>
      <c r="F143" s="173"/>
      <c r="G143" s="174">
        <f t="shared" ref="G143:G155" si="7">D143+E143+F143</f>
        <v>0</v>
      </c>
      <c r="H143" s="175"/>
      <c r="I143" s="176"/>
      <c r="J143" s="173"/>
      <c r="K143" s="173"/>
      <c r="L143" s="174">
        <f t="shared" ref="L143:L155" si="8">I143+J143+K143</f>
        <v>0</v>
      </c>
      <c r="M143" s="177">
        <f t="shared" si="6"/>
        <v>0</v>
      </c>
    </row>
    <row r="144" spans="1:13" x14ac:dyDescent="0.2">
      <c r="A144" s="53">
        <v>13</v>
      </c>
      <c r="B144" s="178">
        <v>1810</v>
      </c>
      <c r="C144" s="180" t="s">
        <v>299</v>
      </c>
      <c r="D144" s="173"/>
      <c r="E144" s="173"/>
      <c r="F144" s="173"/>
      <c r="G144" s="174">
        <f t="shared" si="7"/>
        <v>0</v>
      </c>
      <c r="H144" s="175"/>
      <c r="I144" s="176"/>
      <c r="J144" s="173"/>
      <c r="K144" s="173"/>
      <c r="L144" s="174">
        <f t="shared" si="8"/>
        <v>0</v>
      </c>
      <c r="M144" s="177">
        <f t="shared" si="6"/>
        <v>0</v>
      </c>
    </row>
    <row r="145" spans="1:13" x14ac:dyDescent="0.2">
      <c r="A145" s="53">
        <v>47</v>
      </c>
      <c r="B145" s="178">
        <v>1815</v>
      </c>
      <c r="C145" s="180" t="s">
        <v>269</v>
      </c>
      <c r="D145" s="173"/>
      <c r="E145" s="173"/>
      <c r="F145" s="173"/>
      <c r="G145" s="174">
        <f t="shared" si="7"/>
        <v>0</v>
      </c>
      <c r="H145" s="175"/>
      <c r="I145" s="176"/>
      <c r="J145" s="173"/>
      <c r="K145" s="173"/>
      <c r="L145" s="174">
        <f t="shared" si="8"/>
        <v>0</v>
      </c>
      <c r="M145" s="177">
        <f t="shared" si="6"/>
        <v>0</v>
      </c>
    </row>
    <row r="146" spans="1:13" x14ac:dyDescent="0.2">
      <c r="A146" s="53">
        <v>47</v>
      </c>
      <c r="B146" s="178">
        <v>1820</v>
      </c>
      <c r="C146" s="172" t="s">
        <v>207</v>
      </c>
      <c r="D146" s="173">
        <v>142098</v>
      </c>
      <c r="E146" s="173"/>
      <c r="F146" s="173"/>
      <c r="G146" s="174">
        <f t="shared" si="7"/>
        <v>142098</v>
      </c>
      <c r="H146" s="175"/>
      <c r="I146" s="176">
        <v>141076</v>
      </c>
      <c r="J146" s="173">
        <v>62</v>
      </c>
      <c r="K146" s="173"/>
      <c r="L146" s="174">
        <f t="shared" si="8"/>
        <v>141138</v>
      </c>
      <c r="M146" s="177">
        <f t="shared" si="6"/>
        <v>960</v>
      </c>
    </row>
    <row r="147" spans="1:13" x14ac:dyDescent="0.2">
      <c r="A147" s="53">
        <v>47</v>
      </c>
      <c r="B147" s="178">
        <v>1825</v>
      </c>
      <c r="C147" s="180" t="s">
        <v>270</v>
      </c>
      <c r="D147" s="173"/>
      <c r="E147" s="173"/>
      <c r="F147" s="173"/>
      <c r="G147" s="174">
        <f t="shared" si="7"/>
        <v>0</v>
      </c>
      <c r="H147" s="175"/>
      <c r="I147" s="176"/>
      <c r="J147" s="173"/>
      <c r="K147" s="173"/>
      <c r="L147" s="174">
        <f t="shared" si="8"/>
        <v>0</v>
      </c>
      <c r="M147" s="177">
        <f t="shared" si="6"/>
        <v>0</v>
      </c>
    </row>
    <row r="148" spans="1:13" x14ac:dyDescent="0.2">
      <c r="A148" s="53">
        <v>47</v>
      </c>
      <c r="B148" s="178">
        <v>1830</v>
      </c>
      <c r="C148" s="180" t="s">
        <v>271</v>
      </c>
      <c r="D148" s="173">
        <v>1001372</v>
      </c>
      <c r="E148" s="173">
        <v>35549</v>
      </c>
      <c r="F148" s="173"/>
      <c r="G148" s="174">
        <f t="shared" si="7"/>
        <v>1036921</v>
      </c>
      <c r="H148" s="175"/>
      <c r="I148" s="176">
        <v>252321</v>
      </c>
      <c r="J148" s="173">
        <v>20053</v>
      </c>
      <c r="K148" s="173"/>
      <c r="L148" s="174">
        <f t="shared" si="8"/>
        <v>272374</v>
      </c>
      <c r="M148" s="177">
        <f t="shared" si="6"/>
        <v>764547</v>
      </c>
    </row>
    <row r="149" spans="1:13" x14ac:dyDescent="0.2">
      <c r="A149" s="53">
        <v>47</v>
      </c>
      <c r="B149" s="178">
        <v>1835</v>
      </c>
      <c r="C149" s="180" t="s">
        <v>208</v>
      </c>
      <c r="D149" s="173">
        <v>6457970</v>
      </c>
      <c r="E149" s="173">
        <v>16269</v>
      </c>
      <c r="F149" s="173"/>
      <c r="G149" s="174">
        <f t="shared" si="7"/>
        <v>6474239</v>
      </c>
      <c r="H149" s="175"/>
      <c r="I149" s="176">
        <v>4590803</v>
      </c>
      <c r="J149" s="173">
        <v>36380</v>
      </c>
      <c r="K149" s="173"/>
      <c r="L149" s="174">
        <f t="shared" si="8"/>
        <v>4627183</v>
      </c>
      <c r="M149" s="177">
        <f t="shared" si="6"/>
        <v>1847056</v>
      </c>
    </row>
    <row r="150" spans="1:13" x14ac:dyDescent="0.2">
      <c r="A150" s="53">
        <v>47</v>
      </c>
      <c r="B150" s="178">
        <v>1840</v>
      </c>
      <c r="C150" s="180" t="s">
        <v>209</v>
      </c>
      <c r="D150" s="173">
        <v>1801068</v>
      </c>
      <c r="E150" s="173">
        <v>179440</v>
      </c>
      <c r="F150" s="173"/>
      <c r="G150" s="174">
        <f t="shared" si="7"/>
        <v>1980508</v>
      </c>
      <c r="H150" s="175"/>
      <c r="I150" s="176">
        <v>325066</v>
      </c>
      <c r="J150" s="173">
        <v>34629</v>
      </c>
      <c r="K150" s="173"/>
      <c r="L150" s="174">
        <f t="shared" si="8"/>
        <v>359695</v>
      </c>
      <c r="M150" s="177">
        <f t="shared" si="6"/>
        <v>1620813</v>
      </c>
    </row>
    <row r="151" spans="1:13" x14ac:dyDescent="0.2">
      <c r="A151" s="53">
        <v>47</v>
      </c>
      <c r="B151" s="178">
        <v>1845</v>
      </c>
      <c r="C151" s="180" t="s">
        <v>210</v>
      </c>
      <c r="D151" s="173">
        <v>7917161</v>
      </c>
      <c r="E151" s="173">
        <v>324572</v>
      </c>
      <c r="F151" s="173"/>
      <c r="G151" s="174">
        <f t="shared" si="7"/>
        <v>8241733</v>
      </c>
      <c r="H151" s="175"/>
      <c r="I151" s="176">
        <v>4906798</v>
      </c>
      <c r="J151" s="173">
        <v>101411</v>
      </c>
      <c r="K151" s="173"/>
      <c r="L151" s="174">
        <f t="shared" si="8"/>
        <v>5008209</v>
      </c>
      <c r="M151" s="177">
        <f t="shared" si="6"/>
        <v>3233524</v>
      </c>
    </row>
    <row r="152" spans="1:13" x14ac:dyDescent="0.2">
      <c r="A152" s="53">
        <v>47</v>
      </c>
      <c r="B152" s="178">
        <v>1850</v>
      </c>
      <c r="C152" s="180" t="s">
        <v>272</v>
      </c>
      <c r="D152" s="173">
        <v>5965591</v>
      </c>
      <c r="E152" s="173">
        <v>155111</v>
      </c>
      <c r="F152" s="173"/>
      <c r="G152" s="174">
        <f t="shared" si="7"/>
        <v>6120702</v>
      </c>
      <c r="H152" s="175"/>
      <c r="I152" s="176">
        <v>3603797</v>
      </c>
      <c r="J152" s="173">
        <v>77018</v>
      </c>
      <c r="K152" s="173"/>
      <c r="L152" s="174">
        <f t="shared" si="8"/>
        <v>3680815</v>
      </c>
      <c r="M152" s="177">
        <f t="shared" si="6"/>
        <v>2439887</v>
      </c>
    </row>
    <row r="153" spans="1:13" x14ac:dyDescent="0.2">
      <c r="A153" s="53">
        <v>47</v>
      </c>
      <c r="B153" s="178">
        <v>1851</v>
      </c>
      <c r="C153" s="180" t="s">
        <v>1405</v>
      </c>
      <c r="D153" s="173"/>
      <c r="E153" s="173">
        <v>4448</v>
      </c>
      <c r="F153" s="173"/>
      <c r="G153" s="174">
        <f t="shared" si="7"/>
        <v>4448</v>
      </c>
      <c r="H153" s="175"/>
      <c r="I153" s="176"/>
      <c r="J153" s="173">
        <v>111</v>
      </c>
      <c r="K153" s="173"/>
      <c r="L153" s="174">
        <f t="shared" si="8"/>
        <v>111</v>
      </c>
      <c r="M153" s="177">
        <f t="shared" si="6"/>
        <v>4337</v>
      </c>
    </row>
    <row r="154" spans="1:13" x14ac:dyDescent="0.2">
      <c r="A154" s="53">
        <v>47</v>
      </c>
      <c r="B154" s="178">
        <v>1852</v>
      </c>
      <c r="C154" s="180" t="s">
        <v>1406</v>
      </c>
      <c r="D154" s="173">
        <v>22746</v>
      </c>
      <c r="E154" s="173">
        <v>25184</v>
      </c>
      <c r="F154" s="173"/>
      <c r="G154" s="174">
        <f t="shared" si="7"/>
        <v>47930</v>
      </c>
      <c r="H154" s="175"/>
      <c r="I154" s="176">
        <v>190</v>
      </c>
      <c r="J154" s="173">
        <v>589</v>
      </c>
      <c r="K154" s="173"/>
      <c r="L154" s="174">
        <f t="shared" si="8"/>
        <v>779</v>
      </c>
      <c r="M154" s="177">
        <f t="shared" si="6"/>
        <v>47151</v>
      </c>
    </row>
    <row r="155" spans="1:13" x14ac:dyDescent="0.2">
      <c r="A155" s="53">
        <v>47</v>
      </c>
      <c r="B155" s="178">
        <v>1855</v>
      </c>
      <c r="C155" s="180" t="s">
        <v>211</v>
      </c>
      <c r="D155" s="173">
        <v>872581</v>
      </c>
      <c r="E155" s="173">
        <v>96768</v>
      </c>
      <c r="F155" s="173"/>
      <c r="G155" s="174">
        <f t="shared" si="7"/>
        <v>969349</v>
      </c>
      <c r="H155" s="175"/>
      <c r="I155" s="176">
        <v>200281</v>
      </c>
      <c r="J155" s="173">
        <v>36848</v>
      </c>
      <c r="K155" s="173"/>
      <c r="L155" s="174">
        <f t="shared" si="8"/>
        <v>237129</v>
      </c>
      <c r="M155" s="177">
        <f t="shared" si="6"/>
        <v>732220</v>
      </c>
    </row>
    <row r="156" spans="1:13" x14ac:dyDescent="0.2">
      <c r="A156" s="53">
        <v>47</v>
      </c>
      <c r="B156" s="178">
        <v>1860</v>
      </c>
      <c r="C156" s="180" t="s">
        <v>273</v>
      </c>
      <c r="D156" s="173"/>
      <c r="E156" s="173"/>
      <c r="F156" s="173"/>
      <c r="G156" s="174">
        <f>D156+E156+F156</f>
        <v>0</v>
      </c>
      <c r="H156" s="175"/>
      <c r="I156" s="176"/>
      <c r="J156" s="173"/>
      <c r="K156" s="173"/>
      <c r="L156" s="174">
        <f>I156+J156+K156</f>
        <v>0</v>
      </c>
      <c r="M156" s="177">
        <f t="shared" si="6"/>
        <v>0</v>
      </c>
    </row>
    <row r="157" spans="1:13" ht="25.5" x14ac:dyDescent="0.2">
      <c r="A157" s="53">
        <v>47</v>
      </c>
      <c r="B157" s="178">
        <v>1861</v>
      </c>
      <c r="C157" s="180" t="s">
        <v>1396</v>
      </c>
      <c r="D157" s="173">
        <v>936838</v>
      </c>
      <c r="E157" s="173">
        <v>21147</v>
      </c>
      <c r="F157" s="173"/>
      <c r="G157" s="174">
        <f t="shared" ref="G157:G169" si="9">D157+E157+F157</f>
        <v>957985</v>
      </c>
      <c r="H157" s="175"/>
      <c r="I157" s="176">
        <v>128350</v>
      </c>
      <c r="J157" s="173">
        <v>130642</v>
      </c>
      <c r="K157" s="173"/>
      <c r="L157" s="174">
        <f t="shared" ref="L157:L169" si="10">I157+J157+K157</f>
        <v>258992</v>
      </c>
      <c r="M157" s="177">
        <f t="shared" si="6"/>
        <v>698993</v>
      </c>
    </row>
    <row r="158" spans="1:13" x14ac:dyDescent="0.2">
      <c r="A158" s="53">
        <v>47</v>
      </c>
      <c r="B158" s="178">
        <v>1862</v>
      </c>
      <c r="C158" s="180" t="s">
        <v>1397</v>
      </c>
      <c r="D158" s="173">
        <v>323155</v>
      </c>
      <c r="E158" s="173">
        <v>6631</v>
      </c>
      <c r="F158" s="173"/>
      <c r="G158" s="174">
        <f t="shared" si="9"/>
        <v>329786</v>
      </c>
      <c r="H158" s="175"/>
      <c r="I158" s="176">
        <v>33942</v>
      </c>
      <c r="J158" s="173">
        <v>34398</v>
      </c>
      <c r="K158" s="173"/>
      <c r="L158" s="174">
        <f t="shared" si="10"/>
        <v>68340</v>
      </c>
      <c r="M158" s="177">
        <f t="shared" si="6"/>
        <v>261446</v>
      </c>
    </row>
    <row r="159" spans="1:13" x14ac:dyDescent="0.2">
      <c r="A159" s="53">
        <v>47</v>
      </c>
      <c r="B159" s="178">
        <v>1863</v>
      </c>
      <c r="C159" s="180" t="s">
        <v>1398</v>
      </c>
      <c r="D159" s="173">
        <v>0</v>
      </c>
      <c r="E159" s="173"/>
      <c r="F159" s="173"/>
      <c r="G159" s="174">
        <f t="shared" si="9"/>
        <v>0</v>
      </c>
      <c r="H159" s="175"/>
      <c r="I159" s="176"/>
      <c r="J159" s="173"/>
      <c r="K159" s="173"/>
      <c r="L159" s="174">
        <f t="shared" si="10"/>
        <v>0</v>
      </c>
      <c r="M159" s="177">
        <f t="shared" si="6"/>
        <v>0</v>
      </c>
    </row>
    <row r="160" spans="1:13" x14ac:dyDescent="0.2">
      <c r="A160" s="53">
        <v>47</v>
      </c>
      <c r="B160" s="178">
        <v>1864</v>
      </c>
      <c r="C160" s="180" t="s">
        <v>1399</v>
      </c>
      <c r="D160" s="173">
        <v>111034</v>
      </c>
      <c r="E160" s="173">
        <v>2567</v>
      </c>
      <c r="F160" s="173"/>
      <c r="G160" s="174">
        <f t="shared" si="9"/>
        <v>113601</v>
      </c>
      <c r="H160" s="175"/>
      <c r="I160" s="176">
        <v>3176</v>
      </c>
      <c r="J160" s="173">
        <v>3239</v>
      </c>
      <c r="K160" s="173"/>
      <c r="L160" s="174">
        <f t="shared" si="10"/>
        <v>6415</v>
      </c>
      <c r="M160" s="177">
        <f t="shared" si="6"/>
        <v>107186</v>
      </c>
    </row>
    <row r="161" spans="1:13" x14ac:dyDescent="0.2">
      <c r="A161" s="53">
        <v>47</v>
      </c>
      <c r="B161" s="178">
        <v>1865</v>
      </c>
      <c r="C161" s="179" t="s">
        <v>1400</v>
      </c>
      <c r="D161" s="173"/>
      <c r="E161" s="173"/>
      <c r="F161" s="173"/>
      <c r="G161" s="174">
        <f t="shared" si="9"/>
        <v>0</v>
      </c>
      <c r="H161" s="175"/>
      <c r="I161" s="176"/>
      <c r="J161" s="173"/>
      <c r="K161" s="173"/>
      <c r="L161" s="174">
        <f t="shared" si="10"/>
        <v>0</v>
      </c>
      <c r="M161" s="177">
        <f t="shared" si="6"/>
        <v>0</v>
      </c>
    </row>
    <row r="162" spans="1:13" x14ac:dyDescent="0.2">
      <c r="A162" s="53" t="s">
        <v>266</v>
      </c>
      <c r="B162" s="178">
        <v>1905</v>
      </c>
      <c r="C162" s="179" t="s">
        <v>267</v>
      </c>
      <c r="D162" s="173">
        <v>171765</v>
      </c>
      <c r="E162" s="173"/>
      <c r="F162" s="173"/>
      <c r="G162" s="174">
        <f t="shared" si="9"/>
        <v>171765</v>
      </c>
      <c r="H162" s="175"/>
      <c r="I162" s="176"/>
      <c r="J162" s="173"/>
      <c r="K162" s="173"/>
      <c r="L162" s="174">
        <f t="shared" si="10"/>
        <v>0</v>
      </c>
      <c r="M162" s="177">
        <f t="shared" si="6"/>
        <v>171765</v>
      </c>
    </row>
    <row r="163" spans="1:13" x14ac:dyDescent="0.2">
      <c r="A163" s="53">
        <v>47</v>
      </c>
      <c r="B163" s="178">
        <v>1908</v>
      </c>
      <c r="C163" s="180" t="s">
        <v>275</v>
      </c>
      <c r="D163" s="173">
        <v>664871</v>
      </c>
      <c r="E163" s="173">
        <v>336</v>
      </c>
      <c r="F163" s="173"/>
      <c r="G163" s="174">
        <f t="shared" si="9"/>
        <v>665207</v>
      </c>
      <c r="H163" s="175"/>
      <c r="I163" s="176">
        <v>361067</v>
      </c>
      <c r="J163" s="173">
        <v>14493</v>
      </c>
      <c r="K163" s="173"/>
      <c r="L163" s="174">
        <f t="shared" si="10"/>
        <v>375560</v>
      </c>
      <c r="M163" s="177">
        <f t="shared" si="6"/>
        <v>289647</v>
      </c>
    </row>
    <row r="164" spans="1:13" x14ac:dyDescent="0.2">
      <c r="A164" s="53">
        <v>13</v>
      </c>
      <c r="B164" s="178">
        <v>1910</v>
      </c>
      <c r="C164" s="180" t="s">
        <v>299</v>
      </c>
      <c r="D164" s="173"/>
      <c r="E164" s="173"/>
      <c r="F164" s="173"/>
      <c r="G164" s="174">
        <f t="shared" si="9"/>
        <v>0</v>
      </c>
      <c r="H164" s="175"/>
      <c r="I164" s="176"/>
      <c r="J164" s="173"/>
      <c r="K164" s="173"/>
      <c r="L164" s="174">
        <f t="shared" si="10"/>
        <v>0</v>
      </c>
      <c r="M164" s="177">
        <f t="shared" si="6"/>
        <v>0</v>
      </c>
    </row>
    <row r="165" spans="1:13" x14ac:dyDescent="0.2">
      <c r="A165" s="53">
        <v>8</v>
      </c>
      <c r="B165" s="178">
        <v>1915</v>
      </c>
      <c r="C165" s="180" t="s">
        <v>213</v>
      </c>
      <c r="D165" s="173">
        <v>245177</v>
      </c>
      <c r="E165" s="173">
        <v>140</v>
      </c>
      <c r="F165" s="173"/>
      <c r="G165" s="174">
        <f t="shared" si="9"/>
        <v>245317</v>
      </c>
      <c r="H165" s="175"/>
      <c r="I165" s="176">
        <v>218427</v>
      </c>
      <c r="J165" s="173">
        <v>6651</v>
      </c>
      <c r="K165" s="173"/>
      <c r="L165" s="174">
        <f t="shared" si="10"/>
        <v>225078</v>
      </c>
      <c r="M165" s="177">
        <f t="shared" si="6"/>
        <v>20239</v>
      </c>
    </row>
    <row r="166" spans="1:13" x14ac:dyDescent="0.2">
      <c r="A166" s="53">
        <v>8</v>
      </c>
      <c r="B166" s="178">
        <v>1915</v>
      </c>
      <c r="C166" s="180" t="s">
        <v>214</v>
      </c>
      <c r="D166" s="173"/>
      <c r="E166" s="173"/>
      <c r="F166" s="173"/>
      <c r="G166" s="174">
        <f t="shared" si="9"/>
        <v>0</v>
      </c>
      <c r="H166" s="175"/>
      <c r="I166" s="176"/>
      <c r="J166" s="173"/>
      <c r="K166" s="173"/>
      <c r="L166" s="174">
        <f t="shared" si="10"/>
        <v>0</v>
      </c>
      <c r="M166" s="177">
        <f t="shared" si="6"/>
        <v>0</v>
      </c>
    </row>
    <row r="167" spans="1:13" x14ac:dyDescent="0.2">
      <c r="A167" s="53">
        <v>10</v>
      </c>
      <c r="B167" s="178">
        <v>1920</v>
      </c>
      <c r="C167" s="180" t="s">
        <v>215</v>
      </c>
      <c r="D167" s="173">
        <v>367777</v>
      </c>
      <c r="E167" s="173">
        <v>11279</v>
      </c>
      <c r="F167" s="173"/>
      <c r="G167" s="174">
        <f t="shared" si="9"/>
        <v>379056</v>
      </c>
      <c r="H167" s="175"/>
      <c r="I167" s="176">
        <v>364811</v>
      </c>
      <c r="J167" s="173">
        <v>4577</v>
      </c>
      <c r="K167" s="173"/>
      <c r="L167" s="174">
        <f t="shared" si="10"/>
        <v>369388</v>
      </c>
      <c r="M167" s="177">
        <f t="shared" si="6"/>
        <v>9668</v>
      </c>
    </row>
    <row r="168" spans="1:13" ht="25.5" x14ac:dyDescent="0.2">
      <c r="A168" s="53">
        <v>45</v>
      </c>
      <c r="B168" s="181">
        <v>1920</v>
      </c>
      <c r="C168" s="172" t="s">
        <v>217</v>
      </c>
      <c r="D168" s="173"/>
      <c r="E168" s="173"/>
      <c r="F168" s="173"/>
      <c r="G168" s="174">
        <f t="shared" si="9"/>
        <v>0</v>
      </c>
      <c r="H168" s="175"/>
      <c r="I168" s="176"/>
      <c r="J168" s="173"/>
      <c r="K168" s="173"/>
      <c r="L168" s="174">
        <f t="shared" si="10"/>
        <v>0</v>
      </c>
      <c r="M168" s="177">
        <f t="shared" si="6"/>
        <v>0</v>
      </c>
    </row>
    <row r="169" spans="1:13" ht="25.5" x14ac:dyDescent="0.2">
      <c r="A169" s="53">
        <v>45.1</v>
      </c>
      <c r="B169" s="181">
        <v>1920</v>
      </c>
      <c r="C169" s="172" t="s">
        <v>216</v>
      </c>
      <c r="D169" s="173"/>
      <c r="E169" s="173"/>
      <c r="F169" s="173"/>
      <c r="G169" s="174">
        <f t="shared" si="9"/>
        <v>0</v>
      </c>
      <c r="H169" s="175"/>
      <c r="I169" s="176"/>
      <c r="J169" s="173"/>
      <c r="K169" s="173"/>
      <c r="L169" s="174">
        <f t="shared" si="10"/>
        <v>0</v>
      </c>
      <c r="M169" s="177">
        <f t="shared" si="6"/>
        <v>0</v>
      </c>
    </row>
    <row r="170" spans="1:13" x14ac:dyDescent="0.2">
      <c r="A170" s="53">
        <v>10</v>
      </c>
      <c r="B170" s="1473">
        <v>1930</v>
      </c>
      <c r="C170" s="180" t="s">
        <v>286</v>
      </c>
      <c r="D170" s="173"/>
      <c r="E170" s="173"/>
      <c r="F170" s="173"/>
      <c r="G170" s="174">
        <f>D170+E170+F170</f>
        <v>0</v>
      </c>
      <c r="H170" s="175"/>
      <c r="I170" s="176"/>
      <c r="J170" s="173"/>
      <c r="K170" s="173"/>
      <c r="L170" s="174">
        <f>I170+J170+K170</f>
        <v>0</v>
      </c>
      <c r="M170" s="177">
        <f t="shared" si="6"/>
        <v>0</v>
      </c>
    </row>
    <row r="171" spans="1:13" x14ac:dyDescent="0.2">
      <c r="A171" s="53">
        <v>10</v>
      </c>
      <c r="B171" s="1473">
        <v>1931</v>
      </c>
      <c r="C171" s="180" t="s">
        <v>1401</v>
      </c>
      <c r="D171" s="173">
        <v>94305</v>
      </c>
      <c r="E171" s="173">
        <v>21756</v>
      </c>
      <c r="F171" s="173"/>
      <c r="G171" s="174">
        <f>D171+E171-F171</f>
        <v>116061</v>
      </c>
      <c r="H171" s="175"/>
      <c r="I171" s="176">
        <v>10478</v>
      </c>
      <c r="J171" s="173">
        <v>11204</v>
      </c>
      <c r="K171" s="173"/>
      <c r="L171" s="174">
        <f t="shared" ref="L171:L186" si="11">I171+J171+K171</f>
        <v>21682</v>
      </c>
      <c r="M171" s="177">
        <f t="shared" si="6"/>
        <v>94379</v>
      </c>
    </row>
    <row r="172" spans="1:13" x14ac:dyDescent="0.2">
      <c r="A172" s="53">
        <v>10</v>
      </c>
      <c r="B172" s="1473">
        <v>1932</v>
      </c>
      <c r="C172" s="180" t="s">
        <v>1402</v>
      </c>
      <c r="D172" s="173">
        <v>172379</v>
      </c>
      <c r="E172" s="173"/>
      <c r="F172" s="173">
        <v>-1200</v>
      </c>
      <c r="G172" s="174">
        <f>D172+E172+F172</f>
        <v>171179</v>
      </c>
      <c r="H172" s="175"/>
      <c r="I172" s="176">
        <v>56383</v>
      </c>
      <c r="J172" s="173">
        <v>53967</v>
      </c>
      <c r="K172" s="173"/>
      <c r="L172" s="174">
        <f t="shared" si="11"/>
        <v>110350</v>
      </c>
      <c r="M172" s="177">
        <f t="shared" si="6"/>
        <v>60829</v>
      </c>
    </row>
    <row r="173" spans="1:13" x14ac:dyDescent="0.2">
      <c r="A173" s="53">
        <v>10</v>
      </c>
      <c r="B173" s="1473">
        <v>1933</v>
      </c>
      <c r="C173" s="180" t="s">
        <v>1403</v>
      </c>
      <c r="D173" s="173">
        <v>0</v>
      </c>
      <c r="E173" s="173">
        <v>70712</v>
      </c>
      <c r="F173" s="173"/>
      <c r="G173" s="174">
        <f>D173+E173-F173</f>
        <v>70712</v>
      </c>
      <c r="H173" s="175"/>
      <c r="I173" s="176">
        <v>0</v>
      </c>
      <c r="J173" s="173">
        <v>3536</v>
      </c>
      <c r="K173" s="173"/>
      <c r="L173" s="174">
        <f t="shared" si="11"/>
        <v>3536</v>
      </c>
      <c r="M173" s="177">
        <f t="shared" si="6"/>
        <v>67176</v>
      </c>
    </row>
    <row r="174" spans="1:13" x14ac:dyDescent="0.2">
      <c r="A174" s="53">
        <v>8</v>
      </c>
      <c r="B174" s="1473">
        <v>1935</v>
      </c>
      <c r="C174" s="180" t="s">
        <v>287</v>
      </c>
      <c r="D174" s="173"/>
      <c r="E174" s="173"/>
      <c r="F174" s="173"/>
      <c r="G174" s="174">
        <f t="shared" ref="G174:G186" si="12">D174+E174+F174</f>
        <v>0</v>
      </c>
      <c r="H174" s="175"/>
      <c r="I174" s="176"/>
      <c r="J174" s="173"/>
      <c r="K174" s="173"/>
      <c r="L174" s="174">
        <f t="shared" si="11"/>
        <v>0</v>
      </c>
      <c r="M174" s="177">
        <f t="shared" si="6"/>
        <v>0</v>
      </c>
    </row>
    <row r="175" spans="1:13" x14ac:dyDescent="0.2">
      <c r="A175" s="53">
        <v>8</v>
      </c>
      <c r="B175" s="1473">
        <v>1940</v>
      </c>
      <c r="C175" s="180" t="s">
        <v>288</v>
      </c>
      <c r="D175" s="173">
        <v>380913</v>
      </c>
      <c r="E175" s="173">
        <v>916</v>
      </c>
      <c r="F175" s="173"/>
      <c r="G175" s="174">
        <f t="shared" si="12"/>
        <v>381829</v>
      </c>
      <c r="H175" s="175"/>
      <c r="I175" s="176">
        <v>332473</v>
      </c>
      <c r="J175" s="173">
        <v>11912</v>
      </c>
      <c r="K175" s="173"/>
      <c r="L175" s="174">
        <f t="shared" si="11"/>
        <v>344385</v>
      </c>
      <c r="M175" s="177">
        <f t="shared" si="6"/>
        <v>37444</v>
      </c>
    </row>
    <row r="176" spans="1:13" x14ac:dyDescent="0.2">
      <c r="A176" s="53">
        <v>8</v>
      </c>
      <c r="B176" s="1473">
        <v>1945</v>
      </c>
      <c r="C176" s="180" t="s">
        <v>289</v>
      </c>
      <c r="D176" s="173"/>
      <c r="E176" s="173"/>
      <c r="F176" s="173"/>
      <c r="G176" s="174">
        <f t="shared" si="12"/>
        <v>0</v>
      </c>
      <c r="H176" s="175"/>
      <c r="I176" s="176"/>
      <c r="J176" s="173"/>
      <c r="K176" s="173"/>
      <c r="L176" s="174">
        <f t="shared" si="11"/>
        <v>0</v>
      </c>
      <c r="M176" s="177">
        <f t="shared" si="6"/>
        <v>0</v>
      </c>
    </row>
    <row r="177" spans="1:13" x14ac:dyDescent="0.2">
      <c r="A177" s="53">
        <v>8</v>
      </c>
      <c r="B177" s="1473">
        <v>1950</v>
      </c>
      <c r="C177" s="180" t="s">
        <v>218</v>
      </c>
      <c r="D177" s="173"/>
      <c r="E177" s="173"/>
      <c r="F177" s="173"/>
      <c r="G177" s="174">
        <f t="shared" si="12"/>
        <v>0</v>
      </c>
      <c r="H177" s="175"/>
      <c r="I177" s="182"/>
      <c r="J177" s="173"/>
      <c r="K177" s="173"/>
      <c r="L177" s="174">
        <f t="shared" si="11"/>
        <v>0</v>
      </c>
      <c r="M177" s="177">
        <f t="shared" si="6"/>
        <v>0</v>
      </c>
    </row>
    <row r="178" spans="1:13" x14ac:dyDescent="0.2">
      <c r="A178" s="53">
        <v>8</v>
      </c>
      <c r="B178" s="1473">
        <v>1955</v>
      </c>
      <c r="C178" s="180" t="s">
        <v>290</v>
      </c>
      <c r="D178" s="173">
        <v>36106</v>
      </c>
      <c r="E178" s="173">
        <v>40</v>
      </c>
      <c r="F178" s="173"/>
      <c r="G178" s="174">
        <f t="shared" si="12"/>
        <v>36146</v>
      </c>
      <c r="H178" s="175"/>
      <c r="I178" s="176">
        <v>26228</v>
      </c>
      <c r="J178" s="173">
        <v>1435</v>
      </c>
      <c r="K178" s="173"/>
      <c r="L178" s="174">
        <f t="shared" si="11"/>
        <v>27663</v>
      </c>
      <c r="M178" s="177">
        <f t="shared" si="6"/>
        <v>8483</v>
      </c>
    </row>
    <row r="179" spans="1:13" x14ac:dyDescent="0.2">
      <c r="A179" s="183">
        <v>8</v>
      </c>
      <c r="B179" s="181">
        <v>1955</v>
      </c>
      <c r="C179" s="184" t="s">
        <v>219</v>
      </c>
      <c r="D179" s="173"/>
      <c r="E179" s="173"/>
      <c r="F179" s="173"/>
      <c r="G179" s="174">
        <f t="shared" si="12"/>
        <v>0</v>
      </c>
      <c r="H179" s="175"/>
      <c r="I179" s="176"/>
      <c r="J179" s="173"/>
      <c r="K179" s="173"/>
      <c r="L179" s="174">
        <f t="shared" si="11"/>
        <v>0</v>
      </c>
      <c r="M179" s="177">
        <f t="shared" si="6"/>
        <v>0</v>
      </c>
    </row>
    <row r="180" spans="1:13" x14ac:dyDescent="0.2">
      <c r="A180" s="183">
        <v>8</v>
      </c>
      <c r="B180" s="185">
        <v>1960</v>
      </c>
      <c r="C180" s="172" t="s">
        <v>220</v>
      </c>
      <c r="D180" s="173"/>
      <c r="E180" s="173"/>
      <c r="F180" s="173"/>
      <c r="G180" s="174">
        <f t="shared" si="12"/>
        <v>0</v>
      </c>
      <c r="H180" s="175"/>
      <c r="I180" s="176"/>
      <c r="J180" s="173"/>
      <c r="K180" s="173"/>
      <c r="L180" s="174">
        <f t="shared" si="11"/>
        <v>0</v>
      </c>
      <c r="M180" s="177">
        <f t="shared" si="6"/>
        <v>0</v>
      </c>
    </row>
    <row r="181" spans="1:13" ht="25.5" x14ac:dyDescent="0.2">
      <c r="A181" s="186">
        <v>47</v>
      </c>
      <c r="B181" s="185">
        <v>1970</v>
      </c>
      <c r="C181" s="180" t="s">
        <v>501</v>
      </c>
      <c r="D181" s="173"/>
      <c r="E181" s="173"/>
      <c r="F181" s="173"/>
      <c r="G181" s="174">
        <f t="shared" si="12"/>
        <v>0</v>
      </c>
      <c r="H181" s="175"/>
      <c r="I181" s="176"/>
      <c r="J181" s="173"/>
      <c r="K181" s="173"/>
      <c r="L181" s="174">
        <f t="shared" si="11"/>
        <v>0</v>
      </c>
      <c r="M181" s="177">
        <f t="shared" si="6"/>
        <v>0</v>
      </c>
    </row>
    <row r="182" spans="1:13" ht="25.5" x14ac:dyDescent="0.2">
      <c r="A182" s="53">
        <v>47</v>
      </c>
      <c r="B182" s="1473">
        <v>1975</v>
      </c>
      <c r="C182" s="180" t="s">
        <v>291</v>
      </c>
      <c r="D182" s="173"/>
      <c r="E182" s="173"/>
      <c r="F182" s="173"/>
      <c r="G182" s="174">
        <f t="shared" si="12"/>
        <v>0</v>
      </c>
      <c r="H182" s="175"/>
      <c r="I182" s="176"/>
      <c r="J182" s="173"/>
      <c r="K182" s="173"/>
      <c r="L182" s="174">
        <f t="shared" si="11"/>
        <v>0</v>
      </c>
      <c r="M182" s="177">
        <f t="shared" si="6"/>
        <v>0</v>
      </c>
    </row>
    <row r="183" spans="1:13" x14ac:dyDescent="0.2">
      <c r="A183" s="53">
        <v>47</v>
      </c>
      <c r="B183" s="1473">
        <v>1980</v>
      </c>
      <c r="C183" s="180" t="s">
        <v>292</v>
      </c>
      <c r="D183" s="173"/>
      <c r="E183" s="173"/>
      <c r="F183" s="173"/>
      <c r="G183" s="174">
        <f t="shared" si="12"/>
        <v>0</v>
      </c>
      <c r="H183" s="175"/>
      <c r="I183" s="176"/>
      <c r="J183" s="173"/>
      <c r="K183" s="173"/>
      <c r="L183" s="174">
        <f t="shared" si="11"/>
        <v>0</v>
      </c>
      <c r="M183" s="177">
        <f t="shared" si="6"/>
        <v>0</v>
      </c>
    </row>
    <row r="184" spans="1:13" x14ac:dyDescent="0.2">
      <c r="A184" s="53">
        <v>47</v>
      </c>
      <c r="B184" s="1473">
        <v>1985</v>
      </c>
      <c r="C184" s="180" t="s">
        <v>1404</v>
      </c>
      <c r="D184" s="173">
        <v>15</v>
      </c>
      <c r="E184" s="173"/>
      <c r="F184" s="173"/>
      <c r="G184" s="174">
        <f t="shared" si="12"/>
        <v>15</v>
      </c>
      <c r="H184" s="175"/>
      <c r="I184" s="176">
        <v>15</v>
      </c>
      <c r="J184" s="173"/>
      <c r="K184" s="173"/>
      <c r="L184" s="174">
        <f t="shared" si="11"/>
        <v>15</v>
      </c>
      <c r="M184" s="177">
        <f t="shared" si="6"/>
        <v>0</v>
      </c>
    </row>
    <row r="185" spans="1:13" x14ac:dyDescent="0.2">
      <c r="A185" s="186">
        <v>47</v>
      </c>
      <c r="B185" s="1473">
        <v>1990</v>
      </c>
      <c r="C185" s="1472" t="s">
        <v>502</v>
      </c>
      <c r="D185" s="173"/>
      <c r="E185" s="173"/>
      <c r="F185" s="173"/>
      <c r="G185" s="174">
        <f t="shared" si="12"/>
        <v>0</v>
      </c>
      <c r="H185" s="175"/>
      <c r="I185" s="176"/>
      <c r="J185" s="173"/>
      <c r="K185" s="173"/>
      <c r="L185" s="174">
        <f t="shared" si="11"/>
        <v>0</v>
      </c>
      <c r="M185" s="177">
        <f t="shared" si="6"/>
        <v>0</v>
      </c>
    </row>
    <row r="186" spans="1:13" x14ac:dyDescent="0.2">
      <c r="A186" s="53">
        <v>47</v>
      </c>
      <c r="B186" s="1473">
        <v>1995</v>
      </c>
      <c r="C186" s="180" t="s">
        <v>294</v>
      </c>
      <c r="D186" s="173">
        <v>-5492391</v>
      </c>
      <c r="E186" s="173">
        <v>-603122</v>
      </c>
      <c r="F186" s="173"/>
      <c r="G186" s="174">
        <f t="shared" si="12"/>
        <v>-6095513</v>
      </c>
      <c r="H186" s="175"/>
      <c r="I186" s="176">
        <v>-1427268</v>
      </c>
      <c r="J186" s="173">
        <v>-233310</v>
      </c>
      <c r="K186" s="173"/>
      <c r="L186" s="174">
        <f t="shared" si="11"/>
        <v>-1660578</v>
      </c>
      <c r="M186" s="177">
        <f t="shared" si="6"/>
        <v>-4434935</v>
      </c>
    </row>
    <row r="187" spans="1:13" ht="14.25" x14ac:dyDescent="0.2">
      <c r="A187" s="53">
        <v>47</v>
      </c>
      <c r="B187" s="1473">
        <v>2440</v>
      </c>
      <c r="C187" s="180" t="s">
        <v>950</v>
      </c>
      <c r="D187" s="173"/>
      <c r="E187" s="173"/>
      <c r="F187" s="173"/>
      <c r="G187" s="174"/>
      <c r="I187" s="176"/>
      <c r="J187" s="173"/>
      <c r="K187" s="173"/>
      <c r="L187" s="174"/>
      <c r="M187" s="177"/>
    </row>
    <row r="188" spans="1:13" x14ac:dyDescent="0.2">
      <c r="A188" s="187"/>
      <c r="B188" s="187"/>
      <c r="C188" s="188"/>
      <c r="D188" s="189"/>
      <c r="E188" s="189"/>
      <c r="F188" s="189"/>
      <c r="G188" s="174">
        <f>D188+E188+F188</f>
        <v>0</v>
      </c>
      <c r="I188" s="189"/>
      <c r="J188" s="189"/>
      <c r="K188" s="189"/>
      <c r="L188" s="174">
        <f>I188+J188+K188</f>
        <v>0</v>
      </c>
      <c r="M188" s="177">
        <f>G188+L188</f>
        <v>0</v>
      </c>
    </row>
    <row r="189" spans="1:13" x14ac:dyDescent="0.2">
      <c r="A189" s="187"/>
      <c r="B189" s="187"/>
      <c r="C189" s="190" t="s">
        <v>204</v>
      </c>
      <c r="D189" s="191">
        <f>SUM(D140:D188)</f>
        <v>22441325</v>
      </c>
      <c r="E189" s="191">
        <f>SUM(E140:E188)</f>
        <v>383056</v>
      </c>
      <c r="F189" s="191">
        <f>SUM(F140:F188)</f>
        <v>-1200</v>
      </c>
      <c r="G189" s="191">
        <f>SUM(G140:G188)</f>
        <v>22823181</v>
      </c>
      <c r="H189" s="191"/>
      <c r="I189" s="191">
        <f>SUM(I140:I188)</f>
        <v>14381397</v>
      </c>
      <c r="J189" s="191">
        <f>SUM(J140:J188)</f>
        <v>352696</v>
      </c>
      <c r="K189" s="191">
        <f>SUM(K140:K188)</f>
        <v>0</v>
      </c>
      <c r="L189" s="191">
        <f>SUM(L140:L188)</f>
        <v>14734093</v>
      </c>
      <c r="M189" s="191">
        <f>SUM(M140:M188)</f>
        <v>8089088</v>
      </c>
    </row>
    <row r="190" spans="1:13" ht="37.5" x14ac:dyDescent="0.2">
      <c r="A190" s="187"/>
      <c r="B190" s="187"/>
      <c r="C190" s="192" t="s">
        <v>597</v>
      </c>
      <c r="D190" s="189"/>
      <c r="E190" s="189"/>
      <c r="F190" s="189"/>
      <c r="G190" s="174">
        <f>D190+E190+F190</f>
        <v>0</v>
      </c>
      <c r="I190" s="189"/>
      <c r="J190" s="189"/>
      <c r="K190" s="189"/>
      <c r="L190" s="174">
        <f>I190+J190+K190</f>
        <v>0</v>
      </c>
      <c r="M190" s="177">
        <f>G190+L190</f>
        <v>0</v>
      </c>
    </row>
    <row r="191" spans="1:13" ht="25.5" x14ac:dyDescent="0.2">
      <c r="A191" s="187"/>
      <c r="B191" s="187"/>
      <c r="C191" s="193" t="s">
        <v>596</v>
      </c>
      <c r="D191" s="189"/>
      <c r="E191" s="189"/>
      <c r="F191" s="189"/>
      <c r="G191" s="174">
        <f>D191+E191+F191</f>
        <v>0</v>
      </c>
      <c r="I191" s="189"/>
      <c r="J191" s="189"/>
      <c r="K191" s="189"/>
      <c r="L191" s="174">
        <f>I191+J191+K191</f>
        <v>0</v>
      </c>
      <c r="M191" s="177">
        <f>G191+L191</f>
        <v>0</v>
      </c>
    </row>
    <row r="192" spans="1:13" x14ac:dyDescent="0.2">
      <c r="A192" s="187"/>
      <c r="B192" s="187"/>
      <c r="C192" s="190" t="s">
        <v>503</v>
      </c>
      <c r="D192" s="191">
        <f>SUM(D189:D191)</f>
        <v>22441325</v>
      </c>
      <c r="E192" s="191">
        <f>SUM(E189:E191)</f>
        <v>383056</v>
      </c>
      <c r="F192" s="191">
        <f>SUM(F189:F191)</f>
        <v>-1200</v>
      </c>
      <c r="G192" s="191">
        <f>SUM(G189:G191)</f>
        <v>22823181</v>
      </c>
      <c r="H192" s="191"/>
      <c r="I192" s="191">
        <f>SUM(I189:I191)</f>
        <v>14381397</v>
      </c>
      <c r="J192" s="191">
        <f>SUM(J189:J191)</f>
        <v>352696</v>
      </c>
      <c r="K192" s="191">
        <f>SUM(K189:K191)</f>
        <v>0</v>
      </c>
      <c r="L192" s="191">
        <f>SUM(L189:L191)</f>
        <v>14734093</v>
      </c>
      <c r="M192" s="191">
        <f>SUM(M189:M191)</f>
        <v>8089088</v>
      </c>
    </row>
    <row r="193" spans="1:13" ht="14.25" x14ac:dyDescent="0.2">
      <c r="A193" s="187"/>
      <c r="B193" s="187"/>
      <c r="C193" s="1603" t="s">
        <v>912</v>
      </c>
      <c r="D193" s="1604"/>
      <c r="E193" s="1604"/>
      <c r="F193" s="1604"/>
      <c r="G193" s="1604"/>
      <c r="H193" s="1604"/>
      <c r="I193" s="1605"/>
      <c r="J193" s="189"/>
      <c r="K193" s="194"/>
      <c r="L193" s="195"/>
      <c r="M193" s="196"/>
    </row>
    <row r="194" spans="1:13" x14ac:dyDescent="0.2">
      <c r="A194" s="187"/>
      <c r="B194" s="187"/>
      <c r="C194" s="1603" t="s">
        <v>295</v>
      </c>
      <c r="D194" s="1604"/>
      <c r="E194" s="1604"/>
      <c r="F194" s="1604"/>
      <c r="G194" s="1604"/>
      <c r="H194" s="1604"/>
      <c r="I194" s="1605"/>
      <c r="J194" s="191">
        <f>J192+J193</f>
        <v>352696</v>
      </c>
      <c r="K194" s="194"/>
      <c r="L194" s="195"/>
      <c r="M194" s="196"/>
    </row>
    <row r="195" spans="1:13" x14ac:dyDescent="0.2">
      <c r="A195" s="1474"/>
      <c r="B195" s="1474"/>
    </row>
    <row r="196" spans="1:13" x14ac:dyDescent="0.2">
      <c r="A196" s="1474"/>
      <c r="B196" s="1474"/>
      <c r="I196" s="197" t="s">
        <v>422</v>
      </c>
      <c r="J196" s="1475"/>
    </row>
    <row r="197" spans="1:13" x14ac:dyDescent="0.2">
      <c r="A197" s="187">
        <v>10</v>
      </c>
      <c r="B197" s="187"/>
      <c r="C197" s="188" t="s">
        <v>296</v>
      </c>
      <c r="I197" s="1475" t="s">
        <v>296</v>
      </c>
      <c r="J197" s="1475"/>
      <c r="K197" s="198">
        <f>J171+J172+J173</f>
        <v>68707</v>
      </c>
    </row>
    <row r="198" spans="1:13" x14ac:dyDescent="0.2">
      <c r="A198" s="187">
        <v>8</v>
      </c>
      <c r="B198" s="187"/>
      <c r="C198" s="188" t="s">
        <v>287</v>
      </c>
      <c r="I198" s="1475" t="s">
        <v>851</v>
      </c>
      <c r="J198" s="1475"/>
      <c r="K198" s="199">
        <f>J178</f>
        <v>1435</v>
      </c>
    </row>
    <row r="199" spans="1:13" x14ac:dyDescent="0.2">
      <c r="A199" s="1474"/>
      <c r="B199" s="1474"/>
      <c r="I199" s="200" t="s">
        <v>297</v>
      </c>
      <c r="K199" s="201">
        <f>J194-K197-K198</f>
        <v>282554</v>
      </c>
    </row>
    <row r="200" spans="1:13" x14ac:dyDescent="0.2">
      <c r="A200" s="1471"/>
      <c r="B200" s="1471"/>
      <c r="I200" s="200"/>
      <c r="K200" s="1453"/>
    </row>
    <row r="201" spans="1:13" x14ac:dyDescent="0.2">
      <c r="A201" s="1474"/>
      <c r="B201" s="1474"/>
      <c r="E201" s="122" t="s">
        <v>882</v>
      </c>
      <c r="F201" s="48" t="s">
        <v>105</v>
      </c>
      <c r="H201" s="52"/>
    </row>
    <row r="202" spans="1:13" ht="15" x14ac:dyDescent="0.25">
      <c r="A202" s="1474"/>
      <c r="B202" s="1474"/>
      <c r="C202" s="56"/>
      <c r="E202" s="122" t="s">
        <v>102</v>
      </c>
      <c r="F202" s="160">
        <v>2015</v>
      </c>
      <c r="G202" s="161"/>
    </row>
    <row r="203" spans="1:13" x14ac:dyDescent="0.2">
      <c r="A203" s="1474"/>
      <c r="B203" s="1474"/>
    </row>
    <row r="204" spans="1:13" x14ac:dyDescent="0.2">
      <c r="A204" s="1474"/>
      <c r="B204" s="1474"/>
      <c r="D204" s="1606" t="s">
        <v>264</v>
      </c>
      <c r="E204" s="1607"/>
      <c r="F204" s="1607"/>
      <c r="G204" s="1608"/>
      <c r="I204" s="162"/>
      <c r="J204" s="163" t="s">
        <v>265</v>
      </c>
      <c r="K204" s="163"/>
      <c r="L204" s="164"/>
      <c r="M204" s="159"/>
    </row>
    <row r="205" spans="1:13" ht="27" x14ac:dyDescent="0.2">
      <c r="A205" s="165" t="s">
        <v>1000</v>
      </c>
      <c r="B205" s="165" t="s">
        <v>1002</v>
      </c>
      <c r="C205" s="166" t="s">
        <v>1003</v>
      </c>
      <c r="D205" s="165" t="s">
        <v>236</v>
      </c>
      <c r="E205" s="167" t="s">
        <v>1001</v>
      </c>
      <c r="F205" s="167" t="s">
        <v>1189</v>
      </c>
      <c r="G205" s="165" t="s">
        <v>263</v>
      </c>
      <c r="H205" s="168"/>
      <c r="I205" s="169" t="s">
        <v>236</v>
      </c>
      <c r="J205" s="170" t="s">
        <v>237</v>
      </c>
      <c r="K205" s="170" t="s">
        <v>1189</v>
      </c>
      <c r="L205" s="171" t="s">
        <v>263</v>
      </c>
      <c r="M205" s="165" t="s">
        <v>300</v>
      </c>
    </row>
    <row r="206" spans="1:13" ht="25.5" x14ac:dyDescent="0.2">
      <c r="A206" s="53">
        <v>12</v>
      </c>
      <c r="B206" s="1473">
        <v>1611</v>
      </c>
      <c r="C206" s="172" t="s">
        <v>381</v>
      </c>
      <c r="D206" s="173">
        <v>257050</v>
      </c>
      <c r="E206" s="173">
        <v>2201</v>
      </c>
      <c r="F206" s="173"/>
      <c r="G206" s="174">
        <f>D206+E206+F206</f>
        <v>259251</v>
      </c>
      <c r="H206" s="175"/>
      <c r="I206" s="176">
        <v>253109</v>
      </c>
      <c r="J206" s="173">
        <v>3774</v>
      </c>
      <c r="K206" s="173"/>
      <c r="L206" s="174">
        <f>I206+J206+K206</f>
        <v>256883</v>
      </c>
      <c r="M206" s="177">
        <f>G206-L206</f>
        <v>2368</v>
      </c>
    </row>
    <row r="207" spans="1:13" ht="25.5" x14ac:dyDescent="0.2">
      <c r="A207" s="53" t="s">
        <v>274</v>
      </c>
      <c r="B207" s="1473">
        <v>1612</v>
      </c>
      <c r="C207" s="172" t="s">
        <v>442</v>
      </c>
      <c r="D207" s="173">
        <v>2945</v>
      </c>
      <c r="E207" s="173"/>
      <c r="F207" s="173"/>
      <c r="G207" s="174">
        <f>D207+E207+F207</f>
        <v>2945</v>
      </c>
      <c r="H207" s="175"/>
      <c r="I207" s="176">
        <v>2725</v>
      </c>
      <c r="J207" s="173"/>
      <c r="K207" s="173"/>
      <c r="L207" s="174">
        <f>I207+J207+K207</f>
        <v>2725</v>
      </c>
      <c r="M207" s="177">
        <f t="shared" ref="M207:M252" si="13">G207-L207</f>
        <v>220</v>
      </c>
    </row>
    <row r="208" spans="1:13" x14ac:dyDescent="0.2">
      <c r="A208" s="53" t="s">
        <v>266</v>
      </c>
      <c r="B208" s="178">
        <v>1805</v>
      </c>
      <c r="C208" s="179" t="s">
        <v>267</v>
      </c>
      <c r="D208" s="173">
        <v>2112</v>
      </c>
      <c r="E208" s="173"/>
      <c r="F208" s="173"/>
      <c r="G208" s="174">
        <f>D208+E208+F208</f>
        <v>2112</v>
      </c>
      <c r="H208" s="175"/>
      <c r="I208" s="176"/>
      <c r="J208" s="173"/>
      <c r="K208" s="173"/>
      <c r="L208" s="174">
        <f>I208+J208+K208</f>
        <v>0</v>
      </c>
      <c r="M208" s="177">
        <f t="shared" si="13"/>
        <v>2112</v>
      </c>
    </row>
    <row r="209" spans="1:13" x14ac:dyDescent="0.2">
      <c r="A209" s="53">
        <v>47</v>
      </c>
      <c r="B209" s="178">
        <v>1808</v>
      </c>
      <c r="C209" s="180" t="s">
        <v>268</v>
      </c>
      <c r="D209" s="173"/>
      <c r="E209" s="173"/>
      <c r="F209" s="173"/>
      <c r="G209" s="174">
        <f t="shared" ref="G209:G221" si="14">D209+E209+F209</f>
        <v>0</v>
      </c>
      <c r="H209" s="175"/>
      <c r="I209" s="176"/>
      <c r="J209" s="173"/>
      <c r="K209" s="173"/>
      <c r="L209" s="174">
        <f t="shared" ref="L209:L221" si="15">I209+J209+K209</f>
        <v>0</v>
      </c>
      <c r="M209" s="177">
        <f t="shared" si="13"/>
        <v>0</v>
      </c>
    </row>
    <row r="210" spans="1:13" x14ac:dyDescent="0.2">
      <c r="A210" s="53">
        <v>13</v>
      </c>
      <c r="B210" s="178">
        <v>1810</v>
      </c>
      <c r="C210" s="180" t="s">
        <v>299</v>
      </c>
      <c r="D210" s="173"/>
      <c r="E210" s="173"/>
      <c r="F210" s="173"/>
      <c r="G210" s="174">
        <f t="shared" si="14"/>
        <v>0</v>
      </c>
      <c r="H210" s="175"/>
      <c r="I210" s="176"/>
      <c r="J210" s="173"/>
      <c r="K210" s="173"/>
      <c r="L210" s="174">
        <f t="shared" si="15"/>
        <v>0</v>
      </c>
      <c r="M210" s="177">
        <f t="shared" si="13"/>
        <v>0</v>
      </c>
    </row>
    <row r="211" spans="1:13" x14ac:dyDescent="0.2">
      <c r="A211" s="53">
        <v>47</v>
      </c>
      <c r="B211" s="178">
        <v>1815</v>
      </c>
      <c r="C211" s="180" t="s">
        <v>269</v>
      </c>
      <c r="D211" s="173"/>
      <c r="E211" s="173"/>
      <c r="F211" s="173"/>
      <c r="G211" s="174">
        <f t="shared" si="14"/>
        <v>0</v>
      </c>
      <c r="H211" s="175"/>
      <c r="I211" s="176"/>
      <c r="J211" s="173"/>
      <c r="K211" s="173"/>
      <c r="L211" s="174">
        <f t="shared" si="15"/>
        <v>0</v>
      </c>
      <c r="M211" s="177">
        <f t="shared" si="13"/>
        <v>0</v>
      </c>
    </row>
    <row r="212" spans="1:13" x14ac:dyDescent="0.2">
      <c r="A212" s="53">
        <v>47</v>
      </c>
      <c r="B212" s="178">
        <v>1820</v>
      </c>
      <c r="C212" s="172" t="s">
        <v>207</v>
      </c>
      <c r="D212" s="173">
        <v>142098</v>
      </c>
      <c r="E212" s="173"/>
      <c r="F212" s="173"/>
      <c r="G212" s="174">
        <f t="shared" si="14"/>
        <v>142098</v>
      </c>
      <c r="H212" s="175"/>
      <c r="I212" s="176">
        <v>141138</v>
      </c>
      <c r="J212" s="173">
        <v>62</v>
      </c>
      <c r="K212" s="173"/>
      <c r="L212" s="174">
        <f t="shared" si="15"/>
        <v>141200</v>
      </c>
      <c r="M212" s="177">
        <f t="shared" si="13"/>
        <v>898</v>
      </c>
    </row>
    <row r="213" spans="1:13" x14ac:dyDescent="0.2">
      <c r="A213" s="53">
        <v>47</v>
      </c>
      <c r="B213" s="178">
        <v>1825</v>
      </c>
      <c r="C213" s="180" t="s">
        <v>270</v>
      </c>
      <c r="D213" s="173"/>
      <c r="E213" s="173"/>
      <c r="F213" s="173"/>
      <c r="G213" s="174">
        <f t="shared" si="14"/>
        <v>0</v>
      </c>
      <c r="H213" s="175"/>
      <c r="I213" s="176"/>
      <c r="J213" s="173"/>
      <c r="K213" s="173"/>
      <c r="L213" s="174">
        <f t="shared" si="15"/>
        <v>0</v>
      </c>
      <c r="M213" s="177">
        <f t="shared" si="13"/>
        <v>0</v>
      </c>
    </row>
    <row r="214" spans="1:13" x14ac:dyDescent="0.2">
      <c r="A214" s="53">
        <v>47</v>
      </c>
      <c r="B214" s="178">
        <v>1830</v>
      </c>
      <c r="C214" s="180" t="s">
        <v>271</v>
      </c>
      <c r="D214" s="173">
        <v>1034672</v>
      </c>
      <c r="E214" s="173">
        <v>52492</v>
      </c>
      <c r="F214" s="173"/>
      <c r="G214" s="174">
        <f t="shared" si="14"/>
        <v>1087164</v>
      </c>
      <c r="H214" s="175"/>
      <c r="I214" s="176">
        <v>272374</v>
      </c>
      <c r="J214" s="173">
        <v>21031</v>
      </c>
      <c r="K214" s="173"/>
      <c r="L214" s="174">
        <f t="shared" si="15"/>
        <v>293405</v>
      </c>
      <c r="M214" s="177">
        <f t="shared" si="13"/>
        <v>793759</v>
      </c>
    </row>
    <row r="215" spans="1:13" x14ac:dyDescent="0.2">
      <c r="A215" s="53">
        <v>47</v>
      </c>
      <c r="B215" s="178">
        <v>1835</v>
      </c>
      <c r="C215" s="180" t="s">
        <v>208</v>
      </c>
      <c r="D215" s="173">
        <v>6474239</v>
      </c>
      <c r="E215" s="173">
        <v>27991</v>
      </c>
      <c r="F215" s="173"/>
      <c r="G215" s="174">
        <f t="shared" si="14"/>
        <v>6502230</v>
      </c>
      <c r="H215" s="175"/>
      <c r="I215" s="176">
        <v>4627183</v>
      </c>
      <c r="J215" s="173">
        <v>37525</v>
      </c>
      <c r="K215" s="173"/>
      <c r="L215" s="174">
        <f t="shared" si="15"/>
        <v>4664708</v>
      </c>
      <c r="M215" s="177">
        <f t="shared" si="13"/>
        <v>1837522</v>
      </c>
    </row>
    <row r="216" spans="1:13" x14ac:dyDescent="0.2">
      <c r="A216" s="53">
        <v>47</v>
      </c>
      <c r="B216" s="178">
        <v>1840</v>
      </c>
      <c r="C216" s="180" t="s">
        <v>209</v>
      </c>
      <c r="D216" s="173">
        <v>1953364</v>
      </c>
      <c r="E216" s="173">
        <v>263064</v>
      </c>
      <c r="F216" s="173"/>
      <c r="G216" s="174">
        <f t="shared" si="14"/>
        <v>2216428</v>
      </c>
      <c r="H216" s="175"/>
      <c r="I216" s="176">
        <v>359695</v>
      </c>
      <c r="J216" s="173">
        <v>39054</v>
      </c>
      <c r="K216" s="173"/>
      <c r="L216" s="174">
        <f t="shared" si="15"/>
        <v>398749</v>
      </c>
      <c r="M216" s="177">
        <f t="shared" si="13"/>
        <v>1817679</v>
      </c>
    </row>
    <row r="217" spans="1:13" x14ac:dyDescent="0.2">
      <c r="A217" s="53">
        <v>47</v>
      </c>
      <c r="B217" s="178">
        <v>1845</v>
      </c>
      <c r="C217" s="180" t="s">
        <v>210</v>
      </c>
      <c r="D217" s="173">
        <v>8197561</v>
      </c>
      <c r="E217" s="173">
        <v>126314</v>
      </c>
      <c r="F217" s="173"/>
      <c r="G217" s="174">
        <f t="shared" si="14"/>
        <v>8323875</v>
      </c>
      <c r="H217" s="175"/>
      <c r="I217" s="176">
        <v>5008209</v>
      </c>
      <c r="J217" s="173">
        <v>107047</v>
      </c>
      <c r="K217" s="173"/>
      <c r="L217" s="174">
        <f t="shared" si="15"/>
        <v>5115256</v>
      </c>
      <c r="M217" s="177">
        <f t="shared" si="13"/>
        <v>3208619</v>
      </c>
    </row>
    <row r="218" spans="1:13" x14ac:dyDescent="0.2">
      <c r="A218" s="53">
        <v>47</v>
      </c>
      <c r="B218" s="178">
        <v>1850</v>
      </c>
      <c r="C218" s="180" t="s">
        <v>272</v>
      </c>
      <c r="D218" s="173">
        <v>6083306</v>
      </c>
      <c r="E218" s="173">
        <v>305722</v>
      </c>
      <c r="F218" s="173"/>
      <c r="G218" s="174">
        <f t="shared" si="14"/>
        <v>6389028</v>
      </c>
      <c r="H218" s="175"/>
      <c r="I218" s="176">
        <v>3680815</v>
      </c>
      <c r="J218" s="173">
        <v>82778</v>
      </c>
      <c r="K218" s="173"/>
      <c r="L218" s="174">
        <f t="shared" si="15"/>
        <v>3763593</v>
      </c>
      <c r="M218" s="177">
        <f t="shared" si="13"/>
        <v>2625435</v>
      </c>
    </row>
    <row r="219" spans="1:13" x14ac:dyDescent="0.2">
      <c r="A219" s="53">
        <v>47</v>
      </c>
      <c r="B219" s="178">
        <v>1851</v>
      </c>
      <c r="C219" s="180" t="s">
        <v>1405</v>
      </c>
      <c r="D219" s="173">
        <v>4448</v>
      </c>
      <c r="E219" s="173">
        <v>4067</v>
      </c>
      <c r="F219" s="173"/>
      <c r="G219" s="174">
        <f t="shared" si="14"/>
        <v>8515</v>
      </c>
      <c r="H219" s="175"/>
      <c r="I219" s="176">
        <v>111</v>
      </c>
      <c r="J219" s="173">
        <v>324</v>
      </c>
      <c r="K219" s="173"/>
      <c r="L219" s="174">
        <f t="shared" si="15"/>
        <v>435</v>
      </c>
      <c r="M219" s="177">
        <f t="shared" si="13"/>
        <v>8080</v>
      </c>
    </row>
    <row r="220" spans="1:13" x14ac:dyDescent="0.2">
      <c r="A220" s="53">
        <v>47</v>
      </c>
      <c r="B220" s="178">
        <v>1852</v>
      </c>
      <c r="C220" s="180" t="s">
        <v>1406</v>
      </c>
      <c r="D220" s="173">
        <v>37877</v>
      </c>
      <c r="E220" s="173">
        <v>36068</v>
      </c>
      <c r="F220" s="173"/>
      <c r="G220" s="174">
        <f t="shared" si="14"/>
        <v>73945</v>
      </c>
      <c r="H220" s="175"/>
      <c r="I220" s="176">
        <v>779</v>
      </c>
      <c r="J220" s="173">
        <v>1099</v>
      </c>
      <c r="K220" s="173"/>
      <c r="L220" s="174">
        <f t="shared" si="15"/>
        <v>1878</v>
      </c>
      <c r="M220" s="177">
        <f t="shared" si="13"/>
        <v>72067</v>
      </c>
    </row>
    <row r="221" spans="1:13" x14ac:dyDescent="0.2">
      <c r="A221" s="53">
        <v>47</v>
      </c>
      <c r="B221" s="178">
        <v>1855</v>
      </c>
      <c r="C221" s="180" t="s">
        <v>211</v>
      </c>
      <c r="D221" s="173">
        <v>932126</v>
      </c>
      <c r="E221" s="173">
        <v>98936</v>
      </c>
      <c r="F221" s="173"/>
      <c r="G221" s="174">
        <f t="shared" si="14"/>
        <v>1031062</v>
      </c>
      <c r="H221" s="175"/>
      <c r="I221" s="176">
        <v>237129</v>
      </c>
      <c r="J221" s="173">
        <v>40762</v>
      </c>
      <c r="K221" s="173"/>
      <c r="L221" s="174">
        <f t="shared" si="15"/>
        <v>277891</v>
      </c>
      <c r="M221" s="177">
        <f t="shared" si="13"/>
        <v>753171</v>
      </c>
    </row>
    <row r="222" spans="1:13" x14ac:dyDescent="0.2">
      <c r="A222" s="53">
        <v>47</v>
      </c>
      <c r="B222" s="178">
        <v>1860</v>
      </c>
      <c r="C222" s="180" t="s">
        <v>273</v>
      </c>
      <c r="D222" s="173">
        <v>0</v>
      </c>
      <c r="E222" s="173"/>
      <c r="F222" s="173"/>
      <c r="G222" s="174">
        <f>D222+E222+F222</f>
        <v>0</v>
      </c>
      <c r="H222" s="175"/>
      <c r="I222" s="176"/>
      <c r="J222" s="173"/>
      <c r="K222" s="173"/>
      <c r="L222" s="174">
        <f>I222+J222+K222</f>
        <v>0</v>
      </c>
      <c r="M222" s="177">
        <f t="shared" si="13"/>
        <v>0</v>
      </c>
    </row>
    <row r="223" spans="1:13" ht="25.5" x14ac:dyDescent="0.2">
      <c r="A223" s="53">
        <v>47</v>
      </c>
      <c r="B223" s="178">
        <v>1861</v>
      </c>
      <c r="C223" s="180" t="s">
        <v>1396</v>
      </c>
      <c r="D223" s="173">
        <v>957985</v>
      </c>
      <c r="E223" s="173">
        <v>366021</v>
      </c>
      <c r="F223" s="173"/>
      <c r="G223" s="174">
        <f t="shared" ref="G223:G235" si="16">D223+E223+F223</f>
        <v>1324006</v>
      </c>
      <c r="H223" s="175"/>
      <c r="I223" s="176">
        <v>258992</v>
      </c>
      <c r="J223" s="173">
        <v>132244</v>
      </c>
      <c r="K223" s="173"/>
      <c r="L223" s="174">
        <f t="shared" ref="L223:L235" si="17">I223+J223+K223</f>
        <v>391236</v>
      </c>
      <c r="M223" s="177">
        <f t="shared" si="13"/>
        <v>932770</v>
      </c>
    </row>
    <row r="224" spans="1:13" x14ac:dyDescent="0.2">
      <c r="A224" s="53">
        <v>47</v>
      </c>
      <c r="B224" s="178">
        <v>1862</v>
      </c>
      <c r="C224" s="180" t="s">
        <v>1397</v>
      </c>
      <c r="D224" s="173">
        <v>316808</v>
      </c>
      <c r="E224" s="173">
        <v>5768</v>
      </c>
      <c r="F224" s="173"/>
      <c r="G224" s="174">
        <f t="shared" si="16"/>
        <v>322576</v>
      </c>
      <c r="H224" s="175"/>
      <c r="I224" s="176">
        <v>68340</v>
      </c>
      <c r="J224" s="173">
        <v>34568</v>
      </c>
      <c r="K224" s="173"/>
      <c r="L224" s="174">
        <f t="shared" si="17"/>
        <v>102908</v>
      </c>
      <c r="M224" s="177">
        <f t="shared" si="13"/>
        <v>219668</v>
      </c>
    </row>
    <row r="225" spans="1:13" x14ac:dyDescent="0.2">
      <c r="A225" s="53">
        <v>47</v>
      </c>
      <c r="B225" s="178">
        <v>1863</v>
      </c>
      <c r="C225" s="180" t="s">
        <v>1398</v>
      </c>
      <c r="D225" s="173">
        <v>0</v>
      </c>
      <c r="E225" s="173">
        <v>1013</v>
      </c>
      <c r="F225" s="173"/>
      <c r="G225" s="174">
        <f t="shared" si="16"/>
        <v>1013</v>
      </c>
      <c r="H225" s="175"/>
      <c r="I225" s="176">
        <v>0</v>
      </c>
      <c r="J225" s="173">
        <v>34</v>
      </c>
      <c r="K225" s="173"/>
      <c r="L225" s="174">
        <f t="shared" si="17"/>
        <v>34</v>
      </c>
      <c r="M225" s="177">
        <f t="shared" si="13"/>
        <v>979</v>
      </c>
    </row>
    <row r="226" spans="1:13" x14ac:dyDescent="0.2">
      <c r="A226" s="53">
        <v>47</v>
      </c>
      <c r="B226" s="178">
        <v>1864</v>
      </c>
      <c r="C226" s="180" t="s">
        <v>1399</v>
      </c>
      <c r="D226" s="173">
        <v>108323</v>
      </c>
      <c r="E226" s="173">
        <v>909</v>
      </c>
      <c r="F226" s="173"/>
      <c r="G226" s="174">
        <f t="shared" si="16"/>
        <v>109232</v>
      </c>
      <c r="H226" s="175"/>
      <c r="I226" s="176">
        <v>6415</v>
      </c>
      <c r="J226" s="173">
        <v>3282</v>
      </c>
      <c r="K226" s="173"/>
      <c r="L226" s="174">
        <f t="shared" si="17"/>
        <v>9697</v>
      </c>
      <c r="M226" s="177">
        <f t="shared" si="13"/>
        <v>99535</v>
      </c>
    </row>
    <row r="227" spans="1:13" x14ac:dyDescent="0.2">
      <c r="A227" s="53">
        <v>47</v>
      </c>
      <c r="B227" s="178">
        <v>1865</v>
      </c>
      <c r="C227" s="179" t="s">
        <v>1400</v>
      </c>
      <c r="D227" s="173"/>
      <c r="E227" s="173"/>
      <c r="F227" s="173"/>
      <c r="G227" s="174">
        <f t="shared" si="16"/>
        <v>0</v>
      </c>
      <c r="H227" s="175"/>
      <c r="I227" s="176"/>
      <c r="J227" s="173"/>
      <c r="K227" s="173"/>
      <c r="L227" s="174">
        <f t="shared" si="17"/>
        <v>0</v>
      </c>
      <c r="M227" s="177">
        <f t="shared" si="13"/>
        <v>0</v>
      </c>
    </row>
    <row r="228" spans="1:13" x14ac:dyDescent="0.2">
      <c r="A228" s="53" t="s">
        <v>266</v>
      </c>
      <c r="B228" s="178">
        <v>1905</v>
      </c>
      <c r="C228" s="179" t="s">
        <v>267</v>
      </c>
      <c r="D228" s="173">
        <v>171765</v>
      </c>
      <c r="E228" s="173"/>
      <c r="F228" s="173"/>
      <c r="G228" s="174">
        <f t="shared" si="16"/>
        <v>171765</v>
      </c>
      <c r="H228" s="175"/>
      <c r="I228" s="176">
        <v>0</v>
      </c>
      <c r="J228" s="173"/>
      <c r="K228" s="173"/>
      <c r="L228" s="174">
        <f t="shared" si="17"/>
        <v>0</v>
      </c>
      <c r="M228" s="177">
        <f t="shared" si="13"/>
        <v>171765</v>
      </c>
    </row>
    <row r="229" spans="1:13" x14ac:dyDescent="0.2">
      <c r="A229" s="53">
        <v>47</v>
      </c>
      <c r="B229" s="178">
        <v>1908</v>
      </c>
      <c r="C229" s="180" t="s">
        <v>275</v>
      </c>
      <c r="D229" s="173">
        <v>665207</v>
      </c>
      <c r="E229" s="173">
        <v>236</v>
      </c>
      <c r="F229" s="173"/>
      <c r="G229" s="174">
        <f t="shared" si="16"/>
        <v>665443</v>
      </c>
      <c r="H229" s="175"/>
      <c r="I229" s="176">
        <v>375560</v>
      </c>
      <c r="J229" s="173">
        <v>14499</v>
      </c>
      <c r="K229" s="173"/>
      <c r="L229" s="174">
        <f t="shared" si="17"/>
        <v>390059</v>
      </c>
      <c r="M229" s="177">
        <f t="shared" si="13"/>
        <v>275384</v>
      </c>
    </row>
    <row r="230" spans="1:13" x14ac:dyDescent="0.2">
      <c r="A230" s="53">
        <v>13</v>
      </c>
      <c r="B230" s="178">
        <v>1910</v>
      </c>
      <c r="C230" s="180" t="s">
        <v>299</v>
      </c>
      <c r="D230" s="173"/>
      <c r="E230" s="173"/>
      <c r="F230" s="173"/>
      <c r="G230" s="174">
        <f t="shared" si="16"/>
        <v>0</v>
      </c>
      <c r="H230" s="175"/>
      <c r="I230" s="176"/>
      <c r="J230" s="173"/>
      <c r="K230" s="173"/>
      <c r="L230" s="174">
        <f t="shared" si="17"/>
        <v>0</v>
      </c>
      <c r="M230" s="177">
        <f t="shared" si="13"/>
        <v>0</v>
      </c>
    </row>
    <row r="231" spans="1:13" x14ac:dyDescent="0.2">
      <c r="A231" s="53">
        <v>8</v>
      </c>
      <c r="B231" s="178">
        <v>1915</v>
      </c>
      <c r="C231" s="180" t="s">
        <v>213</v>
      </c>
      <c r="D231" s="173">
        <v>245317</v>
      </c>
      <c r="E231" s="173">
        <v>7675</v>
      </c>
      <c r="F231" s="173"/>
      <c r="G231" s="174">
        <f t="shared" si="16"/>
        <v>252992</v>
      </c>
      <c r="H231" s="175"/>
      <c r="I231" s="176">
        <v>225078</v>
      </c>
      <c r="J231" s="173">
        <v>5846</v>
      </c>
      <c r="K231" s="173"/>
      <c r="L231" s="174">
        <f t="shared" si="17"/>
        <v>230924</v>
      </c>
      <c r="M231" s="177">
        <f t="shared" si="13"/>
        <v>22068</v>
      </c>
    </row>
    <row r="232" spans="1:13" x14ac:dyDescent="0.2">
      <c r="A232" s="53">
        <v>8</v>
      </c>
      <c r="B232" s="178">
        <v>1915</v>
      </c>
      <c r="C232" s="180" t="s">
        <v>214</v>
      </c>
      <c r="D232" s="173"/>
      <c r="E232" s="173"/>
      <c r="F232" s="173"/>
      <c r="G232" s="174">
        <f t="shared" si="16"/>
        <v>0</v>
      </c>
      <c r="H232" s="175"/>
      <c r="I232" s="176"/>
      <c r="J232" s="173"/>
      <c r="K232" s="173"/>
      <c r="L232" s="174">
        <f t="shared" si="17"/>
        <v>0</v>
      </c>
      <c r="M232" s="177">
        <f t="shared" si="13"/>
        <v>0</v>
      </c>
    </row>
    <row r="233" spans="1:13" x14ac:dyDescent="0.2">
      <c r="A233" s="53">
        <v>10</v>
      </c>
      <c r="B233" s="178">
        <v>1920</v>
      </c>
      <c r="C233" s="180" t="s">
        <v>215</v>
      </c>
      <c r="D233" s="173">
        <v>379056</v>
      </c>
      <c r="E233" s="173">
        <v>24709</v>
      </c>
      <c r="F233" s="173"/>
      <c r="G233" s="174">
        <f t="shared" si="16"/>
        <v>403765</v>
      </c>
      <c r="H233" s="175"/>
      <c r="I233" s="176">
        <v>369388</v>
      </c>
      <c r="J233" s="173">
        <v>7020</v>
      </c>
      <c r="K233" s="173"/>
      <c r="L233" s="174">
        <f t="shared" si="17"/>
        <v>376408</v>
      </c>
      <c r="M233" s="177">
        <f t="shared" si="13"/>
        <v>27357</v>
      </c>
    </row>
    <row r="234" spans="1:13" ht="25.5" x14ac:dyDescent="0.2">
      <c r="A234" s="53">
        <v>45</v>
      </c>
      <c r="B234" s="181">
        <v>1920</v>
      </c>
      <c r="C234" s="172" t="s">
        <v>217</v>
      </c>
      <c r="D234" s="173"/>
      <c r="E234" s="173"/>
      <c r="F234" s="173"/>
      <c r="G234" s="174">
        <f t="shared" si="16"/>
        <v>0</v>
      </c>
      <c r="H234" s="175"/>
      <c r="I234" s="176"/>
      <c r="J234" s="173"/>
      <c r="K234" s="173"/>
      <c r="L234" s="174">
        <f t="shared" si="17"/>
        <v>0</v>
      </c>
      <c r="M234" s="177">
        <f t="shared" si="13"/>
        <v>0</v>
      </c>
    </row>
    <row r="235" spans="1:13" ht="25.5" x14ac:dyDescent="0.2">
      <c r="A235" s="53">
        <v>45.1</v>
      </c>
      <c r="B235" s="181">
        <v>1920</v>
      </c>
      <c r="C235" s="172" t="s">
        <v>216</v>
      </c>
      <c r="D235" s="173"/>
      <c r="E235" s="173"/>
      <c r="F235" s="173"/>
      <c r="G235" s="174">
        <f t="shared" si="16"/>
        <v>0</v>
      </c>
      <c r="H235" s="175"/>
      <c r="I235" s="176"/>
      <c r="J235" s="173"/>
      <c r="K235" s="173"/>
      <c r="L235" s="174">
        <f t="shared" si="17"/>
        <v>0</v>
      </c>
      <c r="M235" s="177">
        <f t="shared" si="13"/>
        <v>0</v>
      </c>
    </row>
    <row r="236" spans="1:13" x14ac:dyDescent="0.2">
      <c r="A236" s="53">
        <v>10</v>
      </c>
      <c r="B236" s="1473">
        <v>1930</v>
      </c>
      <c r="C236" s="180" t="s">
        <v>286</v>
      </c>
      <c r="D236" s="173"/>
      <c r="E236" s="173"/>
      <c r="F236" s="173"/>
      <c r="G236" s="174">
        <f>D236+E236+F236</f>
        <v>0</v>
      </c>
      <c r="H236" s="175"/>
      <c r="I236" s="176"/>
      <c r="J236" s="173"/>
      <c r="K236" s="173"/>
      <c r="L236" s="174">
        <f>I236+J236+K236</f>
        <v>0</v>
      </c>
      <c r="M236" s="177">
        <f t="shared" si="13"/>
        <v>0</v>
      </c>
    </row>
    <row r="237" spans="1:13" x14ac:dyDescent="0.2">
      <c r="A237" s="53">
        <v>10</v>
      </c>
      <c r="B237" s="1473">
        <v>1931</v>
      </c>
      <c r="C237" s="180" t="s">
        <v>1401</v>
      </c>
      <c r="D237" s="173">
        <v>116061</v>
      </c>
      <c r="E237" s="173"/>
      <c r="F237" s="173"/>
      <c r="G237" s="174">
        <f>D237+E237-F237</f>
        <v>116061</v>
      </c>
      <c r="H237" s="175"/>
      <c r="I237" s="176">
        <v>21682</v>
      </c>
      <c r="J237" s="173">
        <v>11929</v>
      </c>
      <c r="K237" s="173"/>
      <c r="L237" s="174">
        <f t="shared" ref="L237:L252" si="18">I237+J237+K237</f>
        <v>33611</v>
      </c>
      <c r="M237" s="177">
        <f t="shared" si="13"/>
        <v>82450</v>
      </c>
    </row>
    <row r="238" spans="1:13" x14ac:dyDescent="0.2">
      <c r="A238" s="53">
        <v>10</v>
      </c>
      <c r="B238" s="1473">
        <v>1932</v>
      </c>
      <c r="C238" s="180" t="s">
        <v>1402</v>
      </c>
      <c r="D238" s="173">
        <v>171179</v>
      </c>
      <c r="E238" s="173"/>
      <c r="F238" s="173"/>
      <c r="G238" s="174">
        <f>D238+E238+F238</f>
        <v>171179</v>
      </c>
      <c r="H238" s="175"/>
      <c r="I238" s="176">
        <v>110350</v>
      </c>
      <c r="J238" s="173">
        <v>25440</v>
      </c>
      <c r="K238" s="173"/>
      <c r="L238" s="174">
        <f t="shared" si="18"/>
        <v>135790</v>
      </c>
      <c r="M238" s="177">
        <f t="shared" si="13"/>
        <v>35389</v>
      </c>
    </row>
    <row r="239" spans="1:13" x14ac:dyDescent="0.2">
      <c r="A239" s="53">
        <v>10</v>
      </c>
      <c r="B239" s="1473">
        <v>1933</v>
      </c>
      <c r="C239" s="180" t="s">
        <v>1403</v>
      </c>
      <c r="D239" s="173">
        <v>70712</v>
      </c>
      <c r="E239" s="173"/>
      <c r="F239" s="173"/>
      <c r="G239" s="174">
        <f>D239+E239-F239</f>
        <v>70712</v>
      </c>
      <c r="H239" s="175"/>
      <c r="I239" s="176">
        <v>3536</v>
      </c>
      <c r="J239" s="173">
        <v>7071</v>
      </c>
      <c r="K239" s="173"/>
      <c r="L239" s="174">
        <f t="shared" si="18"/>
        <v>10607</v>
      </c>
      <c r="M239" s="177">
        <f t="shared" si="13"/>
        <v>60105</v>
      </c>
    </row>
    <row r="240" spans="1:13" x14ac:dyDescent="0.2">
      <c r="A240" s="53">
        <v>8</v>
      </c>
      <c r="B240" s="1473">
        <v>1935</v>
      </c>
      <c r="C240" s="180" t="s">
        <v>287</v>
      </c>
      <c r="D240" s="173"/>
      <c r="E240" s="173"/>
      <c r="F240" s="173"/>
      <c r="G240" s="174">
        <f t="shared" ref="G240:G252" si="19">D240+E240+F240</f>
        <v>0</v>
      </c>
      <c r="H240" s="175"/>
      <c r="I240" s="176"/>
      <c r="J240" s="173"/>
      <c r="K240" s="173"/>
      <c r="L240" s="174">
        <f t="shared" si="18"/>
        <v>0</v>
      </c>
      <c r="M240" s="177">
        <f t="shared" si="13"/>
        <v>0</v>
      </c>
    </row>
    <row r="241" spans="1:13" x14ac:dyDescent="0.2">
      <c r="A241" s="53">
        <v>8</v>
      </c>
      <c r="B241" s="1473">
        <v>1940</v>
      </c>
      <c r="C241" s="180" t="s">
        <v>288</v>
      </c>
      <c r="D241" s="173">
        <v>381829</v>
      </c>
      <c r="E241" s="173">
        <v>4107</v>
      </c>
      <c r="F241" s="173"/>
      <c r="G241" s="174">
        <f t="shared" si="19"/>
        <v>385936</v>
      </c>
      <c r="H241" s="175"/>
      <c r="I241" s="176">
        <v>344385</v>
      </c>
      <c r="J241" s="173">
        <v>9369</v>
      </c>
      <c r="K241" s="173"/>
      <c r="L241" s="174">
        <f t="shared" si="18"/>
        <v>353754</v>
      </c>
      <c r="M241" s="177">
        <f t="shared" si="13"/>
        <v>32182</v>
      </c>
    </row>
    <row r="242" spans="1:13" x14ac:dyDescent="0.2">
      <c r="A242" s="53">
        <v>8</v>
      </c>
      <c r="B242" s="1473">
        <v>1945</v>
      </c>
      <c r="C242" s="180" t="s">
        <v>289</v>
      </c>
      <c r="D242" s="173"/>
      <c r="E242" s="173"/>
      <c r="F242" s="173"/>
      <c r="G242" s="174">
        <f t="shared" si="19"/>
        <v>0</v>
      </c>
      <c r="H242" s="175"/>
      <c r="I242" s="176"/>
      <c r="J242" s="173"/>
      <c r="K242" s="173"/>
      <c r="L242" s="174">
        <f t="shared" si="18"/>
        <v>0</v>
      </c>
      <c r="M242" s="177">
        <f t="shared" si="13"/>
        <v>0</v>
      </c>
    </row>
    <row r="243" spans="1:13" x14ac:dyDescent="0.2">
      <c r="A243" s="53">
        <v>8</v>
      </c>
      <c r="B243" s="1473">
        <v>1950</v>
      </c>
      <c r="C243" s="180" t="s">
        <v>218</v>
      </c>
      <c r="D243" s="173"/>
      <c r="E243" s="173"/>
      <c r="F243" s="173"/>
      <c r="G243" s="174">
        <f t="shared" si="19"/>
        <v>0</v>
      </c>
      <c r="H243" s="175"/>
      <c r="I243" s="182"/>
      <c r="J243" s="173"/>
      <c r="K243" s="173"/>
      <c r="L243" s="174">
        <f t="shared" si="18"/>
        <v>0</v>
      </c>
      <c r="M243" s="177">
        <f t="shared" si="13"/>
        <v>0</v>
      </c>
    </row>
    <row r="244" spans="1:13" x14ac:dyDescent="0.2">
      <c r="A244" s="53">
        <v>8</v>
      </c>
      <c r="B244" s="1473">
        <v>1955</v>
      </c>
      <c r="C244" s="180" t="s">
        <v>290</v>
      </c>
      <c r="D244" s="173">
        <v>36146</v>
      </c>
      <c r="E244" s="173">
        <v>727</v>
      </c>
      <c r="F244" s="173"/>
      <c r="G244" s="174">
        <f t="shared" si="19"/>
        <v>36873</v>
      </c>
      <c r="H244" s="175"/>
      <c r="I244" s="176">
        <v>27663</v>
      </c>
      <c r="J244" s="173">
        <v>1450</v>
      </c>
      <c r="K244" s="173"/>
      <c r="L244" s="174">
        <f t="shared" si="18"/>
        <v>29113</v>
      </c>
      <c r="M244" s="177">
        <f t="shared" si="13"/>
        <v>7760</v>
      </c>
    </row>
    <row r="245" spans="1:13" x14ac:dyDescent="0.2">
      <c r="A245" s="183">
        <v>8</v>
      </c>
      <c r="B245" s="181">
        <v>1955</v>
      </c>
      <c r="C245" s="184" t="s">
        <v>219</v>
      </c>
      <c r="D245" s="173"/>
      <c r="E245" s="173"/>
      <c r="F245" s="173"/>
      <c r="G245" s="174">
        <f t="shared" si="19"/>
        <v>0</v>
      </c>
      <c r="H245" s="175"/>
      <c r="I245" s="176"/>
      <c r="J245" s="173"/>
      <c r="K245" s="173"/>
      <c r="L245" s="174">
        <f t="shared" si="18"/>
        <v>0</v>
      </c>
      <c r="M245" s="177">
        <f t="shared" si="13"/>
        <v>0</v>
      </c>
    </row>
    <row r="246" spans="1:13" x14ac:dyDescent="0.2">
      <c r="A246" s="183">
        <v>8</v>
      </c>
      <c r="B246" s="185">
        <v>1960</v>
      </c>
      <c r="C246" s="172" t="s">
        <v>220</v>
      </c>
      <c r="D246" s="173"/>
      <c r="E246" s="173"/>
      <c r="F246" s="173"/>
      <c r="G246" s="174">
        <f t="shared" si="19"/>
        <v>0</v>
      </c>
      <c r="H246" s="175"/>
      <c r="I246" s="176"/>
      <c r="J246" s="173"/>
      <c r="K246" s="173"/>
      <c r="L246" s="174">
        <f t="shared" si="18"/>
        <v>0</v>
      </c>
      <c r="M246" s="177">
        <f t="shared" si="13"/>
        <v>0</v>
      </c>
    </row>
    <row r="247" spans="1:13" ht="25.5" x14ac:dyDescent="0.2">
      <c r="A247" s="186">
        <v>47</v>
      </c>
      <c r="B247" s="185">
        <v>1970</v>
      </c>
      <c r="C247" s="180" t="s">
        <v>501</v>
      </c>
      <c r="D247" s="173"/>
      <c r="E247" s="173"/>
      <c r="F247" s="173"/>
      <c r="G247" s="174">
        <f t="shared" si="19"/>
        <v>0</v>
      </c>
      <c r="H247" s="175"/>
      <c r="I247" s="176"/>
      <c r="J247" s="173"/>
      <c r="K247" s="173"/>
      <c r="L247" s="174">
        <f t="shared" si="18"/>
        <v>0</v>
      </c>
      <c r="M247" s="177">
        <f t="shared" si="13"/>
        <v>0</v>
      </c>
    </row>
    <row r="248" spans="1:13" ht="25.5" x14ac:dyDescent="0.2">
      <c r="A248" s="53">
        <v>47</v>
      </c>
      <c r="B248" s="1473">
        <v>1975</v>
      </c>
      <c r="C248" s="180" t="s">
        <v>291</v>
      </c>
      <c r="D248" s="173"/>
      <c r="E248" s="173"/>
      <c r="F248" s="173"/>
      <c r="G248" s="174">
        <f t="shared" si="19"/>
        <v>0</v>
      </c>
      <c r="H248" s="175"/>
      <c r="I248" s="176"/>
      <c r="J248" s="173"/>
      <c r="K248" s="173"/>
      <c r="L248" s="174">
        <f t="shared" si="18"/>
        <v>0</v>
      </c>
      <c r="M248" s="177">
        <f t="shared" si="13"/>
        <v>0</v>
      </c>
    </row>
    <row r="249" spans="1:13" x14ac:dyDescent="0.2">
      <c r="A249" s="53">
        <v>47</v>
      </c>
      <c r="B249" s="1473">
        <v>1980</v>
      </c>
      <c r="C249" s="180" t="s">
        <v>292</v>
      </c>
      <c r="D249" s="173"/>
      <c r="E249" s="173"/>
      <c r="F249" s="173"/>
      <c r="G249" s="174">
        <f t="shared" si="19"/>
        <v>0</v>
      </c>
      <c r="H249" s="175"/>
      <c r="I249" s="176"/>
      <c r="J249" s="173"/>
      <c r="K249" s="173"/>
      <c r="L249" s="174">
        <f t="shared" si="18"/>
        <v>0</v>
      </c>
      <c r="M249" s="177">
        <f t="shared" si="13"/>
        <v>0</v>
      </c>
    </row>
    <row r="250" spans="1:13" x14ac:dyDescent="0.2">
      <c r="A250" s="53">
        <v>47</v>
      </c>
      <c r="B250" s="1473">
        <v>1985</v>
      </c>
      <c r="C250" s="180" t="s">
        <v>1404</v>
      </c>
      <c r="D250" s="173">
        <v>15</v>
      </c>
      <c r="E250" s="173"/>
      <c r="F250" s="173"/>
      <c r="G250" s="174">
        <f t="shared" si="19"/>
        <v>15</v>
      </c>
      <c r="H250" s="175"/>
      <c r="I250" s="176">
        <v>15</v>
      </c>
      <c r="J250" s="173"/>
      <c r="K250" s="173"/>
      <c r="L250" s="174">
        <f t="shared" si="18"/>
        <v>15</v>
      </c>
      <c r="M250" s="177">
        <f t="shared" si="13"/>
        <v>0</v>
      </c>
    </row>
    <row r="251" spans="1:13" x14ac:dyDescent="0.2">
      <c r="A251" s="186">
        <v>47</v>
      </c>
      <c r="B251" s="1473">
        <v>1990</v>
      </c>
      <c r="C251" s="1472" t="s">
        <v>502</v>
      </c>
      <c r="D251" s="173"/>
      <c r="E251" s="173"/>
      <c r="F251" s="173"/>
      <c r="G251" s="174">
        <f t="shared" si="19"/>
        <v>0</v>
      </c>
      <c r="H251" s="175"/>
      <c r="I251" s="176"/>
      <c r="J251" s="173"/>
      <c r="K251" s="173"/>
      <c r="L251" s="174">
        <f t="shared" si="18"/>
        <v>0</v>
      </c>
      <c r="M251" s="177">
        <f t="shared" si="13"/>
        <v>0</v>
      </c>
    </row>
    <row r="252" spans="1:13" x14ac:dyDescent="0.2">
      <c r="A252" s="53">
        <v>47</v>
      </c>
      <c r="B252" s="1473">
        <v>1995</v>
      </c>
      <c r="C252" s="180" t="s">
        <v>294</v>
      </c>
      <c r="D252" s="173">
        <v>-6095513</v>
      </c>
      <c r="E252" s="173">
        <v>-247033</v>
      </c>
      <c r="F252" s="173"/>
      <c r="G252" s="174">
        <f t="shared" si="19"/>
        <v>-6342546</v>
      </c>
      <c r="H252" s="175"/>
      <c r="I252" s="176">
        <v>-1660578</v>
      </c>
      <c r="J252" s="173">
        <v>-250313</v>
      </c>
      <c r="K252" s="173"/>
      <c r="L252" s="174">
        <f t="shared" si="18"/>
        <v>-1910891</v>
      </c>
      <c r="M252" s="177">
        <f t="shared" si="13"/>
        <v>-4431655</v>
      </c>
    </row>
    <row r="253" spans="1:13" ht="14.25" x14ac:dyDescent="0.2">
      <c r="A253" s="53">
        <v>47</v>
      </c>
      <c r="B253" s="1473">
        <v>2440</v>
      </c>
      <c r="C253" s="180" t="s">
        <v>950</v>
      </c>
      <c r="D253" s="173"/>
      <c r="E253" s="173"/>
      <c r="F253" s="173"/>
      <c r="G253" s="174"/>
      <c r="I253" s="176"/>
      <c r="J253" s="173"/>
      <c r="K253" s="173"/>
      <c r="L253" s="174"/>
      <c r="M253" s="177"/>
    </row>
    <row r="254" spans="1:13" x14ac:dyDescent="0.2">
      <c r="A254" s="187"/>
      <c r="B254" s="187"/>
      <c r="C254" s="188"/>
      <c r="D254" s="189"/>
      <c r="E254" s="189"/>
      <c r="F254" s="189"/>
      <c r="G254" s="174">
        <f>D254+E254+F254</f>
        <v>0</v>
      </c>
      <c r="I254" s="189"/>
      <c r="J254" s="189"/>
      <c r="K254" s="189"/>
      <c r="L254" s="174">
        <f>I254+J254+K254</f>
        <v>0</v>
      </c>
      <c r="M254" s="177">
        <f>G254+L254</f>
        <v>0</v>
      </c>
    </row>
    <row r="255" spans="1:13" x14ac:dyDescent="0.2">
      <c r="A255" s="187"/>
      <c r="B255" s="187"/>
      <c r="C255" s="190" t="s">
        <v>204</v>
      </c>
      <c r="D255" s="191">
        <f>SUM(D206:D254)</f>
        <v>22646688</v>
      </c>
      <c r="E255" s="191">
        <f>SUM(E206:E254)</f>
        <v>1080987</v>
      </c>
      <c r="F255" s="191">
        <f>SUM(F206:F254)</f>
        <v>0</v>
      </c>
      <c r="G255" s="191">
        <f>SUM(G206:G254)</f>
        <v>23727675</v>
      </c>
      <c r="H255" s="191"/>
      <c r="I255" s="191">
        <f>SUM(I206:I254)</f>
        <v>14734093</v>
      </c>
      <c r="J255" s="191">
        <f>SUM(J206:J254)</f>
        <v>335895</v>
      </c>
      <c r="K255" s="191">
        <f>SUM(K206:K254)</f>
        <v>0</v>
      </c>
      <c r="L255" s="191">
        <f>SUM(L206:L254)</f>
        <v>15069988</v>
      </c>
      <c r="M255" s="191">
        <f>SUM(M206:M254)</f>
        <v>8657687</v>
      </c>
    </row>
    <row r="256" spans="1:13" ht="37.5" x14ac:dyDescent="0.2">
      <c r="A256" s="187"/>
      <c r="B256" s="187"/>
      <c r="C256" s="192" t="s">
        <v>597</v>
      </c>
      <c r="D256" s="189"/>
      <c r="E256" s="189"/>
      <c r="F256" s="189"/>
      <c r="G256" s="174">
        <f>D256+E256+F256</f>
        <v>0</v>
      </c>
      <c r="I256" s="189"/>
      <c r="J256" s="189"/>
      <c r="K256" s="189"/>
      <c r="L256" s="174">
        <f>I256+J256+K256</f>
        <v>0</v>
      </c>
      <c r="M256" s="177">
        <f>G256+L256</f>
        <v>0</v>
      </c>
    </row>
    <row r="257" spans="1:13" ht="25.5" x14ac:dyDescent="0.2">
      <c r="A257" s="187"/>
      <c r="B257" s="187"/>
      <c r="C257" s="193" t="s">
        <v>596</v>
      </c>
      <c r="D257" s="189"/>
      <c r="E257" s="189"/>
      <c r="F257" s="189"/>
      <c r="G257" s="174">
        <f>D257+E257+F257</f>
        <v>0</v>
      </c>
      <c r="I257" s="189"/>
      <c r="J257" s="189"/>
      <c r="K257" s="189"/>
      <c r="L257" s="174">
        <f>I257+J257+K257</f>
        <v>0</v>
      </c>
      <c r="M257" s="177">
        <f>G257+L257</f>
        <v>0</v>
      </c>
    </row>
    <row r="258" spans="1:13" x14ac:dyDescent="0.2">
      <c r="A258" s="187"/>
      <c r="B258" s="187"/>
      <c r="C258" s="190" t="s">
        <v>503</v>
      </c>
      <c r="D258" s="191">
        <f>SUM(D255:D257)</f>
        <v>22646688</v>
      </c>
      <c r="E258" s="191">
        <f>SUM(E255:E257)</f>
        <v>1080987</v>
      </c>
      <c r="F258" s="191">
        <f>SUM(F255:F257)</f>
        <v>0</v>
      </c>
      <c r="G258" s="191">
        <f>SUM(G255:G257)</f>
        <v>23727675</v>
      </c>
      <c r="H258" s="191"/>
      <c r="I258" s="191">
        <f>SUM(I255:I257)</f>
        <v>14734093</v>
      </c>
      <c r="J258" s="191">
        <f>SUM(J255:J257)</f>
        <v>335895</v>
      </c>
      <c r="K258" s="191">
        <f>SUM(K255:K257)</f>
        <v>0</v>
      </c>
      <c r="L258" s="191">
        <f>SUM(L255:L257)</f>
        <v>15069988</v>
      </c>
      <c r="M258" s="191">
        <f>SUM(M255:M257)</f>
        <v>8657687</v>
      </c>
    </row>
    <row r="259" spans="1:13" ht="14.25" x14ac:dyDescent="0.2">
      <c r="A259" s="187"/>
      <c r="B259" s="187"/>
      <c r="C259" s="1603" t="s">
        <v>912</v>
      </c>
      <c r="D259" s="1604"/>
      <c r="E259" s="1604"/>
      <c r="F259" s="1604"/>
      <c r="G259" s="1604"/>
      <c r="H259" s="1604"/>
      <c r="I259" s="1605"/>
      <c r="J259" s="189"/>
      <c r="K259" s="194"/>
      <c r="L259" s="195"/>
      <c r="M259" s="196"/>
    </row>
    <row r="260" spans="1:13" x14ac:dyDescent="0.2">
      <c r="A260" s="187"/>
      <c r="B260" s="187"/>
      <c r="C260" s="1603" t="s">
        <v>295</v>
      </c>
      <c r="D260" s="1604"/>
      <c r="E260" s="1604"/>
      <c r="F260" s="1604"/>
      <c r="G260" s="1604"/>
      <c r="H260" s="1604"/>
      <c r="I260" s="1605"/>
      <c r="J260" s="191">
        <f>J258+J259</f>
        <v>335895</v>
      </c>
      <c r="K260" s="194"/>
      <c r="L260" s="195"/>
      <c r="M260" s="196"/>
    </row>
    <row r="261" spans="1:13" x14ac:dyDescent="0.2">
      <c r="A261" s="1474"/>
      <c r="B261" s="1474"/>
    </row>
    <row r="262" spans="1:13" x14ac:dyDescent="0.2">
      <c r="A262" s="1474"/>
      <c r="B262" s="1474"/>
      <c r="I262" s="197" t="s">
        <v>422</v>
      </c>
      <c r="J262" s="1475"/>
    </row>
    <row r="263" spans="1:13" x14ac:dyDescent="0.2">
      <c r="A263" s="187">
        <v>10</v>
      </c>
      <c r="B263" s="187"/>
      <c r="C263" s="188" t="s">
        <v>296</v>
      </c>
      <c r="I263" s="1475" t="s">
        <v>296</v>
      </c>
      <c r="J263" s="1475"/>
      <c r="K263" s="198">
        <f>J237+J238+J239</f>
        <v>44440</v>
      </c>
    </row>
    <row r="264" spans="1:13" x14ac:dyDescent="0.2">
      <c r="A264" s="187">
        <v>8</v>
      </c>
      <c r="B264" s="187"/>
      <c r="C264" s="188" t="s">
        <v>287</v>
      </c>
      <c r="I264" s="1475" t="s">
        <v>851</v>
      </c>
      <c r="J264" s="1475"/>
      <c r="K264" s="199">
        <f>J244</f>
        <v>1450</v>
      </c>
    </row>
    <row r="265" spans="1:13" x14ac:dyDescent="0.2">
      <c r="A265" s="1474"/>
      <c r="B265" s="1474"/>
      <c r="I265" s="200" t="s">
        <v>297</v>
      </c>
      <c r="K265" s="201">
        <f>J260-K263-K264</f>
        <v>290005</v>
      </c>
    </row>
    <row r="266" spans="1:13" x14ac:dyDescent="0.2">
      <c r="A266" s="1471"/>
      <c r="B266" s="1471"/>
      <c r="I266" s="200"/>
      <c r="K266" s="1453"/>
    </row>
    <row r="267" spans="1:13" x14ac:dyDescent="0.2">
      <c r="A267" s="1474"/>
      <c r="B267" s="1474"/>
      <c r="E267" s="122" t="s">
        <v>882</v>
      </c>
      <c r="F267" s="48" t="s">
        <v>105</v>
      </c>
      <c r="H267" s="52"/>
    </row>
    <row r="268" spans="1:13" ht="15" x14ac:dyDescent="0.25">
      <c r="A268" s="1474"/>
      <c r="B268" s="1474"/>
      <c r="C268" s="56"/>
      <c r="E268" s="122" t="s">
        <v>102</v>
      </c>
      <c r="F268" s="160">
        <v>2016</v>
      </c>
      <c r="G268" s="161"/>
    </row>
    <row r="269" spans="1:13" x14ac:dyDescent="0.2">
      <c r="A269" s="1474"/>
      <c r="B269" s="1474"/>
    </row>
    <row r="270" spans="1:13" x14ac:dyDescent="0.2">
      <c r="A270" s="1474"/>
      <c r="B270" s="1474"/>
      <c r="D270" s="1606" t="s">
        <v>264</v>
      </c>
      <c r="E270" s="1607"/>
      <c r="F270" s="1607"/>
      <c r="G270" s="1608"/>
      <c r="I270" s="162"/>
      <c r="J270" s="163" t="s">
        <v>265</v>
      </c>
      <c r="K270" s="163"/>
      <c r="L270" s="164"/>
      <c r="M270" s="159"/>
    </row>
    <row r="271" spans="1:13" ht="27" x14ac:dyDescent="0.2">
      <c r="A271" s="165" t="s">
        <v>1000</v>
      </c>
      <c r="B271" s="165" t="s">
        <v>1002</v>
      </c>
      <c r="C271" s="166" t="s">
        <v>1003</v>
      </c>
      <c r="D271" s="165" t="s">
        <v>236</v>
      </c>
      <c r="E271" s="167" t="s">
        <v>1001</v>
      </c>
      <c r="F271" s="167" t="s">
        <v>1189</v>
      </c>
      <c r="G271" s="165" t="s">
        <v>263</v>
      </c>
      <c r="H271" s="168"/>
      <c r="I271" s="169" t="s">
        <v>236</v>
      </c>
      <c r="J271" s="170" t="s">
        <v>237</v>
      </c>
      <c r="K271" s="170" t="s">
        <v>1189</v>
      </c>
      <c r="L271" s="171" t="s">
        <v>263</v>
      </c>
      <c r="M271" s="165" t="s">
        <v>300</v>
      </c>
    </row>
    <row r="272" spans="1:13" ht="25.5" x14ac:dyDescent="0.2">
      <c r="A272" s="53">
        <v>12</v>
      </c>
      <c r="B272" s="1473">
        <v>1611</v>
      </c>
      <c r="C272" s="172" t="s">
        <v>381</v>
      </c>
      <c r="D272" s="173">
        <v>259251</v>
      </c>
      <c r="E272" s="173">
        <v>1500</v>
      </c>
      <c r="F272" s="173"/>
      <c r="G272" s="174">
        <f>D272+E272+F272</f>
        <v>260751</v>
      </c>
      <c r="H272" s="175"/>
      <c r="I272" s="176">
        <v>256883</v>
      </c>
      <c r="J272" s="173">
        <v>4055</v>
      </c>
      <c r="K272" s="173"/>
      <c r="L272" s="174">
        <f>I272+J272+K272</f>
        <v>260938</v>
      </c>
      <c r="M272" s="177">
        <f>G272-L272</f>
        <v>-187</v>
      </c>
    </row>
    <row r="273" spans="1:13" ht="25.5" x14ac:dyDescent="0.2">
      <c r="A273" s="53" t="s">
        <v>274</v>
      </c>
      <c r="B273" s="1473">
        <v>1612</v>
      </c>
      <c r="C273" s="172" t="s">
        <v>442</v>
      </c>
      <c r="D273" s="173">
        <v>2945</v>
      </c>
      <c r="E273" s="173"/>
      <c r="F273" s="173"/>
      <c r="G273" s="174">
        <f>D273+E273+F273</f>
        <v>2945</v>
      </c>
      <c r="H273" s="175"/>
      <c r="I273" s="176">
        <v>2725</v>
      </c>
      <c r="J273" s="173"/>
      <c r="K273" s="173"/>
      <c r="L273" s="174">
        <f>I273+J273+K273</f>
        <v>2725</v>
      </c>
      <c r="M273" s="177">
        <f t="shared" ref="M273:M318" si="20">G273-L273</f>
        <v>220</v>
      </c>
    </row>
    <row r="274" spans="1:13" x14ac:dyDescent="0.2">
      <c r="A274" s="53" t="s">
        <v>266</v>
      </c>
      <c r="B274" s="178">
        <v>1805</v>
      </c>
      <c r="C274" s="179" t="s">
        <v>267</v>
      </c>
      <c r="D274" s="173">
        <v>2112</v>
      </c>
      <c r="E274" s="173"/>
      <c r="F274" s="173"/>
      <c r="G274" s="174">
        <f>D274+E274+F274</f>
        <v>2112</v>
      </c>
      <c r="H274" s="175"/>
      <c r="I274" s="176"/>
      <c r="J274" s="173"/>
      <c r="K274" s="173"/>
      <c r="L274" s="174">
        <f>I274+J274+K274</f>
        <v>0</v>
      </c>
      <c r="M274" s="177">
        <f t="shared" si="20"/>
        <v>2112</v>
      </c>
    </row>
    <row r="275" spans="1:13" x14ac:dyDescent="0.2">
      <c r="A275" s="53">
        <v>47</v>
      </c>
      <c r="B275" s="178">
        <v>1808</v>
      </c>
      <c r="C275" s="180" t="s">
        <v>268</v>
      </c>
      <c r="D275" s="173"/>
      <c r="E275" s="173"/>
      <c r="F275" s="173"/>
      <c r="G275" s="174">
        <f t="shared" ref="G275:G287" si="21">D275+E275+F275</f>
        <v>0</v>
      </c>
      <c r="H275" s="175"/>
      <c r="I275" s="176"/>
      <c r="J275" s="173"/>
      <c r="K275" s="173"/>
      <c r="L275" s="174">
        <f t="shared" ref="L275:L287" si="22">I275+J275+K275</f>
        <v>0</v>
      </c>
      <c r="M275" s="177">
        <f t="shared" si="20"/>
        <v>0</v>
      </c>
    </row>
    <row r="276" spans="1:13" x14ac:dyDescent="0.2">
      <c r="A276" s="53">
        <v>13</v>
      </c>
      <c r="B276" s="178">
        <v>1810</v>
      </c>
      <c r="C276" s="180" t="s">
        <v>299</v>
      </c>
      <c r="D276" s="173"/>
      <c r="E276" s="173"/>
      <c r="F276" s="173"/>
      <c r="G276" s="174">
        <f t="shared" si="21"/>
        <v>0</v>
      </c>
      <c r="H276" s="175"/>
      <c r="I276" s="176"/>
      <c r="J276" s="173"/>
      <c r="K276" s="173"/>
      <c r="L276" s="174">
        <f t="shared" si="22"/>
        <v>0</v>
      </c>
      <c r="M276" s="177">
        <f t="shared" si="20"/>
        <v>0</v>
      </c>
    </row>
    <row r="277" spans="1:13" x14ac:dyDescent="0.2">
      <c r="A277" s="53">
        <v>47</v>
      </c>
      <c r="B277" s="178">
        <v>1815</v>
      </c>
      <c r="C277" s="180" t="s">
        <v>269</v>
      </c>
      <c r="D277" s="173"/>
      <c r="E277" s="173"/>
      <c r="F277" s="173"/>
      <c r="G277" s="174">
        <f t="shared" si="21"/>
        <v>0</v>
      </c>
      <c r="H277" s="175"/>
      <c r="I277" s="176"/>
      <c r="J277" s="173"/>
      <c r="K277" s="173"/>
      <c r="L277" s="174">
        <f t="shared" si="22"/>
        <v>0</v>
      </c>
      <c r="M277" s="177">
        <f t="shared" si="20"/>
        <v>0</v>
      </c>
    </row>
    <row r="278" spans="1:13" x14ac:dyDescent="0.2">
      <c r="A278" s="53">
        <v>47</v>
      </c>
      <c r="B278" s="178">
        <v>1820</v>
      </c>
      <c r="C278" s="172" t="s">
        <v>207</v>
      </c>
      <c r="D278" s="173">
        <v>142098</v>
      </c>
      <c r="E278" s="173"/>
      <c r="F278" s="173"/>
      <c r="G278" s="174">
        <f t="shared" si="21"/>
        <v>142098</v>
      </c>
      <c r="H278" s="175"/>
      <c r="I278" s="176">
        <v>141200</v>
      </c>
      <c r="J278" s="173">
        <v>62</v>
      </c>
      <c r="K278" s="173"/>
      <c r="L278" s="174">
        <f t="shared" si="22"/>
        <v>141262</v>
      </c>
      <c r="M278" s="177">
        <f t="shared" si="20"/>
        <v>836</v>
      </c>
    </row>
    <row r="279" spans="1:13" x14ac:dyDescent="0.2">
      <c r="A279" s="53">
        <v>47</v>
      </c>
      <c r="B279" s="178">
        <v>1825</v>
      </c>
      <c r="C279" s="180" t="s">
        <v>270</v>
      </c>
      <c r="D279" s="173">
        <v>0</v>
      </c>
      <c r="E279" s="173"/>
      <c r="F279" s="173"/>
      <c r="G279" s="174">
        <f t="shared" si="21"/>
        <v>0</v>
      </c>
      <c r="H279" s="175"/>
      <c r="I279" s="176"/>
      <c r="J279" s="173"/>
      <c r="K279" s="173"/>
      <c r="L279" s="174">
        <f t="shared" si="22"/>
        <v>0</v>
      </c>
      <c r="M279" s="177">
        <f t="shared" si="20"/>
        <v>0</v>
      </c>
    </row>
    <row r="280" spans="1:13" x14ac:dyDescent="0.2">
      <c r="A280" s="53">
        <v>47</v>
      </c>
      <c r="B280" s="178">
        <v>1830</v>
      </c>
      <c r="C280" s="180" t="s">
        <v>271</v>
      </c>
      <c r="D280" s="173">
        <v>1087164</v>
      </c>
      <c r="E280" s="173">
        <v>83000</v>
      </c>
      <c r="F280" s="173"/>
      <c r="G280" s="174">
        <f t="shared" si="21"/>
        <v>1170164</v>
      </c>
      <c r="H280" s="175"/>
      <c r="I280" s="176">
        <v>293405</v>
      </c>
      <c r="J280" s="173">
        <v>22537</v>
      </c>
      <c r="K280" s="173"/>
      <c r="L280" s="174">
        <f t="shared" si="22"/>
        <v>315942</v>
      </c>
      <c r="M280" s="177">
        <f t="shared" si="20"/>
        <v>854222</v>
      </c>
    </row>
    <row r="281" spans="1:13" x14ac:dyDescent="0.2">
      <c r="A281" s="53">
        <v>47</v>
      </c>
      <c r="B281" s="178">
        <v>1835</v>
      </c>
      <c r="C281" s="180" t="s">
        <v>208</v>
      </c>
      <c r="D281" s="173">
        <v>6502230</v>
      </c>
      <c r="E281" s="173">
        <v>44000</v>
      </c>
      <c r="F281" s="173"/>
      <c r="G281" s="174">
        <f t="shared" si="21"/>
        <v>6546230</v>
      </c>
      <c r="H281" s="175"/>
      <c r="I281" s="176">
        <v>4664708</v>
      </c>
      <c r="J281" s="173">
        <v>38124</v>
      </c>
      <c r="K281" s="173"/>
      <c r="L281" s="174">
        <f t="shared" si="22"/>
        <v>4702832</v>
      </c>
      <c r="M281" s="177">
        <f t="shared" si="20"/>
        <v>1843398</v>
      </c>
    </row>
    <row r="282" spans="1:13" x14ac:dyDescent="0.2">
      <c r="A282" s="53">
        <v>47</v>
      </c>
      <c r="B282" s="178">
        <v>1840</v>
      </c>
      <c r="C282" s="180" t="s">
        <v>209</v>
      </c>
      <c r="D282" s="173">
        <v>2216428</v>
      </c>
      <c r="E282" s="173">
        <v>180000</v>
      </c>
      <c r="F282" s="173"/>
      <c r="G282" s="174">
        <f t="shared" si="21"/>
        <v>2396428</v>
      </c>
      <c r="H282" s="175"/>
      <c r="I282" s="176">
        <v>398749</v>
      </c>
      <c r="J282" s="173">
        <v>43484</v>
      </c>
      <c r="K282" s="173"/>
      <c r="L282" s="174">
        <f t="shared" si="22"/>
        <v>442233</v>
      </c>
      <c r="M282" s="177">
        <f t="shared" si="20"/>
        <v>1954195</v>
      </c>
    </row>
    <row r="283" spans="1:13" x14ac:dyDescent="0.2">
      <c r="A283" s="53">
        <v>47</v>
      </c>
      <c r="B283" s="178">
        <v>1845</v>
      </c>
      <c r="C283" s="180" t="s">
        <v>210</v>
      </c>
      <c r="D283" s="173">
        <v>8323875</v>
      </c>
      <c r="E283" s="173">
        <v>425000</v>
      </c>
      <c r="F283" s="173"/>
      <c r="G283" s="174">
        <f t="shared" si="21"/>
        <v>8748875</v>
      </c>
      <c r="H283" s="175"/>
      <c r="I283" s="176">
        <v>5115256</v>
      </c>
      <c r="J283" s="173">
        <v>113939</v>
      </c>
      <c r="K283" s="173"/>
      <c r="L283" s="174">
        <f t="shared" si="22"/>
        <v>5229195</v>
      </c>
      <c r="M283" s="177">
        <f t="shared" si="20"/>
        <v>3519680</v>
      </c>
    </row>
    <row r="284" spans="1:13" x14ac:dyDescent="0.2">
      <c r="A284" s="53">
        <v>47</v>
      </c>
      <c r="B284" s="178">
        <v>1850</v>
      </c>
      <c r="C284" s="180" t="s">
        <v>272</v>
      </c>
      <c r="D284" s="173">
        <v>6389028</v>
      </c>
      <c r="E284" s="173">
        <v>417000</v>
      </c>
      <c r="F284" s="173"/>
      <c r="G284" s="174">
        <f t="shared" si="21"/>
        <v>6806028</v>
      </c>
      <c r="H284" s="175"/>
      <c r="I284" s="176">
        <v>3763593</v>
      </c>
      <c r="J284" s="173">
        <v>91812</v>
      </c>
      <c r="K284" s="173"/>
      <c r="L284" s="174">
        <f t="shared" si="22"/>
        <v>3855405</v>
      </c>
      <c r="M284" s="177">
        <f t="shared" si="20"/>
        <v>2950623</v>
      </c>
    </row>
    <row r="285" spans="1:13" x14ac:dyDescent="0.2">
      <c r="A285" s="53">
        <v>47</v>
      </c>
      <c r="B285" s="178">
        <v>1851</v>
      </c>
      <c r="C285" s="180" t="s">
        <v>1405</v>
      </c>
      <c r="D285" s="173">
        <v>8515</v>
      </c>
      <c r="E285" s="173">
        <v>2000</v>
      </c>
      <c r="F285" s="173"/>
      <c r="G285" s="174">
        <f t="shared" si="21"/>
        <v>10515</v>
      </c>
      <c r="H285" s="175"/>
      <c r="I285" s="176">
        <v>435</v>
      </c>
      <c r="J285" s="173">
        <v>476</v>
      </c>
      <c r="K285" s="173"/>
      <c r="L285" s="174">
        <f t="shared" si="22"/>
        <v>911</v>
      </c>
      <c r="M285" s="177">
        <f t="shared" si="20"/>
        <v>9604</v>
      </c>
    </row>
    <row r="286" spans="1:13" x14ac:dyDescent="0.2">
      <c r="A286" s="53">
        <v>47</v>
      </c>
      <c r="B286" s="178">
        <v>1852</v>
      </c>
      <c r="C286" s="180" t="s">
        <v>1406</v>
      </c>
      <c r="D286" s="173">
        <v>73945</v>
      </c>
      <c r="E286" s="173">
        <v>6000</v>
      </c>
      <c r="F286" s="173"/>
      <c r="G286" s="174">
        <f t="shared" si="21"/>
        <v>79945</v>
      </c>
      <c r="H286" s="175"/>
      <c r="I286" s="176">
        <v>1878</v>
      </c>
      <c r="J286" s="173">
        <v>1450</v>
      </c>
      <c r="K286" s="173"/>
      <c r="L286" s="174">
        <f t="shared" si="22"/>
        <v>3328</v>
      </c>
      <c r="M286" s="177">
        <f t="shared" si="20"/>
        <v>76617</v>
      </c>
    </row>
    <row r="287" spans="1:13" x14ac:dyDescent="0.2">
      <c r="A287" s="53">
        <v>47</v>
      </c>
      <c r="B287" s="178">
        <v>1855</v>
      </c>
      <c r="C287" s="180" t="s">
        <v>211</v>
      </c>
      <c r="D287" s="173">
        <v>1031062</v>
      </c>
      <c r="E287" s="173">
        <v>128000</v>
      </c>
      <c r="F287" s="173"/>
      <c r="G287" s="174">
        <f t="shared" si="21"/>
        <v>1159062</v>
      </c>
      <c r="H287" s="175"/>
      <c r="I287" s="176">
        <v>277891</v>
      </c>
      <c r="J287" s="173">
        <v>45301</v>
      </c>
      <c r="K287" s="173"/>
      <c r="L287" s="174">
        <f t="shared" si="22"/>
        <v>323192</v>
      </c>
      <c r="M287" s="177">
        <f t="shared" si="20"/>
        <v>835870</v>
      </c>
    </row>
    <row r="288" spans="1:13" x14ac:dyDescent="0.2">
      <c r="A288" s="53">
        <v>47</v>
      </c>
      <c r="B288" s="178">
        <v>1860</v>
      </c>
      <c r="C288" s="180" t="s">
        <v>273</v>
      </c>
      <c r="D288" s="173"/>
      <c r="E288" s="173"/>
      <c r="F288" s="173"/>
      <c r="G288" s="174">
        <f>D288+E288+F288</f>
        <v>0</v>
      </c>
      <c r="H288" s="175"/>
      <c r="I288" s="176"/>
      <c r="J288" s="173"/>
      <c r="K288" s="173"/>
      <c r="L288" s="174">
        <f>I288+J288+K288</f>
        <v>0</v>
      </c>
      <c r="M288" s="177">
        <f t="shared" si="20"/>
        <v>0</v>
      </c>
    </row>
    <row r="289" spans="1:13" ht="25.5" x14ac:dyDescent="0.2">
      <c r="A289" s="53">
        <v>47</v>
      </c>
      <c r="B289" s="178">
        <v>1861</v>
      </c>
      <c r="C289" s="180" t="s">
        <v>1396</v>
      </c>
      <c r="D289" s="173">
        <v>1324006</v>
      </c>
      <c r="E289" s="173">
        <v>9000</v>
      </c>
      <c r="F289" s="173"/>
      <c r="G289" s="174">
        <f t="shared" ref="G289:G301" si="23">D289+E289+F289</f>
        <v>1333006</v>
      </c>
      <c r="H289" s="175"/>
      <c r="I289" s="176">
        <v>391236</v>
      </c>
      <c r="J289" s="173">
        <v>133238</v>
      </c>
      <c r="K289" s="173"/>
      <c r="L289" s="174">
        <f t="shared" ref="L289:L301" si="24">I289+J289+K289</f>
        <v>524474</v>
      </c>
      <c r="M289" s="177">
        <f t="shared" si="20"/>
        <v>808532</v>
      </c>
    </row>
    <row r="290" spans="1:13" x14ac:dyDescent="0.2">
      <c r="A290" s="53">
        <v>47</v>
      </c>
      <c r="B290" s="178">
        <v>1862</v>
      </c>
      <c r="C290" s="180" t="s">
        <v>1397</v>
      </c>
      <c r="D290" s="173">
        <v>322576</v>
      </c>
      <c r="E290" s="173">
        <v>30000</v>
      </c>
      <c r="F290" s="173"/>
      <c r="G290" s="174">
        <f t="shared" si="23"/>
        <v>352576</v>
      </c>
      <c r="H290" s="175"/>
      <c r="I290" s="176">
        <v>102908</v>
      </c>
      <c r="J290" s="173">
        <v>35744</v>
      </c>
      <c r="K290" s="173"/>
      <c r="L290" s="174">
        <f t="shared" si="24"/>
        <v>138652</v>
      </c>
      <c r="M290" s="177">
        <f t="shared" si="20"/>
        <v>213924</v>
      </c>
    </row>
    <row r="291" spans="1:13" x14ac:dyDescent="0.2">
      <c r="A291" s="53">
        <v>47</v>
      </c>
      <c r="B291" s="178">
        <v>1863</v>
      </c>
      <c r="C291" s="180" t="s">
        <v>1398</v>
      </c>
      <c r="D291" s="173">
        <v>1013</v>
      </c>
      <c r="E291" s="173">
        <v>5000</v>
      </c>
      <c r="F291" s="173"/>
      <c r="G291" s="174">
        <f t="shared" si="23"/>
        <v>6013</v>
      </c>
      <c r="H291" s="175"/>
      <c r="I291" s="176">
        <v>34</v>
      </c>
      <c r="J291" s="173">
        <v>234</v>
      </c>
      <c r="K291" s="173"/>
      <c r="L291" s="174">
        <f t="shared" si="24"/>
        <v>268</v>
      </c>
      <c r="M291" s="177">
        <f t="shared" si="20"/>
        <v>5745</v>
      </c>
    </row>
    <row r="292" spans="1:13" x14ac:dyDescent="0.2">
      <c r="A292" s="53">
        <v>47</v>
      </c>
      <c r="B292" s="178">
        <v>1864</v>
      </c>
      <c r="C292" s="180" t="s">
        <v>1399</v>
      </c>
      <c r="D292" s="173">
        <v>109232</v>
      </c>
      <c r="E292" s="173">
        <v>2000</v>
      </c>
      <c r="F292" s="173"/>
      <c r="G292" s="174">
        <f t="shared" si="23"/>
        <v>111232</v>
      </c>
      <c r="H292" s="175"/>
      <c r="I292" s="176">
        <v>9697</v>
      </c>
      <c r="J292" s="173">
        <v>3319</v>
      </c>
      <c r="K292" s="173"/>
      <c r="L292" s="174">
        <f t="shared" si="24"/>
        <v>13016</v>
      </c>
      <c r="M292" s="177">
        <f t="shared" si="20"/>
        <v>98216</v>
      </c>
    </row>
    <row r="293" spans="1:13" x14ac:dyDescent="0.2">
      <c r="A293" s="53">
        <v>47</v>
      </c>
      <c r="B293" s="178">
        <v>1865</v>
      </c>
      <c r="C293" s="179" t="s">
        <v>1400</v>
      </c>
      <c r="D293" s="173"/>
      <c r="E293" s="173"/>
      <c r="F293" s="173"/>
      <c r="G293" s="174">
        <f t="shared" si="23"/>
        <v>0</v>
      </c>
      <c r="H293" s="175"/>
      <c r="I293" s="176"/>
      <c r="J293" s="173"/>
      <c r="K293" s="173"/>
      <c r="L293" s="174">
        <f t="shared" si="24"/>
        <v>0</v>
      </c>
      <c r="M293" s="177">
        <f t="shared" si="20"/>
        <v>0</v>
      </c>
    </row>
    <row r="294" spans="1:13" x14ac:dyDescent="0.2">
      <c r="A294" s="53" t="s">
        <v>266</v>
      </c>
      <c r="B294" s="178">
        <v>1905</v>
      </c>
      <c r="C294" s="179" t="s">
        <v>267</v>
      </c>
      <c r="D294" s="173">
        <v>171765</v>
      </c>
      <c r="E294" s="173"/>
      <c r="F294" s="173"/>
      <c r="G294" s="174">
        <f t="shared" si="23"/>
        <v>171765</v>
      </c>
      <c r="H294" s="175"/>
      <c r="I294" s="176"/>
      <c r="J294" s="173"/>
      <c r="K294" s="173"/>
      <c r="L294" s="174">
        <f t="shared" si="24"/>
        <v>0</v>
      </c>
      <c r="M294" s="177">
        <f t="shared" si="20"/>
        <v>171765</v>
      </c>
    </row>
    <row r="295" spans="1:13" x14ac:dyDescent="0.2">
      <c r="A295" s="53">
        <v>47</v>
      </c>
      <c r="B295" s="178">
        <v>1908</v>
      </c>
      <c r="C295" s="180" t="s">
        <v>275</v>
      </c>
      <c r="D295" s="173">
        <v>665443</v>
      </c>
      <c r="E295" s="173">
        <v>16000</v>
      </c>
      <c r="F295" s="173">
        <v>-249155</v>
      </c>
      <c r="G295" s="174">
        <f t="shared" si="23"/>
        <v>432288</v>
      </c>
      <c r="H295" s="175"/>
      <c r="I295" s="176">
        <v>390059</v>
      </c>
      <c r="J295" s="173">
        <v>12169</v>
      </c>
      <c r="K295" s="173">
        <v>-151974</v>
      </c>
      <c r="L295" s="174">
        <f t="shared" si="24"/>
        <v>250254</v>
      </c>
      <c r="M295" s="177">
        <f t="shared" si="20"/>
        <v>182034</v>
      </c>
    </row>
    <row r="296" spans="1:13" x14ac:dyDescent="0.2">
      <c r="A296" s="53">
        <v>13</v>
      </c>
      <c r="B296" s="178">
        <v>1910</v>
      </c>
      <c r="C296" s="180" t="s">
        <v>299</v>
      </c>
      <c r="D296" s="173"/>
      <c r="E296" s="173"/>
      <c r="F296" s="173"/>
      <c r="G296" s="174">
        <f t="shared" si="23"/>
        <v>0</v>
      </c>
      <c r="H296" s="175"/>
      <c r="I296" s="176"/>
      <c r="J296" s="173"/>
      <c r="K296" s="173"/>
      <c r="L296" s="174">
        <f t="shared" si="24"/>
        <v>0</v>
      </c>
      <c r="M296" s="177">
        <f t="shared" si="20"/>
        <v>0</v>
      </c>
    </row>
    <row r="297" spans="1:13" x14ac:dyDescent="0.2">
      <c r="A297" s="53">
        <v>8</v>
      </c>
      <c r="B297" s="178">
        <v>1915</v>
      </c>
      <c r="C297" s="180" t="s">
        <v>213</v>
      </c>
      <c r="D297" s="173">
        <v>252992</v>
      </c>
      <c r="E297" s="173">
        <v>49000</v>
      </c>
      <c r="F297" s="173"/>
      <c r="G297" s="174">
        <f t="shared" si="23"/>
        <v>301992</v>
      </c>
      <c r="H297" s="175"/>
      <c r="I297" s="176">
        <v>230924</v>
      </c>
      <c r="J297" s="173">
        <v>7302</v>
      </c>
      <c r="K297" s="173"/>
      <c r="L297" s="174">
        <f t="shared" si="24"/>
        <v>238226</v>
      </c>
      <c r="M297" s="177">
        <f t="shared" si="20"/>
        <v>63766</v>
      </c>
    </row>
    <row r="298" spans="1:13" x14ac:dyDescent="0.2">
      <c r="A298" s="53">
        <v>8</v>
      </c>
      <c r="B298" s="178">
        <v>1915</v>
      </c>
      <c r="C298" s="180" t="s">
        <v>214</v>
      </c>
      <c r="D298" s="173"/>
      <c r="E298" s="173"/>
      <c r="F298" s="173"/>
      <c r="G298" s="174">
        <f t="shared" si="23"/>
        <v>0</v>
      </c>
      <c r="H298" s="175"/>
      <c r="I298" s="176"/>
      <c r="J298" s="173"/>
      <c r="K298" s="173"/>
      <c r="L298" s="174">
        <f t="shared" si="24"/>
        <v>0</v>
      </c>
      <c r="M298" s="177">
        <f t="shared" si="20"/>
        <v>0</v>
      </c>
    </row>
    <row r="299" spans="1:13" x14ac:dyDescent="0.2">
      <c r="A299" s="53">
        <v>10</v>
      </c>
      <c r="B299" s="178">
        <v>1920</v>
      </c>
      <c r="C299" s="180" t="s">
        <v>215</v>
      </c>
      <c r="D299" s="173">
        <v>403765</v>
      </c>
      <c r="E299" s="173">
        <v>52000</v>
      </c>
      <c r="F299" s="173"/>
      <c r="G299" s="174">
        <f t="shared" si="23"/>
        <v>455765</v>
      </c>
      <c r="H299" s="175"/>
      <c r="I299" s="176">
        <v>376408</v>
      </c>
      <c r="J299" s="173">
        <v>14058</v>
      </c>
      <c r="K299" s="173"/>
      <c r="L299" s="174">
        <f t="shared" si="24"/>
        <v>390466</v>
      </c>
      <c r="M299" s="177">
        <f t="shared" si="20"/>
        <v>65299</v>
      </c>
    </row>
    <row r="300" spans="1:13" ht="25.5" x14ac:dyDescent="0.2">
      <c r="A300" s="53">
        <v>45</v>
      </c>
      <c r="B300" s="181">
        <v>1920</v>
      </c>
      <c r="C300" s="172" t="s">
        <v>217</v>
      </c>
      <c r="D300" s="173"/>
      <c r="E300" s="173"/>
      <c r="F300" s="173"/>
      <c r="G300" s="174">
        <f t="shared" si="23"/>
        <v>0</v>
      </c>
      <c r="H300" s="175"/>
      <c r="I300" s="176"/>
      <c r="J300" s="173"/>
      <c r="K300" s="173"/>
      <c r="L300" s="174">
        <f t="shared" si="24"/>
        <v>0</v>
      </c>
      <c r="M300" s="177">
        <f t="shared" si="20"/>
        <v>0</v>
      </c>
    </row>
    <row r="301" spans="1:13" ht="25.5" x14ac:dyDescent="0.2">
      <c r="A301" s="53">
        <v>45.1</v>
      </c>
      <c r="B301" s="181">
        <v>1920</v>
      </c>
      <c r="C301" s="172" t="s">
        <v>216</v>
      </c>
      <c r="D301" s="173"/>
      <c r="E301" s="173"/>
      <c r="F301" s="173"/>
      <c r="G301" s="174">
        <f t="shared" si="23"/>
        <v>0</v>
      </c>
      <c r="H301" s="175"/>
      <c r="I301" s="176"/>
      <c r="J301" s="173"/>
      <c r="K301" s="173"/>
      <c r="L301" s="174">
        <f t="shared" si="24"/>
        <v>0</v>
      </c>
      <c r="M301" s="177">
        <f t="shared" si="20"/>
        <v>0</v>
      </c>
    </row>
    <row r="302" spans="1:13" x14ac:dyDescent="0.2">
      <c r="A302" s="53">
        <v>10</v>
      </c>
      <c r="B302" s="1473">
        <v>1930</v>
      </c>
      <c r="C302" s="180" t="s">
        <v>286</v>
      </c>
      <c r="D302" s="173"/>
      <c r="E302" s="173"/>
      <c r="F302" s="173"/>
      <c r="G302" s="174">
        <f>D302+E302+F302</f>
        <v>0</v>
      </c>
      <c r="H302" s="175"/>
      <c r="I302" s="176"/>
      <c r="J302" s="173"/>
      <c r="K302" s="173"/>
      <c r="L302" s="174">
        <f>I302+J302+K302</f>
        <v>0</v>
      </c>
      <c r="M302" s="177">
        <f t="shared" si="20"/>
        <v>0</v>
      </c>
    </row>
    <row r="303" spans="1:13" x14ac:dyDescent="0.2">
      <c r="A303" s="53">
        <v>10</v>
      </c>
      <c r="B303" s="1473">
        <v>1931</v>
      </c>
      <c r="C303" s="180" t="s">
        <v>1401</v>
      </c>
      <c r="D303" s="173">
        <v>116061</v>
      </c>
      <c r="E303" s="173">
        <v>22000</v>
      </c>
      <c r="F303" s="173"/>
      <c r="G303" s="174">
        <f>D303+E303-F303</f>
        <v>138061</v>
      </c>
      <c r="H303" s="175"/>
      <c r="I303" s="176">
        <v>33611</v>
      </c>
      <c r="J303" s="173">
        <v>12662</v>
      </c>
      <c r="K303" s="173"/>
      <c r="L303" s="174">
        <f t="shared" ref="L303:L318" si="25">I303+J303+K303</f>
        <v>46273</v>
      </c>
      <c r="M303" s="177">
        <f t="shared" si="20"/>
        <v>91788</v>
      </c>
    </row>
    <row r="304" spans="1:13" x14ac:dyDescent="0.2">
      <c r="A304" s="53">
        <v>10</v>
      </c>
      <c r="B304" s="1473">
        <v>1932</v>
      </c>
      <c r="C304" s="180" t="s">
        <v>1402</v>
      </c>
      <c r="D304" s="173">
        <v>171179</v>
      </c>
      <c r="E304" s="173"/>
      <c r="F304" s="173"/>
      <c r="G304" s="174">
        <f>D304+E304+F304</f>
        <v>171179</v>
      </c>
      <c r="H304" s="175"/>
      <c r="I304" s="176">
        <v>135790</v>
      </c>
      <c r="J304" s="173">
        <v>16208</v>
      </c>
      <c r="K304" s="173"/>
      <c r="L304" s="174">
        <f t="shared" si="25"/>
        <v>151998</v>
      </c>
      <c r="M304" s="177">
        <f t="shared" si="20"/>
        <v>19181</v>
      </c>
    </row>
    <row r="305" spans="1:13" x14ac:dyDescent="0.2">
      <c r="A305" s="53">
        <v>10</v>
      </c>
      <c r="B305" s="1473">
        <v>1933</v>
      </c>
      <c r="C305" s="180" t="s">
        <v>1403</v>
      </c>
      <c r="D305" s="173">
        <v>70712</v>
      </c>
      <c r="E305" s="173"/>
      <c r="F305" s="173"/>
      <c r="G305" s="174">
        <f>D305+E305-F305</f>
        <v>70712</v>
      </c>
      <c r="H305" s="175"/>
      <c r="I305" s="176">
        <v>10607</v>
      </c>
      <c r="J305" s="173">
        <v>7071</v>
      </c>
      <c r="K305" s="173"/>
      <c r="L305" s="174">
        <f t="shared" si="25"/>
        <v>17678</v>
      </c>
      <c r="M305" s="177">
        <f t="shared" si="20"/>
        <v>53034</v>
      </c>
    </row>
    <row r="306" spans="1:13" x14ac:dyDescent="0.2">
      <c r="A306" s="53">
        <v>8</v>
      </c>
      <c r="B306" s="1473">
        <v>1935</v>
      </c>
      <c r="C306" s="180" t="s">
        <v>287</v>
      </c>
      <c r="D306" s="173"/>
      <c r="E306" s="173"/>
      <c r="F306" s="173"/>
      <c r="G306" s="174">
        <f t="shared" ref="G306:G318" si="26">D306+E306+F306</f>
        <v>0</v>
      </c>
      <c r="H306" s="175"/>
      <c r="I306" s="176"/>
      <c r="J306" s="173"/>
      <c r="K306" s="173"/>
      <c r="L306" s="174">
        <f t="shared" si="25"/>
        <v>0</v>
      </c>
      <c r="M306" s="177">
        <f t="shared" si="20"/>
        <v>0</v>
      </c>
    </row>
    <row r="307" spans="1:13" x14ac:dyDescent="0.2">
      <c r="A307" s="53">
        <v>8</v>
      </c>
      <c r="B307" s="1473">
        <v>1940</v>
      </c>
      <c r="C307" s="180" t="s">
        <v>288</v>
      </c>
      <c r="D307" s="173">
        <v>385936</v>
      </c>
      <c r="E307" s="173">
        <v>8000</v>
      </c>
      <c r="F307" s="173"/>
      <c r="G307" s="174">
        <f t="shared" si="26"/>
        <v>393936</v>
      </c>
      <c r="H307" s="175"/>
      <c r="I307" s="176">
        <v>353754</v>
      </c>
      <c r="J307" s="173">
        <v>8976</v>
      </c>
      <c r="K307" s="173"/>
      <c r="L307" s="174">
        <f t="shared" si="25"/>
        <v>362730</v>
      </c>
      <c r="M307" s="177">
        <f t="shared" si="20"/>
        <v>31206</v>
      </c>
    </row>
    <row r="308" spans="1:13" x14ac:dyDescent="0.2">
      <c r="A308" s="53">
        <v>8</v>
      </c>
      <c r="B308" s="1473">
        <v>1945</v>
      </c>
      <c r="C308" s="180" t="s">
        <v>289</v>
      </c>
      <c r="D308" s="173"/>
      <c r="E308" s="173"/>
      <c r="F308" s="173"/>
      <c r="G308" s="174">
        <f t="shared" si="26"/>
        <v>0</v>
      </c>
      <c r="H308" s="175"/>
      <c r="I308" s="176"/>
      <c r="J308" s="173"/>
      <c r="K308" s="173"/>
      <c r="L308" s="174">
        <f t="shared" si="25"/>
        <v>0</v>
      </c>
      <c r="M308" s="177">
        <f t="shared" si="20"/>
        <v>0</v>
      </c>
    </row>
    <row r="309" spans="1:13" x14ac:dyDescent="0.2">
      <c r="A309" s="53">
        <v>8</v>
      </c>
      <c r="B309" s="1473">
        <v>1950</v>
      </c>
      <c r="C309" s="180" t="s">
        <v>218</v>
      </c>
      <c r="D309" s="173"/>
      <c r="E309" s="173"/>
      <c r="F309" s="173"/>
      <c r="G309" s="174">
        <f t="shared" si="26"/>
        <v>0</v>
      </c>
      <c r="H309" s="175"/>
      <c r="I309" s="182"/>
      <c r="J309" s="173"/>
      <c r="K309" s="173"/>
      <c r="L309" s="174">
        <f t="shared" si="25"/>
        <v>0</v>
      </c>
      <c r="M309" s="177">
        <f t="shared" si="20"/>
        <v>0</v>
      </c>
    </row>
    <row r="310" spans="1:13" x14ac:dyDescent="0.2">
      <c r="A310" s="53">
        <v>8</v>
      </c>
      <c r="B310" s="1473">
        <v>1955</v>
      </c>
      <c r="C310" s="180" t="s">
        <v>290</v>
      </c>
      <c r="D310" s="173">
        <v>36873</v>
      </c>
      <c r="E310" s="173"/>
      <c r="F310" s="173"/>
      <c r="G310" s="174">
        <f t="shared" si="26"/>
        <v>36873</v>
      </c>
      <c r="H310" s="175"/>
      <c r="I310" s="176">
        <v>29113</v>
      </c>
      <c r="J310" s="173">
        <v>1357</v>
      </c>
      <c r="K310" s="173"/>
      <c r="L310" s="174">
        <f t="shared" si="25"/>
        <v>30470</v>
      </c>
      <c r="M310" s="177">
        <f t="shared" si="20"/>
        <v>6403</v>
      </c>
    </row>
    <row r="311" spans="1:13" x14ac:dyDescent="0.2">
      <c r="A311" s="183">
        <v>8</v>
      </c>
      <c r="B311" s="181">
        <v>1955</v>
      </c>
      <c r="C311" s="184" t="s">
        <v>219</v>
      </c>
      <c r="D311" s="173"/>
      <c r="E311" s="173"/>
      <c r="F311" s="173"/>
      <c r="G311" s="174">
        <f t="shared" si="26"/>
        <v>0</v>
      </c>
      <c r="H311" s="175"/>
      <c r="I311" s="176"/>
      <c r="J311" s="173"/>
      <c r="K311" s="173"/>
      <c r="L311" s="174">
        <f t="shared" si="25"/>
        <v>0</v>
      </c>
      <c r="M311" s="177">
        <f t="shared" si="20"/>
        <v>0</v>
      </c>
    </row>
    <row r="312" spans="1:13" x14ac:dyDescent="0.2">
      <c r="A312" s="183">
        <v>8</v>
      </c>
      <c r="B312" s="185">
        <v>1960</v>
      </c>
      <c r="C312" s="172" t="s">
        <v>220</v>
      </c>
      <c r="D312" s="173"/>
      <c r="E312" s="173"/>
      <c r="F312" s="173"/>
      <c r="G312" s="174">
        <f t="shared" si="26"/>
        <v>0</v>
      </c>
      <c r="H312" s="175"/>
      <c r="I312" s="176"/>
      <c r="J312" s="173"/>
      <c r="K312" s="173"/>
      <c r="L312" s="174">
        <f t="shared" si="25"/>
        <v>0</v>
      </c>
      <c r="M312" s="177">
        <f t="shared" si="20"/>
        <v>0</v>
      </c>
    </row>
    <row r="313" spans="1:13" ht="25.5" x14ac:dyDescent="0.2">
      <c r="A313" s="186">
        <v>47</v>
      </c>
      <c r="B313" s="185">
        <v>1970</v>
      </c>
      <c r="C313" s="180" t="s">
        <v>501</v>
      </c>
      <c r="D313" s="173"/>
      <c r="E313" s="173"/>
      <c r="F313" s="173"/>
      <c r="G313" s="174">
        <f t="shared" si="26"/>
        <v>0</v>
      </c>
      <c r="H313" s="175"/>
      <c r="I313" s="176"/>
      <c r="J313" s="173"/>
      <c r="K313" s="173"/>
      <c r="L313" s="174">
        <f t="shared" si="25"/>
        <v>0</v>
      </c>
      <c r="M313" s="177">
        <f t="shared" si="20"/>
        <v>0</v>
      </c>
    </row>
    <row r="314" spans="1:13" ht="25.5" x14ac:dyDescent="0.2">
      <c r="A314" s="53">
        <v>47</v>
      </c>
      <c r="B314" s="1473">
        <v>1975</v>
      </c>
      <c r="C314" s="180" t="s">
        <v>291</v>
      </c>
      <c r="D314" s="173"/>
      <c r="E314" s="173"/>
      <c r="F314" s="173"/>
      <c r="G314" s="174">
        <f t="shared" si="26"/>
        <v>0</v>
      </c>
      <c r="H314" s="175"/>
      <c r="I314" s="176"/>
      <c r="J314" s="173"/>
      <c r="K314" s="173"/>
      <c r="L314" s="174">
        <f t="shared" si="25"/>
        <v>0</v>
      </c>
      <c r="M314" s="177">
        <f t="shared" si="20"/>
        <v>0</v>
      </c>
    </row>
    <row r="315" spans="1:13" x14ac:dyDescent="0.2">
      <c r="A315" s="53">
        <v>47</v>
      </c>
      <c r="B315" s="1473">
        <v>1980</v>
      </c>
      <c r="C315" s="180" t="s">
        <v>292</v>
      </c>
      <c r="D315" s="173"/>
      <c r="E315" s="173"/>
      <c r="F315" s="173"/>
      <c r="G315" s="174">
        <f t="shared" si="26"/>
        <v>0</v>
      </c>
      <c r="H315" s="175"/>
      <c r="I315" s="176"/>
      <c r="J315" s="173"/>
      <c r="K315" s="173"/>
      <c r="L315" s="174">
        <f t="shared" si="25"/>
        <v>0</v>
      </c>
      <c r="M315" s="177">
        <f t="shared" si="20"/>
        <v>0</v>
      </c>
    </row>
    <row r="316" spans="1:13" x14ac:dyDescent="0.2">
      <c r="A316" s="53">
        <v>47</v>
      </c>
      <c r="B316" s="1473">
        <v>1985</v>
      </c>
      <c r="C316" s="180" t="s">
        <v>1404</v>
      </c>
      <c r="D316" s="173">
        <v>15</v>
      </c>
      <c r="E316" s="173"/>
      <c r="F316" s="173"/>
      <c r="G316" s="174">
        <f t="shared" si="26"/>
        <v>15</v>
      </c>
      <c r="H316" s="175"/>
      <c r="I316" s="176"/>
      <c r="J316" s="173"/>
      <c r="K316" s="173"/>
      <c r="L316" s="174">
        <f t="shared" si="25"/>
        <v>0</v>
      </c>
      <c r="M316" s="177">
        <f t="shared" si="20"/>
        <v>15</v>
      </c>
    </row>
    <row r="317" spans="1:13" x14ac:dyDescent="0.2">
      <c r="A317" s="186">
        <v>47</v>
      </c>
      <c r="B317" s="1473">
        <v>1990</v>
      </c>
      <c r="C317" s="1472" t="s">
        <v>502</v>
      </c>
      <c r="D317" s="173"/>
      <c r="E317" s="173"/>
      <c r="F317" s="173"/>
      <c r="G317" s="174">
        <f t="shared" si="26"/>
        <v>0</v>
      </c>
      <c r="H317" s="175"/>
      <c r="I317" s="176"/>
      <c r="J317" s="173"/>
      <c r="K317" s="173"/>
      <c r="L317" s="174">
        <f t="shared" si="25"/>
        <v>0</v>
      </c>
      <c r="M317" s="177">
        <f t="shared" si="20"/>
        <v>0</v>
      </c>
    </row>
    <row r="318" spans="1:13" x14ac:dyDescent="0.2">
      <c r="A318" s="53">
        <v>47</v>
      </c>
      <c r="B318" s="1473">
        <v>1995</v>
      </c>
      <c r="C318" s="180" t="s">
        <v>294</v>
      </c>
      <c r="D318" s="173">
        <v>-6342546</v>
      </c>
      <c r="E318" s="173">
        <v>-247033</v>
      </c>
      <c r="F318" s="173"/>
      <c r="G318" s="174">
        <f t="shared" si="26"/>
        <v>-6589579</v>
      </c>
      <c r="H318" s="175"/>
      <c r="I318" s="176">
        <v>-1910891</v>
      </c>
      <c r="J318" s="173">
        <v>-260195</v>
      </c>
      <c r="K318" s="173"/>
      <c r="L318" s="174">
        <f t="shared" si="25"/>
        <v>-2171086</v>
      </c>
      <c r="M318" s="177">
        <f t="shared" si="20"/>
        <v>-4418493</v>
      </c>
    </row>
    <row r="319" spans="1:13" ht="14.25" x14ac:dyDescent="0.2">
      <c r="A319" s="53">
        <v>47</v>
      </c>
      <c r="B319" s="1473">
        <v>2440</v>
      </c>
      <c r="C319" s="180" t="s">
        <v>950</v>
      </c>
      <c r="D319" s="173"/>
      <c r="E319" s="173"/>
      <c r="F319" s="173"/>
      <c r="G319" s="174"/>
      <c r="I319" s="176"/>
      <c r="J319" s="173"/>
      <c r="K319" s="173"/>
      <c r="L319" s="174"/>
      <c r="M319" s="177"/>
    </row>
    <row r="320" spans="1:13" x14ac:dyDescent="0.2">
      <c r="A320" s="187"/>
      <c r="B320" s="187"/>
      <c r="C320" s="188"/>
      <c r="D320" s="189"/>
      <c r="E320" s="189"/>
      <c r="F320" s="189"/>
      <c r="G320" s="174">
        <f>D320+E320+F320</f>
        <v>0</v>
      </c>
      <c r="I320" s="189"/>
      <c r="J320" s="189"/>
      <c r="K320" s="189"/>
      <c r="L320" s="174">
        <f>I320+J320+K320</f>
        <v>0</v>
      </c>
      <c r="M320" s="177">
        <f>G320+L320</f>
        <v>0</v>
      </c>
    </row>
    <row r="321" spans="1:13" x14ac:dyDescent="0.2">
      <c r="A321" s="187"/>
      <c r="B321" s="187"/>
      <c r="C321" s="190" t="s">
        <v>204</v>
      </c>
      <c r="D321" s="191">
        <f>SUM(D272:D320)</f>
        <v>23727675</v>
      </c>
      <c r="E321" s="191">
        <f>SUM(E272:E320)</f>
        <v>1232467</v>
      </c>
      <c r="F321" s="191">
        <f>SUM(F272:F320)</f>
        <v>-249155</v>
      </c>
      <c r="G321" s="191">
        <f>SUM(G272:G320)</f>
        <v>24710987</v>
      </c>
      <c r="H321" s="191"/>
      <c r="I321" s="191">
        <f>SUM(I272:I320)</f>
        <v>15069973</v>
      </c>
      <c r="J321" s="191">
        <f>SUM(J272:J320)</f>
        <v>353383</v>
      </c>
      <c r="K321" s="191">
        <f>SUM(K272:K320)</f>
        <v>-151974</v>
      </c>
      <c r="L321" s="191">
        <f>SUM(L272:L320)</f>
        <v>15271382</v>
      </c>
      <c r="M321" s="191">
        <f>SUM(M272:M320)</f>
        <v>9439605</v>
      </c>
    </row>
    <row r="322" spans="1:13" ht="37.5" x14ac:dyDescent="0.2">
      <c r="A322" s="187"/>
      <c r="B322" s="187"/>
      <c r="C322" s="192" t="s">
        <v>597</v>
      </c>
      <c r="D322" s="189"/>
      <c r="E322" s="189"/>
      <c r="F322" s="189"/>
      <c r="G322" s="174">
        <f>D322+E322+F322</f>
        <v>0</v>
      </c>
      <c r="I322" s="189"/>
      <c r="J322" s="189"/>
      <c r="K322" s="189"/>
      <c r="L322" s="174">
        <f>I322+J322+K322</f>
        <v>0</v>
      </c>
      <c r="M322" s="177">
        <f>G322+L322</f>
        <v>0</v>
      </c>
    </row>
    <row r="323" spans="1:13" ht="25.5" x14ac:dyDescent="0.2">
      <c r="A323" s="187"/>
      <c r="B323" s="187"/>
      <c r="C323" s="193" t="s">
        <v>596</v>
      </c>
      <c r="D323" s="189"/>
      <c r="E323" s="189"/>
      <c r="F323" s="189"/>
      <c r="G323" s="174">
        <f>D323+E323+F323</f>
        <v>0</v>
      </c>
      <c r="I323" s="189"/>
      <c r="J323" s="189"/>
      <c r="K323" s="189"/>
      <c r="L323" s="174">
        <f>I323+J323+K323</f>
        <v>0</v>
      </c>
      <c r="M323" s="177">
        <f>G323+L323</f>
        <v>0</v>
      </c>
    </row>
    <row r="324" spans="1:13" x14ac:dyDescent="0.2">
      <c r="A324" s="187"/>
      <c r="B324" s="187"/>
      <c r="C324" s="190" t="s">
        <v>503</v>
      </c>
      <c r="D324" s="191">
        <f>SUM(D321:D323)</f>
        <v>23727675</v>
      </c>
      <c r="E324" s="191">
        <f>SUM(E321:E323)</f>
        <v>1232467</v>
      </c>
      <c r="F324" s="191">
        <f>SUM(F321:F323)</f>
        <v>-249155</v>
      </c>
      <c r="G324" s="191">
        <f>SUM(G321:G323)</f>
        <v>24710987</v>
      </c>
      <c r="H324" s="191"/>
      <c r="I324" s="191">
        <f>SUM(I321:I323)</f>
        <v>15069973</v>
      </c>
      <c r="J324" s="191">
        <f>SUM(J321:J323)</f>
        <v>353383</v>
      </c>
      <c r="K324" s="191">
        <f>SUM(K321:K323)</f>
        <v>-151974</v>
      </c>
      <c r="L324" s="191">
        <f>SUM(L321:L323)</f>
        <v>15271382</v>
      </c>
      <c r="M324" s="191">
        <f>SUM(M321:M323)</f>
        <v>9439605</v>
      </c>
    </row>
    <row r="325" spans="1:13" ht="14.25" x14ac:dyDescent="0.2">
      <c r="A325" s="187"/>
      <c r="B325" s="187"/>
      <c r="C325" s="1603" t="s">
        <v>912</v>
      </c>
      <c r="D325" s="1604"/>
      <c r="E325" s="1604"/>
      <c r="F325" s="1604"/>
      <c r="G325" s="1604"/>
      <c r="H325" s="1604"/>
      <c r="I325" s="1605"/>
      <c r="J325" s="189"/>
      <c r="K325" s="194"/>
      <c r="L325" s="195"/>
      <c r="M325" s="196"/>
    </row>
    <row r="326" spans="1:13" x14ac:dyDescent="0.2">
      <c r="A326" s="187"/>
      <c r="B326" s="187"/>
      <c r="C326" s="1603" t="s">
        <v>295</v>
      </c>
      <c r="D326" s="1604"/>
      <c r="E326" s="1604"/>
      <c r="F326" s="1604"/>
      <c r="G326" s="1604"/>
      <c r="H326" s="1604"/>
      <c r="I326" s="1605"/>
      <c r="J326" s="191">
        <f>J324+J325</f>
        <v>353383</v>
      </c>
      <c r="K326" s="194"/>
      <c r="L326" s="195"/>
      <c r="M326" s="196"/>
    </row>
    <row r="327" spans="1:13" x14ac:dyDescent="0.2">
      <c r="A327" s="1474"/>
      <c r="B327" s="1474"/>
    </row>
    <row r="328" spans="1:13" x14ac:dyDescent="0.2">
      <c r="A328" s="1474"/>
      <c r="B328" s="1474"/>
      <c r="I328" s="197" t="s">
        <v>422</v>
      </c>
      <c r="J328" s="1475"/>
    </row>
    <row r="329" spans="1:13" x14ac:dyDescent="0.2">
      <c r="A329" s="187">
        <v>10</v>
      </c>
      <c r="B329" s="187"/>
      <c r="C329" s="188" t="s">
        <v>296</v>
      </c>
      <c r="I329" s="1475" t="s">
        <v>296</v>
      </c>
      <c r="J329" s="1475"/>
      <c r="K329" s="198">
        <f>J303+J304+J305</f>
        <v>35941</v>
      </c>
    </row>
    <row r="330" spans="1:13" x14ac:dyDescent="0.2">
      <c r="A330" s="187">
        <v>8</v>
      </c>
      <c r="B330" s="187"/>
      <c r="C330" s="188" t="s">
        <v>287</v>
      </c>
      <c r="I330" s="1475" t="s">
        <v>851</v>
      </c>
      <c r="J330" s="1475"/>
      <c r="K330" s="199">
        <f>J310</f>
        <v>1357</v>
      </c>
    </row>
    <row r="331" spans="1:13" x14ac:dyDescent="0.2">
      <c r="A331" s="1474"/>
      <c r="B331" s="1474"/>
      <c r="I331" s="200" t="s">
        <v>297</v>
      </c>
      <c r="K331" s="201">
        <f>J326-K329-K330</f>
        <v>316085</v>
      </c>
    </row>
    <row r="332" spans="1:13" x14ac:dyDescent="0.2">
      <c r="A332" s="1474"/>
      <c r="B332" s="1474"/>
      <c r="I332" s="200"/>
      <c r="K332" s="1453"/>
    </row>
    <row r="333" spans="1:13" x14ac:dyDescent="0.2">
      <c r="A333" s="1479"/>
      <c r="B333" s="1479"/>
      <c r="E333" s="122" t="s">
        <v>882</v>
      </c>
      <c r="F333" s="48" t="s">
        <v>105</v>
      </c>
      <c r="H333" s="52"/>
    </row>
    <row r="334" spans="1:13" ht="15" x14ac:dyDescent="0.25">
      <c r="A334" s="1479"/>
      <c r="B334" s="1479"/>
      <c r="C334" s="56"/>
      <c r="E334" s="122" t="s">
        <v>102</v>
      </c>
      <c r="F334" s="160">
        <v>2017</v>
      </c>
      <c r="G334" s="161"/>
    </row>
    <row r="335" spans="1:13" x14ac:dyDescent="0.2">
      <c r="A335" s="1479"/>
      <c r="B335" s="1479"/>
    </row>
    <row r="336" spans="1:13" x14ac:dyDescent="0.2">
      <c r="A336" s="1479"/>
      <c r="B336" s="1479"/>
      <c r="D336" s="1606" t="s">
        <v>264</v>
      </c>
      <c r="E336" s="1607"/>
      <c r="F336" s="1607"/>
      <c r="G336" s="1608"/>
      <c r="I336" s="162"/>
      <c r="J336" s="163" t="s">
        <v>265</v>
      </c>
      <c r="K336" s="163"/>
      <c r="L336" s="164"/>
      <c r="M336" s="159"/>
    </row>
    <row r="337" spans="1:14" ht="27" x14ac:dyDescent="0.2">
      <c r="A337" s="165" t="s">
        <v>1000</v>
      </c>
      <c r="B337" s="165" t="s">
        <v>1002</v>
      </c>
      <c r="C337" s="166" t="s">
        <v>1003</v>
      </c>
      <c r="D337" s="165" t="s">
        <v>236</v>
      </c>
      <c r="E337" s="167" t="s">
        <v>1001</v>
      </c>
      <c r="F337" s="167" t="s">
        <v>1189</v>
      </c>
      <c r="G337" s="165" t="s">
        <v>263</v>
      </c>
      <c r="H337" s="168"/>
      <c r="I337" s="169" t="s">
        <v>236</v>
      </c>
      <c r="J337" s="170" t="s">
        <v>237</v>
      </c>
      <c r="K337" s="170" t="s">
        <v>1189</v>
      </c>
      <c r="L337" s="171" t="s">
        <v>263</v>
      </c>
      <c r="M337" s="165" t="s">
        <v>300</v>
      </c>
    </row>
    <row r="338" spans="1:14" ht="25.5" x14ac:dyDescent="0.2">
      <c r="A338" s="53">
        <v>12</v>
      </c>
      <c r="B338" s="1476">
        <v>1611</v>
      </c>
      <c r="C338" s="172" t="s">
        <v>381</v>
      </c>
      <c r="D338" s="173">
        <v>260751</v>
      </c>
      <c r="E338" s="173">
        <v>28000</v>
      </c>
      <c r="F338" s="173"/>
      <c r="G338" s="174">
        <f>D338+E338+F338</f>
        <v>288751</v>
      </c>
      <c r="H338" s="175"/>
      <c r="I338" s="176">
        <v>260938</v>
      </c>
      <c r="J338" s="173">
        <v>6875</v>
      </c>
      <c r="K338" s="173"/>
      <c r="L338" s="174">
        <f>I338+J338+K338</f>
        <v>267813</v>
      </c>
      <c r="M338" s="177">
        <f>G338-L338</f>
        <v>20938</v>
      </c>
      <c r="N338" s="1487"/>
    </row>
    <row r="339" spans="1:14" ht="25.5" x14ac:dyDescent="0.2">
      <c r="A339" s="53" t="s">
        <v>274</v>
      </c>
      <c r="B339" s="1476">
        <v>1612</v>
      </c>
      <c r="C339" s="172" t="s">
        <v>442</v>
      </c>
      <c r="D339" s="173">
        <v>2945</v>
      </c>
      <c r="E339" s="173"/>
      <c r="F339" s="173"/>
      <c r="G339" s="174">
        <f>D339+E339+F339</f>
        <v>2945</v>
      </c>
      <c r="H339" s="175"/>
      <c r="I339" s="176">
        <v>2725</v>
      </c>
      <c r="J339" s="173"/>
      <c r="K339" s="173"/>
      <c r="L339" s="174">
        <f>I339+J339+K339</f>
        <v>2725</v>
      </c>
      <c r="M339" s="177">
        <f t="shared" ref="M339:M384" si="27">G339-L339</f>
        <v>220</v>
      </c>
      <c r="N339" s="1487"/>
    </row>
    <row r="340" spans="1:14" x14ac:dyDescent="0.2">
      <c r="A340" s="53" t="s">
        <v>266</v>
      </c>
      <c r="B340" s="178">
        <v>1805</v>
      </c>
      <c r="C340" s="179" t="s">
        <v>267</v>
      </c>
      <c r="D340" s="173">
        <v>2112</v>
      </c>
      <c r="E340" s="173"/>
      <c r="F340" s="173"/>
      <c r="G340" s="174">
        <f>D340+E340+F340</f>
        <v>2112</v>
      </c>
      <c r="H340" s="175"/>
      <c r="I340" s="176"/>
      <c r="J340" s="173"/>
      <c r="K340" s="173"/>
      <c r="L340" s="174">
        <f>I340+J340+K340</f>
        <v>0</v>
      </c>
      <c r="M340" s="177">
        <f t="shared" si="27"/>
        <v>2112</v>
      </c>
      <c r="N340" s="1487"/>
    </row>
    <row r="341" spans="1:14" x14ac:dyDescent="0.2">
      <c r="A341" s="53">
        <v>47</v>
      </c>
      <c r="B341" s="178">
        <v>1808</v>
      </c>
      <c r="C341" s="180" t="s">
        <v>268</v>
      </c>
      <c r="D341" s="173"/>
      <c r="E341" s="173"/>
      <c r="F341" s="173"/>
      <c r="G341" s="174">
        <f t="shared" ref="G341:G353" si="28">D341+E341+F341</f>
        <v>0</v>
      </c>
      <c r="H341" s="175"/>
      <c r="I341" s="176"/>
      <c r="J341" s="173"/>
      <c r="K341" s="173"/>
      <c r="L341" s="174">
        <f t="shared" ref="L341:L353" si="29">I341+J341+K341</f>
        <v>0</v>
      </c>
      <c r="M341" s="177">
        <f t="shared" si="27"/>
        <v>0</v>
      </c>
      <c r="N341" s="1487"/>
    </row>
    <row r="342" spans="1:14" x14ac:dyDescent="0.2">
      <c r="A342" s="53">
        <v>13</v>
      </c>
      <c r="B342" s="178">
        <v>1810</v>
      </c>
      <c r="C342" s="180" t="s">
        <v>299</v>
      </c>
      <c r="D342" s="173"/>
      <c r="E342" s="173"/>
      <c r="F342" s="173"/>
      <c r="G342" s="174">
        <f t="shared" si="28"/>
        <v>0</v>
      </c>
      <c r="H342" s="175"/>
      <c r="I342" s="176"/>
      <c r="J342" s="173"/>
      <c r="K342" s="173"/>
      <c r="L342" s="174">
        <f t="shared" si="29"/>
        <v>0</v>
      </c>
      <c r="M342" s="177">
        <f t="shared" si="27"/>
        <v>0</v>
      </c>
      <c r="N342" s="1487"/>
    </row>
    <row r="343" spans="1:14" x14ac:dyDescent="0.2">
      <c r="A343" s="53">
        <v>47</v>
      </c>
      <c r="B343" s="178">
        <v>1815</v>
      </c>
      <c r="C343" s="180" t="s">
        <v>269</v>
      </c>
      <c r="D343" s="173"/>
      <c r="E343" s="173"/>
      <c r="F343" s="173"/>
      <c r="G343" s="174">
        <f t="shared" si="28"/>
        <v>0</v>
      </c>
      <c r="H343" s="175"/>
      <c r="I343" s="176"/>
      <c r="J343" s="173"/>
      <c r="K343" s="173"/>
      <c r="L343" s="174">
        <f t="shared" si="29"/>
        <v>0</v>
      </c>
      <c r="M343" s="177">
        <f t="shared" si="27"/>
        <v>0</v>
      </c>
      <c r="N343" s="1487"/>
    </row>
    <row r="344" spans="1:14" x14ac:dyDescent="0.2">
      <c r="A344" s="53">
        <v>47</v>
      </c>
      <c r="B344" s="178">
        <v>1820</v>
      </c>
      <c r="C344" s="172" t="s">
        <v>207</v>
      </c>
      <c r="D344" s="173">
        <v>142098</v>
      </c>
      <c r="E344" s="173"/>
      <c r="F344" s="173"/>
      <c r="G344" s="174">
        <f t="shared" si="28"/>
        <v>142098</v>
      </c>
      <c r="H344" s="175"/>
      <c r="I344" s="176">
        <v>141262</v>
      </c>
      <c r="J344" s="173">
        <v>62</v>
      </c>
      <c r="K344" s="173"/>
      <c r="L344" s="174">
        <f t="shared" si="29"/>
        <v>141324</v>
      </c>
      <c r="M344" s="177">
        <f t="shared" si="27"/>
        <v>774</v>
      </c>
      <c r="N344" s="1487"/>
    </row>
    <row r="345" spans="1:14" x14ac:dyDescent="0.2">
      <c r="A345" s="53">
        <v>47</v>
      </c>
      <c r="B345" s="178">
        <v>1825</v>
      </c>
      <c r="C345" s="180" t="s">
        <v>270</v>
      </c>
      <c r="D345" s="173"/>
      <c r="E345" s="173"/>
      <c r="F345" s="173"/>
      <c r="G345" s="174">
        <f t="shared" si="28"/>
        <v>0</v>
      </c>
      <c r="H345" s="175"/>
      <c r="I345" s="176"/>
      <c r="J345" s="173"/>
      <c r="K345" s="173"/>
      <c r="L345" s="174">
        <f t="shared" si="29"/>
        <v>0</v>
      </c>
      <c r="M345" s="177">
        <f t="shared" si="27"/>
        <v>0</v>
      </c>
      <c r="N345" s="1487"/>
    </row>
    <row r="346" spans="1:14" x14ac:dyDescent="0.2">
      <c r="A346" s="53">
        <v>47</v>
      </c>
      <c r="B346" s="178">
        <v>1830</v>
      </c>
      <c r="C346" s="180" t="s">
        <v>271</v>
      </c>
      <c r="D346" s="173">
        <v>1170164</v>
      </c>
      <c r="E346" s="173">
        <v>56000</v>
      </c>
      <c r="F346" s="173"/>
      <c r="G346" s="174">
        <f t="shared" si="28"/>
        <v>1226164</v>
      </c>
      <c r="H346" s="175"/>
      <c r="I346" s="176">
        <v>315942</v>
      </c>
      <c r="J346" s="173">
        <v>24081</v>
      </c>
      <c r="K346" s="173"/>
      <c r="L346" s="174">
        <f t="shared" si="29"/>
        <v>340023</v>
      </c>
      <c r="M346" s="177">
        <f t="shared" si="27"/>
        <v>886141</v>
      </c>
    </row>
    <row r="347" spans="1:14" x14ac:dyDescent="0.2">
      <c r="A347" s="53">
        <v>47</v>
      </c>
      <c r="B347" s="178">
        <v>1835</v>
      </c>
      <c r="C347" s="180" t="s">
        <v>208</v>
      </c>
      <c r="D347" s="173">
        <v>6546230</v>
      </c>
      <c r="E347" s="173">
        <v>59003</v>
      </c>
      <c r="F347" s="173"/>
      <c r="G347" s="174">
        <f t="shared" si="28"/>
        <v>6605233</v>
      </c>
      <c r="H347" s="175"/>
      <c r="I347" s="176">
        <v>4702832</v>
      </c>
      <c r="J347" s="173">
        <v>38983</v>
      </c>
      <c r="K347" s="173"/>
      <c r="L347" s="174">
        <f t="shared" si="29"/>
        <v>4741815</v>
      </c>
      <c r="M347" s="177">
        <f t="shared" si="27"/>
        <v>1863418</v>
      </c>
      <c r="N347" s="1487"/>
    </row>
    <row r="348" spans="1:14" x14ac:dyDescent="0.2">
      <c r="A348" s="53">
        <v>47</v>
      </c>
      <c r="B348" s="178">
        <v>1840</v>
      </c>
      <c r="C348" s="180" t="s">
        <v>209</v>
      </c>
      <c r="D348" s="173">
        <v>2396428</v>
      </c>
      <c r="E348" s="173">
        <v>155000</v>
      </c>
      <c r="F348" s="173"/>
      <c r="G348" s="174">
        <f t="shared" si="28"/>
        <v>2551428</v>
      </c>
      <c r="H348" s="175"/>
      <c r="I348" s="176">
        <v>442233</v>
      </c>
      <c r="J348" s="173">
        <v>46535</v>
      </c>
      <c r="K348" s="173"/>
      <c r="L348" s="174">
        <f t="shared" si="29"/>
        <v>488768</v>
      </c>
      <c r="M348" s="177">
        <f t="shared" si="27"/>
        <v>2062660</v>
      </c>
      <c r="N348" s="1487"/>
    </row>
    <row r="349" spans="1:14" x14ac:dyDescent="0.2">
      <c r="A349" s="53">
        <v>47</v>
      </c>
      <c r="B349" s="178">
        <v>1845</v>
      </c>
      <c r="C349" s="180" t="s">
        <v>210</v>
      </c>
      <c r="D349" s="173">
        <v>8748875</v>
      </c>
      <c r="E349" s="173">
        <v>250000</v>
      </c>
      <c r="F349" s="173"/>
      <c r="G349" s="174">
        <f t="shared" si="28"/>
        <v>8998875</v>
      </c>
      <c r="H349" s="175"/>
      <c r="I349" s="176">
        <v>5229195</v>
      </c>
      <c r="J349" s="173">
        <v>122375</v>
      </c>
      <c r="K349" s="173"/>
      <c r="L349" s="174">
        <f t="shared" si="29"/>
        <v>5351570</v>
      </c>
      <c r="M349" s="177">
        <f t="shared" si="27"/>
        <v>3647305</v>
      </c>
      <c r="N349" s="1487"/>
    </row>
    <row r="350" spans="1:14" x14ac:dyDescent="0.2">
      <c r="A350" s="53">
        <v>47</v>
      </c>
      <c r="B350" s="178">
        <v>1850</v>
      </c>
      <c r="C350" s="180" t="s">
        <v>272</v>
      </c>
      <c r="D350" s="173">
        <v>6806028</v>
      </c>
      <c r="E350" s="173">
        <v>188000</v>
      </c>
      <c r="F350" s="173"/>
      <c r="G350" s="174">
        <f t="shared" si="28"/>
        <v>6994028</v>
      </c>
      <c r="H350" s="175"/>
      <c r="I350" s="176">
        <v>3855405</v>
      </c>
      <c r="J350" s="173">
        <v>99875</v>
      </c>
      <c r="K350" s="173"/>
      <c r="L350" s="174">
        <f t="shared" si="29"/>
        <v>3955280</v>
      </c>
      <c r="M350" s="177">
        <f t="shared" si="27"/>
        <v>3038748</v>
      </c>
      <c r="N350" s="1487"/>
    </row>
    <row r="351" spans="1:14" x14ac:dyDescent="0.2">
      <c r="A351" s="53">
        <v>47</v>
      </c>
      <c r="B351" s="178">
        <v>1851</v>
      </c>
      <c r="C351" s="180" t="s">
        <v>1405</v>
      </c>
      <c r="D351" s="173">
        <v>10515</v>
      </c>
      <c r="E351" s="173"/>
      <c r="F351" s="173"/>
      <c r="G351" s="174">
        <f t="shared" si="28"/>
        <v>10515</v>
      </c>
      <c r="H351" s="175"/>
      <c r="I351" s="176">
        <v>911</v>
      </c>
      <c r="J351" s="173">
        <v>526</v>
      </c>
      <c r="K351" s="173"/>
      <c r="L351" s="174">
        <f t="shared" si="29"/>
        <v>1437</v>
      </c>
      <c r="M351" s="177">
        <f t="shared" si="27"/>
        <v>9078</v>
      </c>
      <c r="N351" s="1487"/>
    </row>
    <row r="352" spans="1:14" x14ac:dyDescent="0.2">
      <c r="A352" s="53">
        <v>47</v>
      </c>
      <c r="B352" s="178">
        <v>1852</v>
      </c>
      <c r="C352" s="180" t="s">
        <v>1406</v>
      </c>
      <c r="D352" s="173">
        <v>79945</v>
      </c>
      <c r="E352" s="173">
        <v>18000</v>
      </c>
      <c r="F352" s="173"/>
      <c r="G352" s="174">
        <f t="shared" si="28"/>
        <v>97945</v>
      </c>
      <c r="H352" s="175"/>
      <c r="I352" s="176">
        <v>3328</v>
      </c>
      <c r="J352" s="173">
        <v>1650</v>
      </c>
      <c r="K352" s="173"/>
      <c r="L352" s="174">
        <f t="shared" si="29"/>
        <v>4978</v>
      </c>
      <c r="M352" s="177">
        <f t="shared" si="27"/>
        <v>92967</v>
      </c>
      <c r="N352" s="1487"/>
    </row>
    <row r="353" spans="1:14" x14ac:dyDescent="0.2">
      <c r="A353" s="53">
        <v>47</v>
      </c>
      <c r="B353" s="178">
        <v>1855</v>
      </c>
      <c r="C353" s="180" t="s">
        <v>211</v>
      </c>
      <c r="D353" s="173">
        <v>1159062</v>
      </c>
      <c r="E353" s="173">
        <v>59000</v>
      </c>
      <c r="F353" s="173"/>
      <c r="G353" s="174">
        <f t="shared" si="28"/>
        <v>1218062</v>
      </c>
      <c r="H353" s="175"/>
      <c r="I353" s="176">
        <v>323192</v>
      </c>
      <c r="J353" s="173">
        <v>49041</v>
      </c>
      <c r="K353" s="173"/>
      <c r="L353" s="174">
        <f t="shared" si="29"/>
        <v>372233</v>
      </c>
      <c r="M353" s="177">
        <f t="shared" si="27"/>
        <v>845829</v>
      </c>
      <c r="N353" s="1487"/>
    </row>
    <row r="354" spans="1:14" x14ac:dyDescent="0.2">
      <c r="A354" s="53">
        <v>47</v>
      </c>
      <c r="B354" s="178">
        <v>1860</v>
      </c>
      <c r="C354" s="180" t="s">
        <v>273</v>
      </c>
      <c r="D354" s="173"/>
      <c r="E354" s="173"/>
      <c r="F354" s="173"/>
      <c r="G354" s="174">
        <f>D354+E354+F354</f>
        <v>0</v>
      </c>
      <c r="H354" s="175"/>
      <c r="I354" s="176"/>
      <c r="J354" s="173"/>
      <c r="K354" s="173"/>
      <c r="L354" s="174">
        <f>I354+J354+K354</f>
        <v>0</v>
      </c>
      <c r="M354" s="177">
        <f t="shared" si="27"/>
        <v>0</v>
      </c>
      <c r="N354" s="1487"/>
    </row>
    <row r="355" spans="1:14" ht="25.5" x14ac:dyDescent="0.2">
      <c r="A355" s="53">
        <v>47</v>
      </c>
      <c r="B355" s="178">
        <v>1861</v>
      </c>
      <c r="C355" s="180" t="s">
        <v>1396</v>
      </c>
      <c r="D355" s="173">
        <v>1333006</v>
      </c>
      <c r="E355" s="173">
        <v>2000</v>
      </c>
      <c r="F355" s="173"/>
      <c r="G355" s="174">
        <f t="shared" ref="G355:G367" si="30">D355+E355+F355</f>
        <v>1335006</v>
      </c>
      <c r="H355" s="175"/>
      <c r="I355" s="176">
        <v>524474</v>
      </c>
      <c r="J355" s="173">
        <v>133788</v>
      </c>
      <c r="K355" s="173"/>
      <c r="L355" s="174">
        <f t="shared" ref="L355:L367" si="31">I355+J355+K355</f>
        <v>658262</v>
      </c>
      <c r="M355" s="177">
        <f t="shared" si="27"/>
        <v>676744</v>
      </c>
      <c r="N355" s="1487"/>
    </row>
    <row r="356" spans="1:14" x14ac:dyDescent="0.2">
      <c r="A356" s="53">
        <v>47</v>
      </c>
      <c r="B356" s="178">
        <v>1862</v>
      </c>
      <c r="C356" s="180" t="s">
        <v>1397</v>
      </c>
      <c r="D356" s="173">
        <v>352576</v>
      </c>
      <c r="E356" s="173">
        <v>28000</v>
      </c>
      <c r="F356" s="173"/>
      <c r="G356" s="174">
        <f t="shared" si="30"/>
        <v>380576</v>
      </c>
      <c r="H356" s="175"/>
      <c r="I356" s="176">
        <v>138652</v>
      </c>
      <c r="J356" s="173">
        <v>37658</v>
      </c>
      <c r="K356" s="173"/>
      <c r="L356" s="174">
        <f t="shared" si="31"/>
        <v>176310</v>
      </c>
      <c r="M356" s="177">
        <f t="shared" si="27"/>
        <v>204266</v>
      </c>
      <c r="N356" s="1487"/>
    </row>
    <row r="357" spans="1:14" x14ac:dyDescent="0.2">
      <c r="A357" s="53">
        <v>47</v>
      </c>
      <c r="B357" s="178">
        <v>1863</v>
      </c>
      <c r="C357" s="180" t="s">
        <v>1398</v>
      </c>
      <c r="D357" s="173">
        <v>6013</v>
      </c>
      <c r="E357" s="173">
        <v>6000</v>
      </c>
      <c r="F357" s="173"/>
      <c r="G357" s="174">
        <f t="shared" si="30"/>
        <v>12013</v>
      </c>
      <c r="H357" s="175"/>
      <c r="I357" s="176">
        <v>268</v>
      </c>
      <c r="J357" s="173">
        <v>601</v>
      </c>
      <c r="K357" s="173"/>
      <c r="L357" s="174">
        <f t="shared" si="31"/>
        <v>869</v>
      </c>
      <c r="M357" s="177">
        <f t="shared" si="27"/>
        <v>11144</v>
      </c>
      <c r="N357" s="1487"/>
    </row>
    <row r="358" spans="1:14" x14ac:dyDescent="0.2">
      <c r="A358" s="53">
        <v>47</v>
      </c>
      <c r="B358" s="178">
        <v>1864</v>
      </c>
      <c r="C358" s="180" t="s">
        <v>1399</v>
      </c>
      <c r="D358" s="173">
        <v>111232</v>
      </c>
      <c r="E358" s="173">
        <v>1000</v>
      </c>
      <c r="F358" s="173"/>
      <c r="G358" s="174">
        <f t="shared" si="30"/>
        <v>112232</v>
      </c>
      <c r="H358" s="175"/>
      <c r="I358" s="176">
        <v>13016</v>
      </c>
      <c r="J358" s="173">
        <v>3356</v>
      </c>
      <c r="K358" s="173"/>
      <c r="L358" s="174">
        <f t="shared" si="31"/>
        <v>16372</v>
      </c>
      <c r="M358" s="177">
        <f t="shared" si="27"/>
        <v>95860</v>
      </c>
      <c r="N358" s="1487"/>
    </row>
    <row r="359" spans="1:14" x14ac:dyDescent="0.2">
      <c r="A359" s="53">
        <v>47</v>
      </c>
      <c r="B359" s="178">
        <v>1865</v>
      </c>
      <c r="C359" s="179" t="s">
        <v>1400</v>
      </c>
      <c r="D359" s="173"/>
      <c r="E359" s="173"/>
      <c r="F359" s="173"/>
      <c r="G359" s="174">
        <f t="shared" si="30"/>
        <v>0</v>
      </c>
      <c r="H359" s="175"/>
      <c r="I359" s="176"/>
      <c r="J359" s="173"/>
      <c r="K359" s="173"/>
      <c r="L359" s="174">
        <f t="shared" si="31"/>
        <v>0</v>
      </c>
      <c r="M359" s="177">
        <f t="shared" si="27"/>
        <v>0</v>
      </c>
      <c r="N359" s="1487"/>
    </row>
    <row r="360" spans="1:14" x14ac:dyDescent="0.2">
      <c r="A360" s="53" t="s">
        <v>266</v>
      </c>
      <c r="B360" s="178">
        <v>1905</v>
      </c>
      <c r="C360" s="179" t="s">
        <v>267</v>
      </c>
      <c r="D360" s="173">
        <v>171765</v>
      </c>
      <c r="E360" s="173"/>
      <c r="F360" s="173"/>
      <c r="G360" s="174">
        <f t="shared" si="30"/>
        <v>171765</v>
      </c>
      <c r="H360" s="175"/>
      <c r="I360" s="176">
        <v>0</v>
      </c>
      <c r="J360" s="173"/>
      <c r="K360" s="173"/>
      <c r="L360" s="174">
        <f t="shared" si="31"/>
        <v>0</v>
      </c>
      <c r="M360" s="177">
        <f t="shared" si="27"/>
        <v>171765</v>
      </c>
      <c r="N360" s="1487"/>
    </row>
    <row r="361" spans="1:14" x14ac:dyDescent="0.2">
      <c r="A361" s="53">
        <v>47</v>
      </c>
      <c r="B361" s="178">
        <v>1908</v>
      </c>
      <c r="C361" s="180" t="s">
        <v>275</v>
      </c>
      <c r="D361" s="173">
        <v>432288</v>
      </c>
      <c r="E361" s="173">
        <v>2000</v>
      </c>
      <c r="F361" s="173"/>
      <c r="G361" s="174">
        <f t="shared" si="30"/>
        <v>434288</v>
      </c>
      <c r="H361" s="175"/>
      <c r="I361" s="176">
        <v>250254</v>
      </c>
      <c r="J361" s="173">
        <v>9858</v>
      </c>
      <c r="K361" s="173"/>
      <c r="L361" s="174">
        <f t="shared" si="31"/>
        <v>260112</v>
      </c>
      <c r="M361" s="177">
        <f t="shared" si="27"/>
        <v>174176</v>
      </c>
      <c r="N361" s="1487"/>
    </row>
    <row r="362" spans="1:14" x14ac:dyDescent="0.2">
      <c r="A362" s="53">
        <v>13</v>
      </c>
      <c r="B362" s="178">
        <v>1910</v>
      </c>
      <c r="C362" s="180" t="s">
        <v>299</v>
      </c>
      <c r="D362" s="173"/>
      <c r="E362" s="173"/>
      <c r="F362" s="173"/>
      <c r="G362" s="174">
        <f t="shared" si="30"/>
        <v>0</v>
      </c>
      <c r="H362" s="175"/>
      <c r="I362" s="176"/>
      <c r="J362" s="173"/>
      <c r="K362" s="173"/>
      <c r="L362" s="174">
        <f t="shared" si="31"/>
        <v>0</v>
      </c>
      <c r="M362" s="177">
        <f t="shared" si="27"/>
        <v>0</v>
      </c>
      <c r="N362" s="1487"/>
    </row>
    <row r="363" spans="1:14" x14ac:dyDescent="0.2">
      <c r="A363" s="53">
        <v>8</v>
      </c>
      <c r="B363" s="178">
        <v>1915</v>
      </c>
      <c r="C363" s="180" t="s">
        <v>213</v>
      </c>
      <c r="D363" s="173">
        <v>301992</v>
      </c>
      <c r="E363" s="173">
        <v>16000</v>
      </c>
      <c r="F363" s="173"/>
      <c r="G363" s="174">
        <f t="shared" si="30"/>
        <v>317992</v>
      </c>
      <c r="H363" s="175"/>
      <c r="I363" s="176">
        <v>238226</v>
      </c>
      <c r="J363" s="173">
        <v>9776</v>
      </c>
      <c r="K363" s="173"/>
      <c r="L363" s="174">
        <f t="shared" si="31"/>
        <v>248002</v>
      </c>
      <c r="M363" s="177">
        <f t="shared" si="27"/>
        <v>69990</v>
      </c>
      <c r="N363" s="1487"/>
    </row>
    <row r="364" spans="1:14" x14ac:dyDescent="0.2">
      <c r="A364" s="53">
        <v>8</v>
      </c>
      <c r="B364" s="178">
        <v>1915</v>
      </c>
      <c r="C364" s="180" t="s">
        <v>214</v>
      </c>
      <c r="D364" s="173"/>
      <c r="E364" s="173"/>
      <c r="F364" s="173"/>
      <c r="G364" s="174">
        <f t="shared" si="30"/>
        <v>0</v>
      </c>
      <c r="H364" s="175"/>
      <c r="I364" s="176"/>
      <c r="J364" s="173"/>
      <c r="K364" s="173"/>
      <c r="L364" s="174">
        <f t="shared" si="31"/>
        <v>0</v>
      </c>
      <c r="M364" s="177">
        <f t="shared" si="27"/>
        <v>0</v>
      </c>
      <c r="N364" s="1487"/>
    </row>
    <row r="365" spans="1:14" x14ac:dyDescent="0.2">
      <c r="A365" s="53">
        <v>10</v>
      </c>
      <c r="B365" s="178">
        <v>1920</v>
      </c>
      <c r="C365" s="180" t="s">
        <v>215</v>
      </c>
      <c r="D365" s="173">
        <v>455765</v>
      </c>
      <c r="E365" s="173">
        <v>500</v>
      </c>
      <c r="F365" s="173"/>
      <c r="G365" s="174">
        <f t="shared" si="30"/>
        <v>456265</v>
      </c>
      <c r="H365" s="175"/>
      <c r="I365" s="176">
        <v>390466</v>
      </c>
      <c r="J365" s="173">
        <v>18545</v>
      </c>
      <c r="K365" s="173"/>
      <c r="L365" s="174">
        <f t="shared" si="31"/>
        <v>409011</v>
      </c>
      <c r="M365" s="177">
        <f t="shared" si="27"/>
        <v>47254</v>
      </c>
      <c r="N365" s="1487"/>
    </row>
    <row r="366" spans="1:14" ht="25.5" x14ac:dyDescent="0.2">
      <c r="A366" s="53">
        <v>45</v>
      </c>
      <c r="B366" s="181">
        <v>1920</v>
      </c>
      <c r="C366" s="172" t="s">
        <v>217</v>
      </c>
      <c r="D366" s="173"/>
      <c r="E366" s="173"/>
      <c r="F366" s="173"/>
      <c r="G366" s="174">
        <f t="shared" si="30"/>
        <v>0</v>
      </c>
      <c r="H366" s="175"/>
      <c r="I366" s="176"/>
      <c r="J366" s="173"/>
      <c r="K366" s="173"/>
      <c r="L366" s="174">
        <f t="shared" si="31"/>
        <v>0</v>
      </c>
      <c r="M366" s="177">
        <f t="shared" si="27"/>
        <v>0</v>
      </c>
      <c r="N366" s="1487"/>
    </row>
    <row r="367" spans="1:14" ht="25.5" x14ac:dyDescent="0.2">
      <c r="A367" s="53">
        <v>45.1</v>
      </c>
      <c r="B367" s="181">
        <v>1920</v>
      </c>
      <c r="C367" s="172" t="s">
        <v>216</v>
      </c>
      <c r="D367" s="173"/>
      <c r="E367" s="173"/>
      <c r="F367" s="173"/>
      <c r="G367" s="174">
        <f t="shared" si="30"/>
        <v>0</v>
      </c>
      <c r="H367" s="175"/>
      <c r="I367" s="176"/>
      <c r="J367" s="173"/>
      <c r="K367" s="173"/>
      <c r="L367" s="174">
        <f t="shared" si="31"/>
        <v>0</v>
      </c>
      <c r="M367" s="177">
        <f t="shared" si="27"/>
        <v>0</v>
      </c>
      <c r="N367" s="1487"/>
    </row>
    <row r="368" spans="1:14" x14ac:dyDescent="0.2">
      <c r="A368" s="53">
        <v>10</v>
      </c>
      <c r="B368" s="1476">
        <v>1930</v>
      </c>
      <c r="C368" s="180" t="s">
        <v>286</v>
      </c>
      <c r="D368" s="173"/>
      <c r="E368" s="173"/>
      <c r="F368" s="173"/>
      <c r="G368" s="174">
        <f>D368+E368+F368</f>
        <v>0</v>
      </c>
      <c r="H368" s="175"/>
      <c r="I368" s="176"/>
      <c r="J368" s="173"/>
      <c r="K368" s="173"/>
      <c r="L368" s="174">
        <f>I368+J368+K368</f>
        <v>0</v>
      </c>
      <c r="M368" s="177">
        <f t="shared" si="27"/>
        <v>0</v>
      </c>
      <c r="N368" s="1487"/>
    </row>
    <row r="369" spans="1:14" x14ac:dyDescent="0.2">
      <c r="A369" s="53">
        <v>10</v>
      </c>
      <c r="B369" s="1476">
        <v>1931</v>
      </c>
      <c r="C369" s="180" t="s">
        <v>1401</v>
      </c>
      <c r="D369" s="173">
        <v>138061</v>
      </c>
      <c r="E369" s="173">
        <v>445000</v>
      </c>
      <c r="F369" s="173"/>
      <c r="G369" s="174">
        <f>D369+E369-F369</f>
        <v>583061</v>
      </c>
      <c r="H369" s="175"/>
      <c r="I369" s="176">
        <v>46273</v>
      </c>
      <c r="J369" s="173">
        <v>28229</v>
      </c>
      <c r="K369" s="173"/>
      <c r="L369" s="174">
        <f t="shared" ref="L369:L384" si="32">I369+J369+K369</f>
        <v>74502</v>
      </c>
      <c r="M369" s="177">
        <f t="shared" si="27"/>
        <v>508559</v>
      </c>
      <c r="N369" s="1487"/>
    </row>
    <row r="370" spans="1:14" x14ac:dyDescent="0.2">
      <c r="A370" s="53">
        <v>10</v>
      </c>
      <c r="B370" s="1476">
        <v>1932</v>
      </c>
      <c r="C370" s="180" t="s">
        <v>1402</v>
      </c>
      <c r="D370" s="173">
        <v>171179</v>
      </c>
      <c r="E370" s="173"/>
      <c r="F370" s="173"/>
      <c r="G370" s="174">
        <f>D370+E370+F370</f>
        <v>171179</v>
      </c>
      <c r="H370" s="175"/>
      <c r="I370" s="176">
        <v>151998</v>
      </c>
      <c r="J370" s="173">
        <v>5869</v>
      </c>
      <c r="K370" s="173"/>
      <c r="L370" s="174">
        <f t="shared" si="32"/>
        <v>157867</v>
      </c>
      <c r="M370" s="177">
        <f t="shared" si="27"/>
        <v>13312</v>
      </c>
      <c r="N370" s="1487"/>
    </row>
    <row r="371" spans="1:14" x14ac:dyDescent="0.2">
      <c r="A371" s="53">
        <v>10</v>
      </c>
      <c r="B371" s="1476">
        <v>1933</v>
      </c>
      <c r="C371" s="180" t="s">
        <v>1403</v>
      </c>
      <c r="D371" s="173">
        <v>70712</v>
      </c>
      <c r="E371" s="173"/>
      <c r="F371" s="173"/>
      <c r="G371" s="174">
        <f>D371+E371-F371</f>
        <v>70712</v>
      </c>
      <c r="H371" s="175"/>
      <c r="I371" s="176">
        <v>17678</v>
      </c>
      <c r="J371" s="173">
        <v>7071</v>
      </c>
      <c r="K371" s="173"/>
      <c r="L371" s="174">
        <f t="shared" si="32"/>
        <v>24749</v>
      </c>
      <c r="M371" s="177">
        <f t="shared" si="27"/>
        <v>45963</v>
      </c>
      <c r="N371" s="1487"/>
    </row>
    <row r="372" spans="1:14" x14ac:dyDescent="0.2">
      <c r="A372" s="53">
        <v>8</v>
      </c>
      <c r="B372" s="1476">
        <v>1935</v>
      </c>
      <c r="C372" s="180" t="s">
        <v>287</v>
      </c>
      <c r="D372" s="173"/>
      <c r="E372" s="173"/>
      <c r="F372" s="173"/>
      <c r="G372" s="174">
        <f t="shared" ref="G372:G384" si="33">D372+E372+F372</f>
        <v>0</v>
      </c>
      <c r="H372" s="175"/>
      <c r="I372" s="176"/>
      <c r="J372" s="173"/>
      <c r="K372" s="173"/>
      <c r="L372" s="174">
        <f t="shared" si="32"/>
        <v>0</v>
      </c>
      <c r="M372" s="177">
        <f t="shared" si="27"/>
        <v>0</v>
      </c>
      <c r="N372" s="1487"/>
    </row>
    <row r="373" spans="1:14" x14ac:dyDescent="0.2">
      <c r="A373" s="53">
        <v>8</v>
      </c>
      <c r="B373" s="1476">
        <v>1940</v>
      </c>
      <c r="C373" s="180" t="s">
        <v>288</v>
      </c>
      <c r="D373" s="173">
        <v>393936</v>
      </c>
      <c r="E373" s="173"/>
      <c r="F373" s="173"/>
      <c r="G373" s="174">
        <f t="shared" si="33"/>
        <v>393936</v>
      </c>
      <c r="H373" s="175"/>
      <c r="I373" s="176">
        <v>362730</v>
      </c>
      <c r="J373" s="173">
        <v>5362</v>
      </c>
      <c r="K373" s="173"/>
      <c r="L373" s="174">
        <f t="shared" si="32"/>
        <v>368092</v>
      </c>
      <c r="M373" s="177">
        <f t="shared" si="27"/>
        <v>25844</v>
      </c>
      <c r="N373" s="1487"/>
    </row>
    <row r="374" spans="1:14" x14ac:dyDescent="0.2">
      <c r="A374" s="53">
        <v>8</v>
      </c>
      <c r="B374" s="1476">
        <v>1945</v>
      </c>
      <c r="C374" s="180" t="s">
        <v>289</v>
      </c>
      <c r="D374" s="173"/>
      <c r="E374" s="173"/>
      <c r="F374" s="173"/>
      <c r="G374" s="174">
        <f t="shared" si="33"/>
        <v>0</v>
      </c>
      <c r="H374" s="175"/>
      <c r="I374" s="176"/>
      <c r="J374" s="173"/>
      <c r="K374" s="173"/>
      <c r="L374" s="174">
        <f t="shared" si="32"/>
        <v>0</v>
      </c>
      <c r="M374" s="177">
        <f t="shared" si="27"/>
        <v>0</v>
      </c>
    </row>
    <row r="375" spans="1:14" x14ac:dyDescent="0.2">
      <c r="A375" s="53">
        <v>8</v>
      </c>
      <c r="B375" s="1476">
        <v>1950</v>
      </c>
      <c r="C375" s="180" t="s">
        <v>218</v>
      </c>
      <c r="D375" s="173"/>
      <c r="E375" s="173"/>
      <c r="F375" s="173"/>
      <c r="G375" s="174">
        <f t="shared" si="33"/>
        <v>0</v>
      </c>
      <c r="H375" s="175"/>
      <c r="I375" s="182"/>
      <c r="J375" s="173"/>
      <c r="K375" s="173"/>
      <c r="L375" s="174">
        <f t="shared" si="32"/>
        <v>0</v>
      </c>
      <c r="M375" s="177">
        <f t="shared" si="27"/>
        <v>0</v>
      </c>
    </row>
    <row r="376" spans="1:14" x14ac:dyDescent="0.2">
      <c r="A376" s="53">
        <v>8</v>
      </c>
      <c r="B376" s="1476">
        <v>1955</v>
      </c>
      <c r="C376" s="180" t="s">
        <v>290</v>
      </c>
      <c r="D376" s="173">
        <v>36873</v>
      </c>
      <c r="E376" s="173"/>
      <c r="F376" s="173"/>
      <c r="G376" s="174">
        <f t="shared" si="33"/>
        <v>36873</v>
      </c>
      <c r="H376" s="175"/>
      <c r="I376" s="176">
        <v>30470</v>
      </c>
      <c r="J376" s="173">
        <v>1227</v>
      </c>
      <c r="K376" s="173"/>
      <c r="L376" s="174">
        <f t="shared" si="32"/>
        <v>31697</v>
      </c>
      <c r="M376" s="177">
        <f t="shared" si="27"/>
        <v>5176</v>
      </c>
    </row>
    <row r="377" spans="1:14" x14ac:dyDescent="0.2">
      <c r="A377" s="183">
        <v>8</v>
      </c>
      <c r="B377" s="181">
        <v>1955</v>
      </c>
      <c r="C377" s="184" t="s">
        <v>219</v>
      </c>
      <c r="D377" s="173"/>
      <c r="E377" s="173"/>
      <c r="F377" s="173"/>
      <c r="G377" s="174">
        <f t="shared" si="33"/>
        <v>0</v>
      </c>
      <c r="H377" s="175"/>
      <c r="I377" s="176"/>
      <c r="J377" s="173"/>
      <c r="K377" s="173"/>
      <c r="L377" s="174">
        <f t="shared" si="32"/>
        <v>0</v>
      </c>
      <c r="M377" s="177">
        <f t="shared" si="27"/>
        <v>0</v>
      </c>
    </row>
    <row r="378" spans="1:14" x14ac:dyDescent="0.2">
      <c r="A378" s="183">
        <v>8</v>
      </c>
      <c r="B378" s="185">
        <v>1960</v>
      </c>
      <c r="C378" s="172" t="s">
        <v>220</v>
      </c>
      <c r="D378" s="173"/>
      <c r="E378" s="173"/>
      <c r="F378" s="173"/>
      <c r="G378" s="174">
        <f t="shared" si="33"/>
        <v>0</v>
      </c>
      <c r="H378" s="175"/>
      <c r="I378" s="176"/>
      <c r="J378" s="173"/>
      <c r="K378" s="173"/>
      <c r="L378" s="174">
        <f t="shared" si="32"/>
        <v>0</v>
      </c>
      <c r="M378" s="177">
        <f t="shared" si="27"/>
        <v>0</v>
      </c>
    </row>
    <row r="379" spans="1:14" ht="25.5" x14ac:dyDescent="0.2">
      <c r="A379" s="186">
        <v>47</v>
      </c>
      <c r="B379" s="185">
        <v>1970</v>
      </c>
      <c r="C379" s="180" t="s">
        <v>501</v>
      </c>
      <c r="D379" s="173"/>
      <c r="E379" s="173"/>
      <c r="F379" s="173"/>
      <c r="G379" s="174">
        <f t="shared" si="33"/>
        <v>0</v>
      </c>
      <c r="H379" s="175"/>
      <c r="I379" s="176"/>
      <c r="J379" s="173"/>
      <c r="K379" s="173"/>
      <c r="L379" s="174">
        <f t="shared" si="32"/>
        <v>0</v>
      </c>
      <c r="M379" s="177">
        <f t="shared" si="27"/>
        <v>0</v>
      </c>
    </row>
    <row r="380" spans="1:14" ht="25.5" x14ac:dyDescent="0.2">
      <c r="A380" s="53">
        <v>47</v>
      </c>
      <c r="B380" s="1476">
        <v>1975</v>
      </c>
      <c r="C380" s="180" t="s">
        <v>291</v>
      </c>
      <c r="D380" s="173"/>
      <c r="E380" s="173"/>
      <c r="F380" s="173"/>
      <c r="G380" s="174">
        <f t="shared" si="33"/>
        <v>0</v>
      </c>
      <c r="H380" s="175"/>
      <c r="I380" s="176"/>
      <c r="J380" s="173"/>
      <c r="K380" s="173"/>
      <c r="L380" s="174">
        <f t="shared" si="32"/>
        <v>0</v>
      </c>
      <c r="M380" s="177">
        <f t="shared" si="27"/>
        <v>0</v>
      </c>
    </row>
    <row r="381" spans="1:14" x14ac:dyDescent="0.2">
      <c r="A381" s="53">
        <v>47</v>
      </c>
      <c r="B381" s="1476">
        <v>1980</v>
      </c>
      <c r="C381" s="180" t="s">
        <v>292</v>
      </c>
      <c r="D381" s="173"/>
      <c r="E381" s="173"/>
      <c r="F381" s="173"/>
      <c r="G381" s="174">
        <f t="shared" si="33"/>
        <v>0</v>
      </c>
      <c r="H381" s="175"/>
      <c r="I381" s="176"/>
      <c r="J381" s="173"/>
      <c r="K381" s="173"/>
      <c r="L381" s="174">
        <f t="shared" si="32"/>
        <v>0</v>
      </c>
      <c r="M381" s="177">
        <f t="shared" si="27"/>
        <v>0</v>
      </c>
    </row>
    <row r="382" spans="1:14" x14ac:dyDescent="0.2">
      <c r="A382" s="53">
        <v>47</v>
      </c>
      <c r="B382" s="1476">
        <v>1985</v>
      </c>
      <c r="C382" s="180" t="s">
        <v>1404</v>
      </c>
      <c r="D382" s="173">
        <v>15</v>
      </c>
      <c r="E382" s="173"/>
      <c r="F382" s="173"/>
      <c r="G382" s="174">
        <f t="shared" si="33"/>
        <v>15</v>
      </c>
      <c r="H382" s="175"/>
      <c r="I382" s="176">
        <v>15</v>
      </c>
      <c r="J382" s="173"/>
      <c r="K382" s="173"/>
      <c r="L382" s="174">
        <f t="shared" si="32"/>
        <v>15</v>
      </c>
      <c r="M382" s="177">
        <f t="shared" si="27"/>
        <v>0</v>
      </c>
    </row>
    <row r="383" spans="1:14" x14ac:dyDescent="0.2">
      <c r="A383" s="186">
        <v>47</v>
      </c>
      <c r="B383" s="1476">
        <v>1990</v>
      </c>
      <c r="C383" s="1477" t="s">
        <v>502</v>
      </c>
      <c r="D383" s="173"/>
      <c r="E383" s="173"/>
      <c r="F383" s="173"/>
      <c r="G383" s="174">
        <f t="shared" si="33"/>
        <v>0</v>
      </c>
      <c r="H383" s="175"/>
      <c r="I383" s="176"/>
      <c r="J383" s="173"/>
      <c r="K383" s="173"/>
      <c r="L383" s="174">
        <f t="shared" si="32"/>
        <v>0</v>
      </c>
      <c r="M383" s="177">
        <f t="shared" si="27"/>
        <v>0</v>
      </c>
    </row>
    <row r="384" spans="1:14" x14ac:dyDescent="0.2">
      <c r="A384" s="53">
        <v>47</v>
      </c>
      <c r="B384" s="1476">
        <v>1995</v>
      </c>
      <c r="C384" s="180" t="s">
        <v>294</v>
      </c>
      <c r="D384" s="173">
        <v>-6589579</v>
      </c>
      <c r="E384" s="173">
        <v>-247033</v>
      </c>
      <c r="F384" s="173"/>
      <c r="G384" s="174">
        <f t="shared" si="33"/>
        <v>-6836612</v>
      </c>
      <c r="H384" s="175"/>
      <c r="I384" s="176">
        <v>-2171086</v>
      </c>
      <c r="J384" s="173">
        <v>-270076</v>
      </c>
      <c r="K384" s="173"/>
      <c r="L384" s="174">
        <f t="shared" si="32"/>
        <v>-2441162</v>
      </c>
      <c r="M384" s="177">
        <f t="shared" si="27"/>
        <v>-4395450</v>
      </c>
    </row>
    <row r="385" spans="1:14" ht="14.25" x14ac:dyDescent="0.2">
      <c r="A385" s="53">
        <v>47</v>
      </c>
      <c r="B385" s="1476">
        <v>2440</v>
      </c>
      <c r="C385" s="180" t="s">
        <v>950</v>
      </c>
      <c r="D385" s="173"/>
      <c r="E385" s="173"/>
      <c r="F385" s="173"/>
      <c r="G385" s="174"/>
      <c r="I385" s="176"/>
      <c r="J385" s="173"/>
      <c r="K385" s="173"/>
      <c r="L385" s="174"/>
      <c r="M385" s="177"/>
    </row>
    <row r="386" spans="1:14" x14ac:dyDescent="0.2">
      <c r="A386" s="187"/>
      <c r="B386" s="187"/>
      <c r="C386" s="188"/>
      <c r="D386" s="189"/>
      <c r="E386" s="189"/>
      <c r="F386" s="189"/>
      <c r="G386" s="174">
        <f>D386+E386+F386</f>
        <v>0</v>
      </c>
      <c r="I386" s="189"/>
      <c r="J386" s="189"/>
      <c r="K386" s="189"/>
      <c r="L386" s="174">
        <f>I386+J386+K386</f>
        <v>0</v>
      </c>
      <c r="M386" s="177">
        <f>G386+L386</f>
        <v>0</v>
      </c>
    </row>
    <row r="387" spans="1:14" x14ac:dyDescent="0.2">
      <c r="A387" s="187"/>
      <c r="B387" s="187"/>
      <c r="C387" s="190" t="s">
        <v>204</v>
      </c>
      <c r="D387" s="191">
        <f>SUM(D338:D386)</f>
        <v>24710987</v>
      </c>
      <c r="E387" s="191">
        <f>SUM(E338:E386)</f>
        <v>1066470</v>
      </c>
      <c r="F387" s="191">
        <f>SUM(F338:F386)</f>
        <v>0</v>
      </c>
      <c r="G387" s="191">
        <f>SUM(G338:G386)</f>
        <v>25777457</v>
      </c>
      <c r="H387" s="191"/>
      <c r="I387" s="191">
        <f>SUM(I338:I386)</f>
        <v>15271397</v>
      </c>
      <c r="J387" s="191">
        <f>SUM(J338:J386)</f>
        <v>381267</v>
      </c>
      <c r="K387" s="191">
        <f>SUM(K338:K386)</f>
        <v>0</v>
      </c>
      <c r="L387" s="191">
        <f>SUM(L338:L386)</f>
        <v>15652664</v>
      </c>
      <c r="M387" s="191">
        <f>SUM(M338:M386)</f>
        <v>10124793</v>
      </c>
    </row>
    <row r="388" spans="1:14" ht="37.5" x14ac:dyDescent="0.2">
      <c r="A388" s="187"/>
      <c r="B388" s="187"/>
      <c r="C388" s="192" t="s">
        <v>597</v>
      </c>
      <c r="D388" s="189"/>
      <c r="E388" s="189"/>
      <c r="F388" s="189"/>
      <c r="G388" s="174">
        <f>D388+E388+F388</f>
        <v>0</v>
      </c>
      <c r="I388" s="189"/>
      <c r="J388" s="189"/>
      <c r="K388" s="189"/>
      <c r="L388" s="174">
        <f>I388+J388+K388</f>
        <v>0</v>
      </c>
      <c r="M388" s="177">
        <f>G388+L388</f>
        <v>0</v>
      </c>
    </row>
    <row r="389" spans="1:14" ht="25.5" x14ac:dyDescent="0.2">
      <c r="A389" s="187"/>
      <c r="B389" s="187"/>
      <c r="C389" s="193" t="s">
        <v>596</v>
      </c>
      <c r="D389" s="189"/>
      <c r="E389" s="189"/>
      <c r="F389" s="189"/>
      <c r="G389" s="174">
        <f>D389+E389+F389</f>
        <v>0</v>
      </c>
      <c r="I389" s="189"/>
      <c r="J389" s="189"/>
      <c r="K389" s="189"/>
      <c r="L389" s="174">
        <f>I389+J389+K389</f>
        <v>0</v>
      </c>
      <c r="M389" s="177">
        <f>G389+L389</f>
        <v>0</v>
      </c>
    </row>
    <row r="390" spans="1:14" x14ac:dyDescent="0.2">
      <c r="A390" s="187"/>
      <c r="B390" s="187"/>
      <c r="C390" s="190" t="s">
        <v>503</v>
      </c>
      <c r="D390" s="191">
        <f>SUM(D387:D389)</f>
        <v>24710987</v>
      </c>
      <c r="E390" s="191">
        <f>SUM(E387:E389)</f>
        <v>1066470</v>
      </c>
      <c r="F390" s="191">
        <f>SUM(F387:F389)</f>
        <v>0</v>
      </c>
      <c r="G390" s="191">
        <f>SUM(G387:G389)</f>
        <v>25777457</v>
      </c>
      <c r="H390" s="191"/>
      <c r="I390" s="191">
        <f>SUM(I387:I389)</f>
        <v>15271397</v>
      </c>
      <c r="J390" s="191">
        <f>SUM(J387:J389)</f>
        <v>381267</v>
      </c>
      <c r="K390" s="191">
        <f>SUM(K387:K389)</f>
        <v>0</v>
      </c>
      <c r="L390" s="191">
        <f>SUM(L387:L389)</f>
        <v>15652664</v>
      </c>
      <c r="M390" s="191">
        <f>SUM(M387:M389)</f>
        <v>10124793</v>
      </c>
    </row>
    <row r="391" spans="1:14" ht="14.25" x14ac:dyDescent="0.2">
      <c r="A391" s="187"/>
      <c r="B391" s="187"/>
      <c r="C391" s="1603" t="s">
        <v>912</v>
      </c>
      <c r="D391" s="1604"/>
      <c r="E391" s="1604"/>
      <c r="F391" s="1604"/>
      <c r="G391" s="1604"/>
      <c r="H391" s="1604"/>
      <c r="I391" s="1605"/>
      <c r="J391" s="189"/>
      <c r="K391" s="194"/>
      <c r="L391" s="195"/>
      <c r="M391" s="196"/>
    </row>
    <row r="392" spans="1:14" x14ac:dyDescent="0.2">
      <c r="A392" s="187"/>
      <c r="B392" s="187"/>
      <c r="C392" s="1603" t="s">
        <v>295</v>
      </c>
      <c r="D392" s="1604"/>
      <c r="E392" s="1604"/>
      <c r="F392" s="1604"/>
      <c r="G392" s="1604"/>
      <c r="H392" s="1604"/>
      <c r="I392" s="1605"/>
      <c r="J392" s="191">
        <f>J390+J391</f>
        <v>381267</v>
      </c>
      <c r="K392" s="194"/>
      <c r="L392" s="195"/>
      <c r="M392" s="196"/>
    </row>
    <row r="393" spans="1:14" x14ac:dyDescent="0.2">
      <c r="A393" s="1479"/>
      <c r="B393" s="1479"/>
    </row>
    <row r="394" spans="1:14" x14ac:dyDescent="0.2">
      <c r="A394" s="1479"/>
      <c r="B394" s="1479"/>
      <c r="I394" s="197" t="s">
        <v>422</v>
      </c>
      <c r="J394" s="1480"/>
    </row>
    <row r="395" spans="1:14" x14ac:dyDescent="0.2">
      <c r="A395" s="187">
        <v>10</v>
      </c>
      <c r="B395" s="187"/>
      <c r="C395" s="188" t="s">
        <v>296</v>
      </c>
      <c r="I395" s="1480" t="s">
        <v>296</v>
      </c>
      <c r="J395" s="1480"/>
      <c r="K395" s="198">
        <f>J369+J370+J371</f>
        <v>41169</v>
      </c>
    </row>
    <row r="396" spans="1:14" x14ac:dyDescent="0.2">
      <c r="A396" s="187">
        <v>8</v>
      </c>
      <c r="B396" s="187"/>
      <c r="C396" s="188" t="s">
        <v>287</v>
      </c>
      <c r="I396" s="1480" t="s">
        <v>287</v>
      </c>
      <c r="J396" s="1480"/>
      <c r="K396" s="199">
        <f>J376</f>
        <v>1227</v>
      </c>
    </row>
    <row r="397" spans="1:14" x14ac:dyDescent="0.2">
      <c r="A397" s="1479"/>
      <c r="B397" s="1479"/>
      <c r="I397" s="200" t="s">
        <v>297</v>
      </c>
      <c r="K397" s="201">
        <f>J392-K395-K396</f>
        <v>338871</v>
      </c>
    </row>
    <row r="398" spans="1:14" x14ac:dyDescent="0.2">
      <c r="A398" s="1474"/>
      <c r="B398" s="1474"/>
      <c r="I398" s="200"/>
      <c r="K398" s="1453"/>
    </row>
    <row r="399" spans="1:14" x14ac:dyDescent="0.2">
      <c r="A399" s="203" t="s">
        <v>11</v>
      </c>
      <c r="N399" s="202"/>
    </row>
    <row r="401" spans="1:13" x14ac:dyDescent="0.2">
      <c r="A401" s="1070">
        <v>1</v>
      </c>
      <c r="B401" s="1610" t="s">
        <v>197</v>
      </c>
      <c r="C401" s="1610"/>
      <c r="D401" s="1610"/>
      <c r="E401" s="1610"/>
      <c r="F401" s="1610"/>
      <c r="G401" s="1610"/>
      <c r="H401" s="1610"/>
      <c r="I401" s="1610"/>
      <c r="J401" s="1610"/>
      <c r="K401" s="1610"/>
      <c r="L401" s="1610"/>
      <c r="M401" s="1610"/>
    </row>
    <row r="402" spans="1:13" x14ac:dyDescent="0.2">
      <c r="B402" s="1610"/>
      <c r="C402" s="1610"/>
      <c r="D402" s="1610"/>
      <c r="E402" s="1610"/>
      <c r="F402" s="1610"/>
      <c r="G402" s="1610"/>
      <c r="H402" s="1610"/>
      <c r="I402" s="1610"/>
      <c r="J402" s="1610"/>
      <c r="K402" s="1610"/>
      <c r="L402" s="1610"/>
      <c r="M402" s="1610"/>
    </row>
    <row r="403" spans="1:13" ht="12.75" customHeight="1" x14ac:dyDescent="0.2"/>
    <row r="404" spans="1:13" x14ac:dyDescent="0.2">
      <c r="A404" s="1070">
        <v>2</v>
      </c>
      <c r="B404" s="1590" t="s">
        <v>990</v>
      </c>
      <c r="C404" s="1590"/>
      <c r="D404" s="1590"/>
      <c r="E404" s="1590"/>
      <c r="F404" s="1590"/>
      <c r="G404" s="1590"/>
      <c r="H404" s="1590"/>
      <c r="I404" s="1590"/>
      <c r="J404" s="1590"/>
      <c r="K404" s="1590"/>
      <c r="L404" s="1590"/>
      <c r="M404" s="1590"/>
    </row>
    <row r="405" spans="1:13" x14ac:dyDescent="0.2">
      <c r="B405" s="1590"/>
      <c r="C405" s="1590"/>
      <c r="D405" s="1590"/>
      <c r="E405" s="1590"/>
      <c r="F405" s="1590"/>
      <c r="G405" s="1590"/>
      <c r="H405" s="1590"/>
      <c r="I405" s="1590"/>
      <c r="J405" s="1590"/>
      <c r="K405" s="1590"/>
      <c r="L405" s="1590"/>
      <c r="M405" s="1590"/>
    </row>
    <row r="407" spans="1:13" x14ac:dyDescent="0.2">
      <c r="A407" s="1070">
        <v>3</v>
      </c>
      <c r="B407" s="1592" t="s">
        <v>205</v>
      </c>
      <c r="C407" s="1592"/>
      <c r="D407" s="1592"/>
      <c r="E407" s="1592"/>
      <c r="F407" s="1592"/>
      <c r="G407" s="1592"/>
      <c r="H407" s="1592"/>
      <c r="I407" s="1592"/>
      <c r="J407" s="1592"/>
      <c r="K407" s="1592"/>
      <c r="L407" s="1592"/>
      <c r="M407" s="1592"/>
    </row>
    <row r="409" spans="1:13" x14ac:dyDescent="0.2">
      <c r="A409" s="1070">
        <v>4</v>
      </c>
      <c r="B409" s="147" t="s">
        <v>991</v>
      </c>
      <c r="C409" s="56"/>
    </row>
    <row r="411" spans="1:13" x14ac:dyDescent="0.2">
      <c r="A411" s="1070">
        <v>5</v>
      </c>
      <c r="B411" s="204" t="s">
        <v>935</v>
      </c>
    </row>
    <row r="413" spans="1:13" x14ac:dyDescent="0.2">
      <c r="A413" s="1070">
        <v>6</v>
      </c>
      <c r="B413" s="1592" t="s">
        <v>1188</v>
      </c>
      <c r="C413" s="1592"/>
      <c r="D413" s="1592"/>
      <c r="E413" s="1592"/>
      <c r="F413" s="1592"/>
      <c r="G413" s="1592"/>
      <c r="H413" s="1592"/>
      <c r="I413" s="1592"/>
      <c r="J413" s="1592"/>
      <c r="K413" s="1592"/>
      <c r="L413" s="1592"/>
      <c r="M413" s="1592"/>
    </row>
    <row r="414" spans="1:13" x14ac:dyDescent="0.2">
      <c r="A414" s="1251"/>
      <c r="B414" s="1592"/>
      <c r="C414" s="1592"/>
      <c r="D414" s="1592"/>
      <c r="E414" s="1592"/>
      <c r="F414" s="1592"/>
      <c r="G414" s="1592"/>
      <c r="H414" s="1592"/>
      <c r="I414" s="1592"/>
      <c r="J414" s="1592"/>
      <c r="K414" s="1592"/>
      <c r="L414" s="1592"/>
      <c r="M414" s="1592"/>
    </row>
    <row r="415" spans="1:13" x14ac:dyDescent="0.2">
      <c r="B415" s="1592"/>
      <c r="C415" s="1592"/>
      <c r="D415" s="1592"/>
      <c r="E415" s="1592"/>
      <c r="F415" s="1592"/>
      <c r="G415" s="1592"/>
      <c r="H415" s="1592"/>
      <c r="I415" s="1592"/>
      <c r="J415" s="1592"/>
      <c r="K415" s="1592"/>
      <c r="L415" s="1592"/>
      <c r="M415" s="1592"/>
    </row>
    <row r="417" spans="2:13" x14ac:dyDescent="0.2">
      <c r="B417" s="1610"/>
      <c r="C417" s="1610"/>
      <c r="D417" s="1610"/>
      <c r="E417" s="1610"/>
      <c r="F417" s="1610"/>
      <c r="G417" s="1610"/>
      <c r="H417" s="1610"/>
      <c r="I417" s="1610"/>
      <c r="J417" s="1610"/>
      <c r="K417" s="1610"/>
      <c r="L417" s="1610"/>
      <c r="M417" s="1610"/>
    </row>
    <row r="418" spans="2:13" x14ac:dyDescent="0.2">
      <c r="B418" s="1610"/>
      <c r="C418" s="1610"/>
      <c r="D418" s="1610"/>
      <c r="E418" s="1610"/>
      <c r="F418" s="1610"/>
      <c r="G418" s="1610"/>
      <c r="H418" s="1610"/>
      <c r="I418" s="1610"/>
      <c r="J418" s="1610"/>
      <c r="K418" s="1610"/>
      <c r="L418" s="1610"/>
      <c r="M418" s="1610"/>
    </row>
  </sheetData>
  <mergeCells count="25">
    <mergeCell ref="D336:G336"/>
    <mergeCell ref="C391:I391"/>
    <mergeCell ref="C392:I392"/>
    <mergeCell ref="B417:M418"/>
    <mergeCell ref="B413:M415"/>
    <mergeCell ref="B404:M405"/>
    <mergeCell ref="B407:M407"/>
    <mergeCell ref="B401:M402"/>
    <mergeCell ref="A9:M9"/>
    <mergeCell ref="A10:M10"/>
    <mergeCell ref="D15:G15"/>
    <mergeCell ref="C61:I61"/>
    <mergeCell ref="C62:I62"/>
    <mergeCell ref="D72:G72"/>
    <mergeCell ref="C127:I127"/>
    <mergeCell ref="C128:I128"/>
    <mergeCell ref="D138:G138"/>
    <mergeCell ref="C193:I193"/>
    <mergeCell ref="C194:I194"/>
    <mergeCell ref="C326:I326"/>
    <mergeCell ref="D204:G204"/>
    <mergeCell ref="C259:I259"/>
    <mergeCell ref="C260:I260"/>
    <mergeCell ref="D270:G270"/>
    <mergeCell ref="C325:I325"/>
  </mergeCells>
  <dataValidations count="1">
    <dataValidation type="list" allowBlank="1" showErrorMessage="1" error="Use the following date format when inserting a date:_x000a__x000a_Eg:  &quot;January 1, 2013&quot;" prompt="Use the following format eg: January 1, 2013" sqref="F12 F69 F135 F201 F267 F333">
      <formula1>"CGAAP, MIFRS,USGAAP, ASPE"</formula1>
    </dataValidation>
  </dataValidations>
  <printOptions horizontalCentered="1"/>
  <pageMargins left="0.74803149606299213" right="0.74803149606299213" top="0.74803149606299213" bottom="0.70866141732283472" header="0.51181102362204722" footer="0.51181102362204722"/>
  <pageSetup scale="43" fitToHeight="0" orientation="landscape" r:id="rId1"/>
  <headerFooter alignWithMargins="0"/>
  <rowBreaks count="5" manualBreakCount="5">
    <brk id="68" max="12" man="1"/>
    <brk id="134" max="12" man="1"/>
    <brk id="200" max="12" man="1"/>
    <brk id="266" max="12" man="1"/>
    <brk id="332"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F0"/>
  </sheetPr>
  <dimension ref="A1:R110"/>
  <sheetViews>
    <sheetView showGridLines="0" topLeftCell="D1" zoomScaleNormal="100" workbookViewId="0">
      <selection activeCell="K3" sqref="K3"/>
    </sheetView>
  </sheetViews>
  <sheetFormatPr defaultRowHeight="12.75" x14ac:dyDescent="0.2"/>
  <cols>
    <col min="1" max="1" width="9.140625" style="52"/>
    <col min="2" max="2" width="6.85546875" style="52" customWidth="1"/>
    <col min="3" max="3" width="27.140625" style="52" customWidth="1"/>
    <col min="4" max="4" width="19.7109375" style="52" customWidth="1"/>
    <col min="5" max="5" width="10.7109375" style="52" customWidth="1"/>
    <col min="6" max="6" width="7.7109375" style="52" customWidth="1"/>
    <col min="7" max="7" width="7.42578125" style="52" customWidth="1"/>
    <col min="8" max="8" width="8.28515625" style="52" customWidth="1"/>
    <col min="9" max="9" width="1" style="52" customWidth="1"/>
    <col min="10" max="10" width="10.5703125" style="52" customWidth="1"/>
    <col min="11" max="11" width="42.42578125" style="52" bestFit="1" customWidth="1"/>
    <col min="12" max="12" width="8" style="52" customWidth="1"/>
    <col min="13" max="13" width="8.5703125" style="52" customWidth="1"/>
    <col min="14" max="14" width="8.42578125" style="52" customWidth="1"/>
    <col min="15" max="15" width="7.5703125" style="52" customWidth="1"/>
    <col min="16" max="16" width="11" style="1070" customWidth="1"/>
    <col min="17" max="17" width="11.5703125" style="1070" customWidth="1"/>
    <col min="18" max="16384" width="9.140625" style="52"/>
  </cols>
  <sheetData>
    <row r="1" spans="1:18" x14ac:dyDescent="0.2">
      <c r="A1" s="1070"/>
      <c r="B1" s="1070"/>
      <c r="C1" s="1070"/>
      <c r="N1" s="152" t="s">
        <v>301</v>
      </c>
      <c r="P1" s="1675">
        <v>0</v>
      </c>
      <c r="Q1" s="1675"/>
      <c r="R1" s="1070"/>
    </row>
    <row r="2" spans="1:18" x14ac:dyDescent="0.2">
      <c r="A2" s="1070"/>
      <c r="B2" s="1070"/>
      <c r="C2" s="1070"/>
      <c r="N2" s="152" t="s">
        <v>302</v>
      </c>
      <c r="P2" s="1676"/>
      <c r="Q2" s="1676"/>
      <c r="R2" s="1070"/>
    </row>
    <row r="3" spans="1:18" x14ac:dyDescent="0.2">
      <c r="A3" s="1070"/>
      <c r="B3" s="1070"/>
      <c r="C3" s="1070"/>
      <c r="N3" s="152" t="s">
        <v>303</v>
      </c>
      <c r="P3" s="1676"/>
      <c r="Q3" s="1676"/>
      <c r="R3" s="1070"/>
    </row>
    <row r="4" spans="1:18" x14ac:dyDescent="0.2">
      <c r="A4" s="1070"/>
      <c r="B4" s="1070"/>
      <c r="C4" s="1070"/>
      <c r="N4" s="152" t="s">
        <v>304</v>
      </c>
      <c r="P4" s="1676"/>
      <c r="Q4" s="1676"/>
      <c r="R4" s="1070"/>
    </row>
    <row r="5" spans="1:18" x14ac:dyDescent="0.2">
      <c r="A5" s="1070"/>
      <c r="B5" s="1070"/>
      <c r="C5" s="1070"/>
      <c r="N5" s="152" t="s">
        <v>305</v>
      </c>
      <c r="P5" s="1677"/>
      <c r="Q5" s="1677"/>
      <c r="R5" s="1070"/>
    </row>
    <row r="6" spans="1:18" ht="9" customHeight="1" x14ac:dyDescent="0.2">
      <c r="A6" s="1070"/>
      <c r="B6" s="1070"/>
      <c r="C6" s="1070"/>
      <c r="N6" s="152"/>
      <c r="P6" s="1092"/>
      <c r="R6" s="1070"/>
    </row>
    <row r="7" spans="1:18" x14ac:dyDescent="0.2">
      <c r="A7" s="1070"/>
      <c r="B7" s="1070"/>
      <c r="C7" s="1070"/>
      <c r="N7" s="152" t="s">
        <v>306</v>
      </c>
      <c r="P7" s="1677"/>
      <c r="Q7" s="1677"/>
      <c r="R7" s="1070"/>
    </row>
    <row r="8" spans="1:18" ht="9" customHeight="1" x14ac:dyDescent="0.2">
      <c r="A8" s="1070"/>
      <c r="B8" s="1070"/>
      <c r="C8" s="1070"/>
      <c r="I8" s="159"/>
    </row>
    <row r="9" spans="1:18" ht="20.25" customHeight="1" x14ac:dyDescent="0.2">
      <c r="A9" s="1679" t="s">
        <v>504</v>
      </c>
      <c r="B9" s="1679"/>
      <c r="C9" s="1679"/>
      <c r="D9" s="1679"/>
      <c r="E9" s="1679"/>
      <c r="F9" s="1679"/>
      <c r="G9" s="1679"/>
      <c r="H9" s="1679"/>
      <c r="I9" s="1679"/>
      <c r="J9" s="1679"/>
      <c r="K9" s="1679"/>
      <c r="L9" s="1679"/>
      <c r="M9" s="1679"/>
      <c r="N9" s="1679"/>
      <c r="O9" s="1679"/>
      <c r="P9" s="1679"/>
      <c r="Q9" s="1679"/>
    </row>
    <row r="10" spans="1:18" ht="18" customHeight="1" x14ac:dyDescent="0.2">
      <c r="A10" s="1680" t="s">
        <v>505</v>
      </c>
      <c r="B10" s="1680"/>
      <c r="C10" s="1680"/>
      <c r="D10" s="1680"/>
      <c r="E10" s="1680"/>
      <c r="F10" s="1680"/>
      <c r="G10" s="1680"/>
      <c r="H10" s="1680"/>
      <c r="I10" s="1680"/>
      <c r="J10" s="1680"/>
      <c r="K10" s="1680"/>
      <c r="L10" s="1680"/>
      <c r="M10" s="1680"/>
      <c r="N10" s="1680"/>
      <c r="O10" s="1680"/>
      <c r="P10" s="1680"/>
      <c r="Q10" s="1680"/>
    </row>
    <row r="11" spans="1:18" ht="18" customHeight="1" x14ac:dyDescent="0.2">
      <c r="A11" s="1629" t="s">
        <v>861</v>
      </c>
      <c r="B11" s="1629"/>
      <c r="C11" s="1629"/>
      <c r="D11" s="1629"/>
      <c r="E11" s="1629"/>
      <c r="F11" s="1629"/>
      <c r="G11" s="1629"/>
      <c r="H11" s="1629"/>
      <c r="I11" s="1629"/>
      <c r="J11" s="1629"/>
      <c r="K11" s="1629"/>
      <c r="L11" s="1629"/>
      <c r="M11" s="1629"/>
      <c r="N11" s="1629"/>
      <c r="O11" s="1629"/>
      <c r="P11" s="1629"/>
      <c r="Q11" s="1629"/>
    </row>
    <row r="12" spans="1:18" ht="18" customHeight="1" x14ac:dyDescent="0.2">
      <c r="A12" s="1055"/>
      <c r="B12" s="1055"/>
      <c r="C12" s="1055"/>
      <c r="D12" s="1055"/>
      <c r="E12" s="1055"/>
      <c r="F12" s="1055"/>
      <c r="G12" s="1055"/>
      <c r="H12" s="1055"/>
      <c r="I12" s="1052"/>
      <c r="J12" s="205"/>
      <c r="K12" s="206"/>
      <c r="L12" s="206"/>
      <c r="M12" s="206"/>
      <c r="N12" s="206"/>
    </row>
    <row r="13" spans="1:18" ht="18" customHeight="1" x14ac:dyDescent="0.2">
      <c r="A13" s="1055"/>
      <c r="B13" s="1055"/>
      <c r="C13" s="1055"/>
      <c r="D13" s="1055"/>
      <c r="E13" s="1055"/>
      <c r="F13" s="1055"/>
      <c r="G13" s="1055"/>
      <c r="H13" s="1055"/>
      <c r="I13" s="1052"/>
      <c r="J13" s="205"/>
      <c r="K13" s="206"/>
      <c r="L13" s="206"/>
      <c r="M13" s="206"/>
      <c r="N13" s="206"/>
    </row>
    <row r="14" spans="1:18" ht="15.75" customHeight="1" x14ac:dyDescent="0.2"/>
    <row r="15" spans="1:18" ht="33.75" customHeight="1" x14ac:dyDescent="0.2">
      <c r="A15" s="57"/>
      <c r="B15" s="57"/>
      <c r="C15" s="1626" t="s">
        <v>799</v>
      </c>
      <c r="D15" s="1626"/>
      <c r="E15" s="1626"/>
      <c r="F15" s="1626" t="s">
        <v>800</v>
      </c>
      <c r="G15" s="1626"/>
      <c r="H15" s="1678"/>
      <c r="I15" s="207"/>
      <c r="J15" s="1627" t="s">
        <v>801</v>
      </c>
      <c r="K15" s="1627" t="s">
        <v>802</v>
      </c>
      <c r="L15" s="1625" t="s">
        <v>491</v>
      </c>
      <c r="M15" s="1625"/>
      <c r="N15" s="1623" t="s">
        <v>12</v>
      </c>
      <c r="O15" s="1623"/>
      <c r="P15" s="1625" t="s">
        <v>883</v>
      </c>
      <c r="Q15" s="1625"/>
    </row>
    <row r="16" spans="1:18" ht="30.75" thickBot="1" x14ac:dyDescent="0.25">
      <c r="A16" s="1056" t="s">
        <v>804</v>
      </c>
      <c r="B16" s="1056" t="s">
        <v>777</v>
      </c>
      <c r="C16" s="1681" t="s">
        <v>778</v>
      </c>
      <c r="D16" s="1681"/>
      <c r="E16" s="1681"/>
      <c r="F16" s="1415" t="s">
        <v>780</v>
      </c>
      <c r="G16" s="1415" t="s">
        <v>490</v>
      </c>
      <c r="H16" s="1416" t="s">
        <v>781</v>
      </c>
      <c r="I16" s="208"/>
      <c r="J16" s="1628"/>
      <c r="K16" s="1628"/>
      <c r="L16" s="209" t="s">
        <v>6</v>
      </c>
      <c r="M16" s="209" t="s">
        <v>13</v>
      </c>
      <c r="N16" s="210" t="s">
        <v>6</v>
      </c>
      <c r="O16" s="211" t="s">
        <v>13</v>
      </c>
      <c r="P16" s="1053" t="s">
        <v>884</v>
      </c>
      <c r="Q16" s="1053" t="s">
        <v>885</v>
      </c>
    </row>
    <row r="17" spans="1:17" x14ac:dyDescent="0.2">
      <c r="A17" s="1664" t="s">
        <v>766</v>
      </c>
      <c r="B17" s="1666">
        <v>1</v>
      </c>
      <c r="C17" s="1668" t="s">
        <v>776</v>
      </c>
      <c r="D17" s="1669" t="s">
        <v>770</v>
      </c>
      <c r="E17" s="1669"/>
      <c r="F17" s="1057">
        <v>35</v>
      </c>
      <c r="G17" s="1057">
        <v>45</v>
      </c>
      <c r="H17" s="212">
        <v>75</v>
      </c>
      <c r="I17" s="213"/>
      <c r="J17" s="214">
        <v>1830</v>
      </c>
      <c r="K17" s="215" t="s">
        <v>1419</v>
      </c>
      <c r="L17" s="53">
        <v>45</v>
      </c>
      <c r="M17" s="216">
        <f>IF(ISERROR(1/L17), "", 1/L17)</f>
        <v>2.2222222222222223E-2</v>
      </c>
      <c r="N17" s="53">
        <v>45</v>
      </c>
      <c r="O17" s="217">
        <f>IF(ISERROR(1/N17), "", 1/N17)</f>
        <v>2.2222222222222223E-2</v>
      </c>
      <c r="P17" s="187" t="str">
        <f>IF(ISBLANK(N17),"",IF(N17&lt;F17,"Yes","No"))</f>
        <v>No</v>
      </c>
      <c r="Q17" s="187" t="str">
        <f>IF(ISBLANK(N17),"",IF(N17&gt;H17,"Yes","No"))</f>
        <v>No</v>
      </c>
    </row>
    <row r="18" spans="1:17" x14ac:dyDescent="0.2">
      <c r="A18" s="1665"/>
      <c r="B18" s="1667"/>
      <c r="C18" s="1654"/>
      <c r="D18" s="1654" t="s">
        <v>767</v>
      </c>
      <c r="E18" s="1060" t="s">
        <v>771</v>
      </c>
      <c r="F18" s="1058">
        <v>20</v>
      </c>
      <c r="G18" s="1058">
        <v>40</v>
      </c>
      <c r="H18" s="218">
        <v>55</v>
      </c>
      <c r="I18" s="213"/>
      <c r="J18" s="214"/>
      <c r="K18" s="215"/>
      <c r="L18" s="53"/>
      <c r="M18" s="216" t="str">
        <f t="shared" ref="M18:M70" si="0">IF(ISERROR(1/L18), "", 1/L18)</f>
        <v/>
      </c>
      <c r="N18" s="53"/>
      <c r="O18" s="217" t="str">
        <f t="shared" ref="O18:O70" si="1">IF(ISERROR(1/N18), "", 1/N18)</f>
        <v/>
      </c>
      <c r="P18" s="187" t="str">
        <f t="shared" ref="P18:P70" si="2">IF(ISBLANK(N18),"",IF(N18&lt;F18,"Yes","No"))</f>
        <v/>
      </c>
      <c r="Q18" s="187" t="str">
        <f t="shared" ref="Q18:Q70" si="3">IF(ISBLANK(N18),"",IF(N18&gt;H18,"Yes","No"))</f>
        <v/>
      </c>
    </row>
    <row r="19" spans="1:17" x14ac:dyDescent="0.2">
      <c r="A19" s="1665"/>
      <c r="B19" s="1667"/>
      <c r="C19" s="1654"/>
      <c r="D19" s="1654"/>
      <c r="E19" s="1060" t="s">
        <v>772</v>
      </c>
      <c r="F19" s="1058">
        <v>30</v>
      </c>
      <c r="G19" s="1058">
        <v>70</v>
      </c>
      <c r="H19" s="218">
        <v>95</v>
      </c>
      <c r="I19" s="213"/>
      <c r="J19" s="214"/>
      <c r="K19" s="215"/>
      <c r="L19" s="53"/>
      <c r="M19" s="216" t="str">
        <f t="shared" si="0"/>
        <v/>
      </c>
      <c r="N19" s="53"/>
      <c r="O19" s="217" t="str">
        <f t="shared" si="1"/>
        <v/>
      </c>
      <c r="P19" s="187" t="str">
        <f t="shared" si="2"/>
        <v/>
      </c>
      <c r="Q19" s="187" t="str">
        <f t="shared" si="3"/>
        <v/>
      </c>
    </row>
    <row r="20" spans="1:17" x14ac:dyDescent="0.2">
      <c r="A20" s="1665"/>
      <c r="B20" s="1667">
        <v>2</v>
      </c>
      <c r="C20" s="1654" t="s">
        <v>779</v>
      </c>
      <c r="D20" s="1671" t="s">
        <v>770</v>
      </c>
      <c r="E20" s="1671"/>
      <c r="F20" s="1058">
        <v>50</v>
      </c>
      <c r="G20" s="1058">
        <v>60</v>
      </c>
      <c r="H20" s="218">
        <v>80</v>
      </c>
      <c r="I20" s="213"/>
      <c r="J20" s="214"/>
      <c r="K20" s="215"/>
      <c r="L20" s="53"/>
      <c r="M20" s="216" t="str">
        <f t="shared" si="0"/>
        <v/>
      </c>
      <c r="N20" s="53"/>
      <c r="O20" s="217" t="str">
        <f t="shared" si="1"/>
        <v/>
      </c>
      <c r="P20" s="187" t="str">
        <f t="shared" si="2"/>
        <v/>
      </c>
      <c r="Q20" s="187" t="str">
        <f t="shared" si="3"/>
        <v/>
      </c>
    </row>
    <row r="21" spans="1:17" x14ac:dyDescent="0.2">
      <c r="A21" s="1665"/>
      <c r="B21" s="1667"/>
      <c r="C21" s="1654"/>
      <c r="D21" s="1654" t="s">
        <v>767</v>
      </c>
      <c r="E21" s="1060" t="s">
        <v>771</v>
      </c>
      <c r="F21" s="1058">
        <v>20</v>
      </c>
      <c r="G21" s="1058">
        <v>40</v>
      </c>
      <c r="H21" s="218">
        <v>55</v>
      </c>
      <c r="I21" s="213"/>
      <c r="J21" s="214"/>
      <c r="K21" s="215"/>
      <c r="L21" s="53"/>
      <c r="M21" s="216" t="str">
        <f t="shared" si="0"/>
        <v/>
      </c>
      <c r="N21" s="53"/>
      <c r="O21" s="217" t="str">
        <f t="shared" si="1"/>
        <v/>
      </c>
      <c r="P21" s="187" t="str">
        <f t="shared" si="2"/>
        <v/>
      </c>
      <c r="Q21" s="187" t="str">
        <f t="shared" si="3"/>
        <v/>
      </c>
    </row>
    <row r="22" spans="1:17" x14ac:dyDescent="0.2">
      <c r="A22" s="1665"/>
      <c r="B22" s="1667"/>
      <c r="C22" s="1654"/>
      <c r="D22" s="1654"/>
      <c r="E22" s="1060" t="s">
        <v>772</v>
      </c>
      <c r="F22" s="1058">
        <v>30</v>
      </c>
      <c r="G22" s="1058">
        <v>70</v>
      </c>
      <c r="H22" s="218">
        <v>95</v>
      </c>
      <c r="I22" s="213"/>
      <c r="J22" s="214"/>
      <c r="K22" s="215"/>
      <c r="L22" s="53"/>
      <c r="M22" s="216" t="str">
        <f t="shared" si="0"/>
        <v/>
      </c>
      <c r="N22" s="53"/>
      <c r="O22" s="217" t="str">
        <f t="shared" si="1"/>
        <v/>
      </c>
      <c r="P22" s="187" t="str">
        <f t="shared" si="2"/>
        <v/>
      </c>
      <c r="Q22" s="187" t="str">
        <f t="shared" si="3"/>
        <v/>
      </c>
    </row>
    <row r="23" spans="1:17" x14ac:dyDescent="0.2">
      <c r="A23" s="1665"/>
      <c r="B23" s="1667">
        <v>3</v>
      </c>
      <c r="C23" s="1654" t="s">
        <v>769</v>
      </c>
      <c r="D23" s="1671" t="s">
        <v>770</v>
      </c>
      <c r="E23" s="1671"/>
      <c r="F23" s="1058">
        <v>60</v>
      </c>
      <c r="G23" s="1058">
        <v>60</v>
      </c>
      <c r="H23" s="218">
        <v>80</v>
      </c>
      <c r="I23" s="213"/>
      <c r="J23" s="214"/>
      <c r="K23" s="215"/>
      <c r="L23" s="53"/>
      <c r="M23" s="216" t="str">
        <f t="shared" si="0"/>
        <v/>
      </c>
      <c r="N23" s="53"/>
      <c r="O23" s="217" t="str">
        <f t="shared" si="1"/>
        <v/>
      </c>
      <c r="P23" s="187" t="str">
        <f t="shared" si="2"/>
        <v/>
      </c>
      <c r="Q23" s="187" t="str">
        <f t="shared" si="3"/>
        <v/>
      </c>
    </row>
    <row r="24" spans="1:17" x14ac:dyDescent="0.2">
      <c r="A24" s="1665"/>
      <c r="B24" s="1667"/>
      <c r="C24" s="1654"/>
      <c r="D24" s="1654" t="s">
        <v>767</v>
      </c>
      <c r="E24" s="1060" t="s">
        <v>771</v>
      </c>
      <c r="F24" s="1058">
        <v>20</v>
      </c>
      <c r="G24" s="1058">
        <v>40</v>
      </c>
      <c r="H24" s="218">
        <v>55</v>
      </c>
      <c r="I24" s="213"/>
      <c r="J24" s="214"/>
      <c r="K24" s="215"/>
      <c r="L24" s="53"/>
      <c r="M24" s="216" t="str">
        <f t="shared" si="0"/>
        <v/>
      </c>
      <c r="N24" s="53"/>
      <c r="O24" s="217" t="str">
        <f t="shared" si="1"/>
        <v/>
      </c>
      <c r="P24" s="187" t="str">
        <f t="shared" si="2"/>
        <v/>
      </c>
      <c r="Q24" s="187" t="str">
        <f t="shared" si="3"/>
        <v/>
      </c>
    </row>
    <row r="25" spans="1:17" x14ac:dyDescent="0.2">
      <c r="A25" s="1665"/>
      <c r="B25" s="1667"/>
      <c r="C25" s="1654"/>
      <c r="D25" s="1654"/>
      <c r="E25" s="1060" t="s">
        <v>772</v>
      </c>
      <c r="F25" s="1058">
        <v>30</v>
      </c>
      <c r="G25" s="1058">
        <v>70</v>
      </c>
      <c r="H25" s="218">
        <v>95</v>
      </c>
      <c r="I25" s="213"/>
      <c r="J25" s="214"/>
      <c r="K25" s="215"/>
      <c r="L25" s="53"/>
      <c r="M25" s="216" t="str">
        <f t="shared" si="0"/>
        <v/>
      </c>
      <c r="N25" s="53"/>
      <c r="O25" s="217" t="str">
        <f t="shared" si="1"/>
        <v/>
      </c>
      <c r="P25" s="187" t="str">
        <f t="shared" si="2"/>
        <v/>
      </c>
      <c r="Q25" s="187" t="str">
        <f t="shared" si="3"/>
        <v/>
      </c>
    </row>
    <row r="26" spans="1:17" x14ac:dyDescent="0.2">
      <c r="A26" s="1665"/>
      <c r="B26" s="1058">
        <v>4</v>
      </c>
      <c r="C26" s="1638" t="s">
        <v>782</v>
      </c>
      <c r="D26" s="1670"/>
      <c r="E26" s="1639"/>
      <c r="F26" s="1058">
        <v>30</v>
      </c>
      <c r="G26" s="1058">
        <v>45</v>
      </c>
      <c r="H26" s="218">
        <v>55</v>
      </c>
      <c r="I26" s="213"/>
      <c r="J26" s="214"/>
      <c r="K26" s="215"/>
      <c r="L26" s="53"/>
      <c r="M26" s="216" t="str">
        <f t="shared" si="0"/>
        <v/>
      </c>
      <c r="N26" s="53"/>
      <c r="O26" s="217" t="str">
        <f t="shared" si="1"/>
        <v/>
      </c>
      <c r="P26" s="187" t="str">
        <f t="shared" si="2"/>
        <v/>
      </c>
      <c r="Q26" s="187" t="str">
        <f t="shared" si="3"/>
        <v/>
      </c>
    </row>
    <row r="27" spans="1:17" x14ac:dyDescent="0.2">
      <c r="A27" s="1665"/>
      <c r="B27" s="1058">
        <v>5</v>
      </c>
      <c r="C27" s="1638" t="s">
        <v>783</v>
      </c>
      <c r="D27" s="1670"/>
      <c r="E27" s="1639"/>
      <c r="F27" s="1058">
        <v>15</v>
      </c>
      <c r="G27" s="1058">
        <v>25</v>
      </c>
      <c r="H27" s="218">
        <v>25</v>
      </c>
      <c r="I27" s="213"/>
      <c r="J27" s="214"/>
      <c r="K27" s="215"/>
      <c r="L27" s="53"/>
      <c r="M27" s="216" t="str">
        <f t="shared" si="0"/>
        <v/>
      </c>
      <c r="N27" s="53"/>
      <c r="O27" s="217" t="str">
        <f t="shared" si="1"/>
        <v/>
      </c>
      <c r="P27" s="187" t="str">
        <f t="shared" si="2"/>
        <v/>
      </c>
      <c r="Q27" s="187" t="str">
        <f t="shared" si="3"/>
        <v/>
      </c>
    </row>
    <row r="28" spans="1:17" x14ac:dyDescent="0.2">
      <c r="A28" s="1665"/>
      <c r="B28" s="1058">
        <v>6</v>
      </c>
      <c r="C28" s="1638" t="s">
        <v>784</v>
      </c>
      <c r="D28" s="1670"/>
      <c r="E28" s="1639"/>
      <c r="F28" s="1058">
        <v>15</v>
      </c>
      <c r="G28" s="1058">
        <v>20</v>
      </c>
      <c r="H28" s="218">
        <v>20</v>
      </c>
      <c r="I28" s="213"/>
      <c r="J28" s="214"/>
      <c r="K28" s="215"/>
      <c r="L28" s="53"/>
      <c r="M28" s="216" t="str">
        <f t="shared" si="0"/>
        <v/>
      </c>
      <c r="N28" s="53"/>
      <c r="O28" s="217" t="str">
        <f t="shared" si="1"/>
        <v/>
      </c>
      <c r="P28" s="187" t="str">
        <f t="shared" si="2"/>
        <v/>
      </c>
      <c r="Q28" s="187" t="str">
        <f t="shared" si="3"/>
        <v/>
      </c>
    </row>
    <row r="29" spans="1:17" x14ac:dyDescent="0.2">
      <c r="A29" s="1665"/>
      <c r="B29" s="1058">
        <v>7</v>
      </c>
      <c r="C29" s="1638" t="s">
        <v>785</v>
      </c>
      <c r="D29" s="1670"/>
      <c r="E29" s="1639"/>
      <c r="F29" s="1058">
        <v>35</v>
      </c>
      <c r="G29" s="1058">
        <v>45</v>
      </c>
      <c r="H29" s="218">
        <v>60</v>
      </c>
      <c r="I29" s="213"/>
      <c r="J29" s="214"/>
      <c r="K29" s="215"/>
      <c r="L29" s="53"/>
      <c r="M29" s="216" t="str">
        <f t="shared" si="0"/>
        <v/>
      </c>
      <c r="N29" s="53"/>
      <c r="O29" s="217" t="str">
        <f t="shared" si="1"/>
        <v/>
      </c>
      <c r="P29" s="187" t="str">
        <f t="shared" si="2"/>
        <v/>
      </c>
      <c r="Q29" s="187" t="str">
        <f t="shared" si="3"/>
        <v/>
      </c>
    </row>
    <row r="30" spans="1:17" x14ac:dyDescent="0.2">
      <c r="A30" s="1665"/>
      <c r="B30" s="1058">
        <v>8</v>
      </c>
      <c r="C30" s="1638" t="s">
        <v>786</v>
      </c>
      <c r="D30" s="1670"/>
      <c r="E30" s="1639"/>
      <c r="F30" s="1058">
        <v>50</v>
      </c>
      <c r="G30" s="1058">
        <v>60</v>
      </c>
      <c r="H30" s="218">
        <v>75</v>
      </c>
      <c r="I30" s="213"/>
      <c r="J30" s="214">
        <v>1835</v>
      </c>
      <c r="K30" s="215" t="s">
        <v>1420</v>
      </c>
      <c r="L30" s="53">
        <v>60</v>
      </c>
      <c r="M30" s="216">
        <f t="shared" si="0"/>
        <v>1.6666666666666666E-2</v>
      </c>
      <c r="N30" s="53">
        <v>60</v>
      </c>
      <c r="O30" s="217">
        <f t="shared" si="1"/>
        <v>1.6666666666666666E-2</v>
      </c>
      <c r="P30" s="187" t="str">
        <f t="shared" si="2"/>
        <v>No</v>
      </c>
      <c r="Q30" s="187" t="str">
        <f t="shared" si="3"/>
        <v>No</v>
      </c>
    </row>
    <row r="31" spans="1:17" x14ac:dyDescent="0.2">
      <c r="A31" s="1665"/>
      <c r="B31" s="1058">
        <v>9</v>
      </c>
      <c r="C31" s="1638" t="s">
        <v>787</v>
      </c>
      <c r="D31" s="1670"/>
      <c r="E31" s="1639"/>
      <c r="F31" s="1058">
        <v>30</v>
      </c>
      <c r="G31" s="1058">
        <v>40</v>
      </c>
      <c r="H31" s="218">
        <v>60</v>
      </c>
      <c r="I31" s="213"/>
      <c r="J31" s="214">
        <v>1850</v>
      </c>
      <c r="K31" s="215" t="s">
        <v>1417</v>
      </c>
      <c r="L31" s="53">
        <v>40</v>
      </c>
      <c r="M31" s="216">
        <f t="shared" si="0"/>
        <v>2.5000000000000001E-2</v>
      </c>
      <c r="N31" s="53">
        <v>40</v>
      </c>
      <c r="O31" s="217">
        <f t="shared" si="1"/>
        <v>2.5000000000000001E-2</v>
      </c>
      <c r="P31" s="187" t="str">
        <f t="shared" si="2"/>
        <v>No</v>
      </c>
      <c r="Q31" s="187" t="str">
        <f t="shared" si="3"/>
        <v>No</v>
      </c>
    </row>
    <row r="32" spans="1:17" x14ac:dyDescent="0.2">
      <c r="A32" s="1665"/>
      <c r="B32" s="1058">
        <v>10</v>
      </c>
      <c r="C32" s="1638" t="s">
        <v>788</v>
      </c>
      <c r="D32" s="1670"/>
      <c r="E32" s="1639"/>
      <c r="F32" s="1058">
        <v>25</v>
      </c>
      <c r="G32" s="1058">
        <v>30</v>
      </c>
      <c r="H32" s="218">
        <v>40</v>
      </c>
      <c r="I32" s="213"/>
      <c r="J32" s="214"/>
      <c r="K32" s="215"/>
      <c r="L32" s="53"/>
      <c r="M32" s="216" t="str">
        <f t="shared" si="0"/>
        <v/>
      </c>
      <c r="N32" s="53"/>
      <c r="O32" s="217" t="str">
        <f t="shared" si="1"/>
        <v/>
      </c>
      <c r="P32" s="187" t="str">
        <f t="shared" si="2"/>
        <v/>
      </c>
      <c r="Q32" s="187" t="str">
        <f t="shared" si="3"/>
        <v/>
      </c>
    </row>
    <row r="33" spans="1:17" ht="13.5" thickBot="1" x14ac:dyDescent="0.25">
      <c r="A33" s="1665"/>
      <c r="B33" s="1062">
        <v>11</v>
      </c>
      <c r="C33" s="1672" t="s">
        <v>789</v>
      </c>
      <c r="D33" s="1673"/>
      <c r="E33" s="1674"/>
      <c r="F33" s="1062">
        <v>25</v>
      </c>
      <c r="G33" s="1062">
        <v>40</v>
      </c>
      <c r="H33" s="219">
        <v>55</v>
      </c>
      <c r="I33" s="213"/>
      <c r="J33" s="214"/>
      <c r="K33" s="215"/>
      <c r="L33" s="53"/>
      <c r="M33" s="216" t="str">
        <f t="shared" si="0"/>
        <v/>
      </c>
      <c r="N33" s="53"/>
      <c r="O33" s="217" t="str">
        <f t="shared" si="1"/>
        <v/>
      </c>
      <c r="P33" s="187" t="str">
        <f t="shared" si="2"/>
        <v/>
      </c>
      <c r="Q33" s="187" t="str">
        <f t="shared" si="3"/>
        <v/>
      </c>
    </row>
    <row r="34" spans="1:17" x14ac:dyDescent="0.2">
      <c r="A34" s="1643" t="s">
        <v>768</v>
      </c>
      <c r="B34" s="1660">
        <v>12</v>
      </c>
      <c r="C34" s="1661" t="s">
        <v>790</v>
      </c>
      <c r="D34" s="1646" t="s">
        <v>770</v>
      </c>
      <c r="E34" s="1662"/>
      <c r="F34" s="1057">
        <v>30</v>
      </c>
      <c r="G34" s="1057">
        <v>45</v>
      </c>
      <c r="H34" s="212">
        <v>60</v>
      </c>
      <c r="I34" s="213"/>
      <c r="J34" s="214"/>
      <c r="K34" s="215"/>
      <c r="L34" s="53"/>
      <c r="M34" s="216" t="str">
        <f t="shared" si="0"/>
        <v/>
      </c>
      <c r="N34" s="53"/>
      <c r="O34" s="217" t="str">
        <f t="shared" si="1"/>
        <v/>
      </c>
      <c r="P34" s="187" t="str">
        <f t="shared" si="2"/>
        <v/>
      </c>
      <c r="Q34" s="187" t="str">
        <f t="shared" si="3"/>
        <v/>
      </c>
    </row>
    <row r="35" spans="1:17" x14ac:dyDescent="0.2">
      <c r="A35" s="1658"/>
      <c r="B35" s="1620"/>
      <c r="C35" s="1655"/>
      <c r="D35" s="1611" t="s">
        <v>791</v>
      </c>
      <c r="E35" s="1613"/>
      <c r="F35" s="1058">
        <v>10</v>
      </c>
      <c r="G35" s="1058">
        <v>20</v>
      </c>
      <c r="H35" s="218">
        <v>30</v>
      </c>
      <c r="I35" s="213"/>
      <c r="J35" s="214"/>
      <c r="K35" s="215"/>
      <c r="L35" s="53"/>
      <c r="M35" s="216" t="str">
        <f t="shared" si="0"/>
        <v/>
      </c>
      <c r="N35" s="53"/>
      <c r="O35" s="217" t="str">
        <f t="shared" si="1"/>
        <v/>
      </c>
      <c r="P35" s="187" t="str">
        <f t="shared" si="2"/>
        <v/>
      </c>
      <c r="Q35" s="187" t="str">
        <f t="shared" si="3"/>
        <v/>
      </c>
    </row>
    <row r="36" spans="1:17" x14ac:dyDescent="0.2">
      <c r="A36" s="1658"/>
      <c r="B36" s="1617"/>
      <c r="C36" s="1655"/>
      <c r="D36" s="1611" t="s">
        <v>792</v>
      </c>
      <c r="E36" s="1613"/>
      <c r="F36" s="1058">
        <v>20</v>
      </c>
      <c r="G36" s="1058">
        <v>30</v>
      </c>
      <c r="H36" s="218">
        <v>60</v>
      </c>
      <c r="I36" s="213"/>
      <c r="J36" s="214"/>
      <c r="K36" s="215"/>
      <c r="L36" s="53"/>
      <c r="M36" s="216" t="str">
        <f t="shared" si="0"/>
        <v/>
      </c>
      <c r="N36" s="53"/>
      <c r="O36" s="217" t="str">
        <f t="shared" si="1"/>
        <v/>
      </c>
      <c r="P36" s="187" t="str">
        <f t="shared" si="2"/>
        <v/>
      </c>
      <c r="Q36" s="187" t="str">
        <f t="shared" si="3"/>
        <v/>
      </c>
    </row>
    <row r="37" spans="1:17" x14ac:dyDescent="0.2">
      <c r="A37" s="1658"/>
      <c r="B37" s="187">
        <v>13</v>
      </c>
      <c r="C37" s="1663" t="s">
        <v>773</v>
      </c>
      <c r="D37" s="1649"/>
      <c r="E37" s="1650"/>
      <c r="F37" s="1058">
        <v>30</v>
      </c>
      <c r="G37" s="1058">
        <v>45</v>
      </c>
      <c r="H37" s="218">
        <v>55</v>
      </c>
      <c r="I37" s="213"/>
      <c r="J37" s="214">
        <v>1820</v>
      </c>
      <c r="K37" s="215" t="s">
        <v>1418</v>
      </c>
      <c r="L37" s="53">
        <v>30</v>
      </c>
      <c r="M37" s="216">
        <f t="shared" si="0"/>
        <v>3.3333333333333333E-2</v>
      </c>
      <c r="N37" s="53">
        <v>30</v>
      </c>
      <c r="O37" s="217">
        <f t="shared" si="1"/>
        <v>3.3333333333333333E-2</v>
      </c>
      <c r="P37" s="187" t="str">
        <f t="shared" si="2"/>
        <v>No</v>
      </c>
      <c r="Q37" s="187" t="str">
        <f t="shared" si="3"/>
        <v>No</v>
      </c>
    </row>
    <row r="38" spans="1:17" x14ac:dyDescent="0.2">
      <c r="A38" s="1658"/>
      <c r="B38" s="187">
        <v>14</v>
      </c>
      <c r="C38" s="1663" t="s">
        <v>793</v>
      </c>
      <c r="D38" s="1649"/>
      <c r="E38" s="1650"/>
      <c r="F38" s="1058">
        <v>30</v>
      </c>
      <c r="G38" s="1058">
        <v>40</v>
      </c>
      <c r="H38" s="218">
        <v>40</v>
      </c>
      <c r="I38" s="213"/>
      <c r="J38" s="214"/>
      <c r="K38" s="215"/>
      <c r="L38" s="53"/>
      <c r="M38" s="216" t="str">
        <f t="shared" si="0"/>
        <v/>
      </c>
      <c r="N38" s="53"/>
      <c r="O38" s="217" t="str">
        <f t="shared" si="1"/>
        <v/>
      </c>
      <c r="P38" s="187" t="str">
        <f t="shared" si="2"/>
        <v/>
      </c>
      <c r="Q38" s="187" t="str">
        <f t="shared" si="3"/>
        <v/>
      </c>
    </row>
    <row r="39" spans="1:17" x14ac:dyDescent="0.2">
      <c r="A39" s="1658"/>
      <c r="B39" s="1616">
        <v>15</v>
      </c>
      <c r="C39" s="1655" t="s">
        <v>774</v>
      </c>
      <c r="D39" s="1611" t="s">
        <v>770</v>
      </c>
      <c r="E39" s="1613"/>
      <c r="F39" s="1058">
        <v>10</v>
      </c>
      <c r="G39" s="1058">
        <v>20</v>
      </c>
      <c r="H39" s="218">
        <v>30</v>
      </c>
      <c r="I39" s="213"/>
      <c r="J39" s="214"/>
      <c r="K39" s="215"/>
      <c r="L39" s="53"/>
      <c r="M39" s="216" t="str">
        <f t="shared" si="0"/>
        <v/>
      </c>
      <c r="N39" s="53"/>
      <c r="O39" s="217" t="str">
        <f t="shared" si="1"/>
        <v/>
      </c>
      <c r="P39" s="187" t="str">
        <f t="shared" si="2"/>
        <v/>
      </c>
      <c r="Q39" s="187" t="str">
        <f t="shared" si="3"/>
        <v/>
      </c>
    </row>
    <row r="40" spans="1:17" x14ac:dyDescent="0.2">
      <c r="A40" s="1658"/>
      <c r="B40" s="1620"/>
      <c r="C40" s="1655"/>
      <c r="D40" s="1611" t="s">
        <v>794</v>
      </c>
      <c r="E40" s="1613"/>
      <c r="F40" s="1058">
        <v>10</v>
      </c>
      <c r="G40" s="1058">
        <v>15</v>
      </c>
      <c r="H40" s="218">
        <v>15</v>
      </c>
      <c r="I40" s="213"/>
      <c r="J40" s="214"/>
      <c r="K40" s="215"/>
      <c r="L40" s="53"/>
      <c r="M40" s="216" t="str">
        <f t="shared" si="0"/>
        <v/>
      </c>
      <c r="N40" s="53"/>
      <c r="O40" s="217" t="str">
        <f t="shared" si="1"/>
        <v/>
      </c>
      <c r="P40" s="187" t="str">
        <f t="shared" si="2"/>
        <v/>
      </c>
      <c r="Q40" s="187" t="str">
        <f t="shared" si="3"/>
        <v/>
      </c>
    </row>
    <row r="41" spans="1:17" x14ac:dyDescent="0.2">
      <c r="A41" s="1658"/>
      <c r="B41" s="1617"/>
      <c r="C41" s="1655"/>
      <c r="D41" s="1611" t="s">
        <v>775</v>
      </c>
      <c r="E41" s="1613"/>
      <c r="F41" s="1058">
        <v>20</v>
      </c>
      <c r="G41" s="1058">
        <v>20</v>
      </c>
      <c r="H41" s="218">
        <v>30</v>
      </c>
      <c r="I41" s="213"/>
      <c r="J41" s="214"/>
      <c r="K41" s="215"/>
      <c r="L41" s="53"/>
      <c r="M41" s="216" t="str">
        <f t="shared" si="0"/>
        <v/>
      </c>
      <c r="N41" s="53"/>
      <c r="O41" s="217" t="str">
        <f t="shared" si="1"/>
        <v/>
      </c>
      <c r="P41" s="187" t="str">
        <f t="shared" si="2"/>
        <v/>
      </c>
      <c r="Q41" s="187" t="str">
        <f t="shared" si="3"/>
        <v/>
      </c>
    </row>
    <row r="42" spans="1:17" x14ac:dyDescent="0.2">
      <c r="A42" s="1658"/>
      <c r="B42" s="1616">
        <v>16</v>
      </c>
      <c r="C42" s="188" t="s">
        <v>795</v>
      </c>
      <c r="D42" s="1611" t="s">
        <v>770</v>
      </c>
      <c r="E42" s="1613"/>
      <c r="F42" s="1058">
        <v>30</v>
      </c>
      <c r="G42" s="1058">
        <v>40</v>
      </c>
      <c r="H42" s="218">
        <v>60</v>
      </c>
      <c r="I42" s="213"/>
      <c r="J42" s="214"/>
      <c r="K42" s="215"/>
      <c r="L42" s="53"/>
      <c r="M42" s="216" t="str">
        <f t="shared" si="0"/>
        <v/>
      </c>
      <c r="N42" s="53"/>
      <c r="O42" s="217" t="str">
        <f t="shared" si="1"/>
        <v/>
      </c>
      <c r="P42" s="187" t="str">
        <f t="shared" si="2"/>
        <v/>
      </c>
      <c r="Q42" s="187" t="str">
        <f t="shared" si="3"/>
        <v/>
      </c>
    </row>
    <row r="43" spans="1:17" x14ac:dyDescent="0.2">
      <c r="A43" s="1658"/>
      <c r="B43" s="1617"/>
      <c r="C43" s="188"/>
      <c r="D43" s="1611" t="s">
        <v>796</v>
      </c>
      <c r="E43" s="1613"/>
      <c r="F43" s="1058">
        <v>25</v>
      </c>
      <c r="G43" s="1058">
        <v>40</v>
      </c>
      <c r="H43" s="218">
        <v>60</v>
      </c>
      <c r="I43" s="213"/>
      <c r="J43" s="214"/>
      <c r="K43" s="215"/>
      <c r="L43" s="53"/>
      <c r="M43" s="216" t="str">
        <f t="shared" si="0"/>
        <v/>
      </c>
      <c r="N43" s="53"/>
      <c r="O43" s="217" t="str">
        <f t="shared" si="1"/>
        <v/>
      </c>
      <c r="P43" s="187" t="str">
        <f t="shared" si="2"/>
        <v/>
      </c>
      <c r="Q43" s="187" t="str">
        <f t="shared" si="3"/>
        <v/>
      </c>
    </row>
    <row r="44" spans="1:17" x14ac:dyDescent="0.2">
      <c r="A44" s="1658"/>
      <c r="B44" s="1058">
        <v>17</v>
      </c>
      <c r="C44" s="1611" t="s">
        <v>797</v>
      </c>
      <c r="D44" s="1612"/>
      <c r="E44" s="1613"/>
      <c r="F44" s="1058">
        <v>35</v>
      </c>
      <c r="G44" s="1058">
        <v>45</v>
      </c>
      <c r="H44" s="218">
        <v>65</v>
      </c>
      <c r="I44" s="213"/>
      <c r="J44" s="214"/>
      <c r="K44" s="215"/>
      <c r="L44" s="53"/>
      <c r="M44" s="216" t="str">
        <f t="shared" si="0"/>
        <v/>
      </c>
      <c r="N44" s="53"/>
      <c r="O44" s="217" t="str">
        <f t="shared" si="1"/>
        <v/>
      </c>
      <c r="P44" s="187" t="str">
        <f t="shared" si="2"/>
        <v/>
      </c>
      <c r="Q44" s="187" t="str">
        <f t="shared" si="3"/>
        <v/>
      </c>
    </row>
    <row r="45" spans="1:17" ht="20.25" customHeight="1" x14ac:dyDescent="0.2">
      <c r="A45" s="1658"/>
      <c r="B45" s="1058">
        <v>18</v>
      </c>
      <c r="C45" s="1663" t="s">
        <v>798</v>
      </c>
      <c r="D45" s="1649"/>
      <c r="E45" s="1650"/>
      <c r="F45" s="1058">
        <v>30</v>
      </c>
      <c r="G45" s="1058">
        <v>50</v>
      </c>
      <c r="H45" s="218">
        <v>60</v>
      </c>
      <c r="I45" s="220"/>
      <c r="J45" s="214"/>
      <c r="K45" s="215"/>
      <c r="L45" s="53"/>
      <c r="M45" s="216" t="str">
        <f t="shared" si="0"/>
        <v/>
      </c>
      <c r="N45" s="53"/>
      <c r="O45" s="217" t="str">
        <f t="shared" si="1"/>
        <v/>
      </c>
      <c r="P45" s="187" t="str">
        <f t="shared" si="2"/>
        <v/>
      </c>
      <c r="Q45" s="187" t="str">
        <f t="shared" si="3"/>
        <v/>
      </c>
    </row>
    <row r="46" spans="1:17" x14ac:dyDescent="0.2">
      <c r="A46" s="1658"/>
      <c r="B46" s="1058">
        <v>19</v>
      </c>
      <c r="C46" s="1611" t="s">
        <v>805</v>
      </c>
      <c r="D46" s="1649"/>
      <c r="E46" s="1650"/>
      <c r="F46" s="1058">
        <v>25</v>
      </c>
      <c r="G46" s="1058">
        <v>35</v>
      </c>
      <c r="H46" s="218">
        <v>50</v>
      </c>
      <c r="I46" s="221"/>
      <c r="J46" s="214"/>
      <c r="K46" s="215"/>
      <c r="L46" s="53"/>
      <c r="M46" s="216" t="str">
        <f t="shared" si="0"/>
        <v/>
      </c>
      <c r="N46" s="53"/>
      <c r="O46" s="217" t="str">
        <f t="shared" si="1"/>
        <v/>
      </c>
      <c r="P46" s="187" t="str">
        <f t="shared" si="2"/>
        <v/>
      </c>
      <c r="Q46" s="187" t="str">
        <f t="shared" si="3"/>
        <v/>
      </c>
    </row>
    <row r="47" spans="1:17" x14ac:dyDescent="0.2">
      <c r="A47" s="1658"/>
      <c r="B47" s="1058">
        <v>20</v>
      </c>
      <c r="C47" s="1611" t="s">
        <v>806</v>
      </c>
      <c r="D47" s="1649"/>
      <c r="E47" s="1650"/>
      <c r="F47" s="1058">
        <v>10</v>
      </c>
      <c r="G47" s="1058">
        <v>30</v>
      </c>
      <c r="H47" s="218">
        <v>45</v>
      </c>
      <c r="I47" s="221"/>
      <c r="J47" s="214"/>
      <c r="K47" s="215"/>
      <c r="L47" s="53"/>
      <c r="M47" s="216" t="str">
        <f t="shared" si="0"/>
        <v/>
      </c>
      <c r="N47" s="53"/>
      <c r="O47" s="217" t="str">
        <f t="shared" si="1"/>
        <v/>
      </c>
      <c r="P47" s="187" t="str">
        <f t="shared" si="2"/>
        <v/>
      </c>
      <c r="Q47" s="187" t="str">
        <f t="shared" si="3"/>
        <v/>
      </c>
    </row>
    <row r="48" spans="1:17" x14ac:dyDescent="0.2">
      <c r="A48" s="1658"/>
      <c r="B48" s="1058">
        <v>21</v>
      </c>
      <c r="C48" s="1611" t="s">
        <v>807</v>
      </c>
      <c r="D48" s="1649"/>
      <c r="E48" s="1650"/>
      <c r="F48" s="1058">
        <v>15</v>
      </c>
      <c r="G48" s="1058">
        <v>20</v>
      </c>
      <c r="H48" s="218">
        <v>20</v>
      </c>
      <c r="I48" s="221"/>
      <c r="J48" s="214"/>
      <c r="K48" s="215"/>
      <c r="L48" s="53"/>
      <c r="M48" s="216" t="str">
        <f t="shared" si="0"/>
        <v/>
      </c>
      <c r="N48" s="53"/>
      <c r="O48" s="217" t="str">
        <f t="shared" si="1"/>
        <v/>
      </c>
      <c r="P48" s="187" t="str">
        <f t="shared" si="2"/>
        <v/>
      </c>
      <c r="Q48" s="187" t="str">
        <f t="shared" si="3"/>
        <v/>
      </c>
    </row>
    <row r="49" spans="1:17" x14ac:dyDescent="0.2">
      <c r="A49" s="1658"/>
      <c r="B49" s="1058">
        <v>22</v>
      </c>
      <c r="C49" s="1611" t="s">
        <v>808</v>
      </c>
      <c r="D49" s="1649"/>
      <c r="E49" s="1650"/>
      <c r="F49" s="1058">
        <v>30</v>
      </c>
      <c r="G49" s="1058">
        <v>55</v>
      </c>
      <c r="H49" s="218">
        <v>60</v>
      </c>
      <c r="I49" s="221"/>
      <c r="J49" s="214"/>
      <c r="K49" s="215"/>
      <c r="L49" s="53"/>
      <c r="M49" s="216" t="str">
        <f t="shared" si="0"/>
        <v/>
      </c>
      <c r="N49" s="53"/>
      <c r="O49" s="217" t="str">
        <f t="shared" si="1"/>
        <v/>
      </c>
      <c r="P49" s="187" t="str">
        <f t="shared" si="2"/>
        <v/>
      </c>
      <c r="Q49" s="187" t="str">
        <f t="shared" si="3"/>
        <v/>
      </c>
    </row>
    <row r="50" spans="1:17" ht="13.5" thickBot="1" x14ac:dyDescent="0.25">
      <c r="A50" s="1659"/>
      <c r="B50" s="222">
        <v>23</v>
      </c>
      <c r="C50" s="1640" t="s">
        <v>809</v>
      </c>
      <c r="D50" s="1641"/>
      <c r="E50" s="1642"/>
      <c r="F50" s="222">
        <v>35</v>
      </c>
      <c r="G50" s="222">
        <v>50</v>
      </c>
      <c r="H50" s="223">
        <v>90</v>
      </c>
      <c r="I50" s="221"/>
      <c r="J50" s="214"/>
      <c r="K50" s="215"/>
      <c r="L50" s="53"/>
      <c r="M50" s="216" t="str">
        <f t="shared" si="0"/>
        <v/>
      </c>
      <c r="N50" s="53"/>
      <c r="O50" s="217" t="str">
        <f t="shared" si="1"/>
        <v/>
      </c>
      <c r="P50" s="187" t="str">
        <f t="shared" si="2"/>
        <v/>
      </c>
      <c r="Q50" s="187" t="str">
        <f t="shared" si="3"/>
        <v/>
      </c>
    </row>
    <row r="51" spans="1:17" x14ac:dyDescent="0.2">
      <c r="A51" s="1643" t="s">
        <v>830</v>
      </c>
      <c r="B51" s="1057">
        <v>24</v>
      </c>
      <c r="C51" s="1646" t="s">
        <v>810</v>
      </c>
      <c r="D51" s="1647"/>
      <c r="E51" s="1648"/>
      <c r="F51" s="1057">
        <v>60</v>
      </c>
      <c r="G51" s="1057">
        <v>65</v>
      </c>
      <c r="H51" s="212">
        <v>75</v>
      </c>
      <c r="I51" s="221"/>
      <c r="J51" s="214"/>
      <c r="K51" s="215"/>
      <c r="L51" s="53"/>
      <c r="M51" s="216" t="str">
        <f t="shared" si="0"/>
        <v/>
      </c>
      <c r="N51" s="53"/>
      <c r="O51" s="217" t="str">
        <f t="shared" si="1"/>
        <v/>
      </c>
      <c r="P51" s="187" t="str">
        <f t="shared" si="2"/>
        <v/>
      </c>
      <c r="Q51" s="187" t="str">
        <f t="shared" si="3"/>
        <v/>
      </c>
    </row>
    <row r="52" spans="1:17" x14ac:dyDescent="0.2">
      <c r="A52" s="1644"/>
      <c r="B52" s="1058">
        <v>25</v>
      </c>
      <c r="C52" s="1611" t="s">
        <v>811</v>
      </c>
      <c r="D52" s="1649"/>
      <c r="E52" s="1650"/>
      <c r="F52" s="1058">
        <v>20</v>
      </c>
      <c r="G52" s="1058">
        <v>25</v>
      </c>
      <c r="H52" s="218">
        <v>25</v>
      </c>
      <c r="I52" s="221"/>
      <c r="J52" s="214"/>
      <c r="K52" s="215"/>
      <c r="L52" s="53"/>
      <c r="M52" s="216" t="str">
        <f t="shared" si="0"/>
        <v/>
      </c>
      <c r="N52" s="53"/>
      <c r="O52" s="217" t="str">
        <f t="shared" si="1"/>
        <v/>
      </c>
      <c r="P52" s="187" t="str">
        <f t="shared" si="2"/>
        <v/>
      </c>
      <c r="Q52" s="187" t="str">
        <f t="shared" si="3"/>
        <v/>
      </c>
    </row>
    <row r="53" spans="1:17" ht="27" customHeight="1" x14ac:dyDescent="0.2">
      <c r="A53" s="1644"/>
      <c r="B53" s="1058">
        <v>26</v>
      </c>
      <c r="C53" s="1651" t="s">
        <v>829</v>
      </c>
      <c r="D53" s="1652"/>
      <c r="E53" s="1653"/>
      <c r="F53" s="1058">
        <v>20</v>
      </c>
      <c r="G53" s="1058">
        <v>25</v>
      </c>
      <c r="H53" s="218">
        <v>30</v>
      </c>
      <c r="I53" s="221"/>
      <c r="J53" s="214"/>
      <c r="K53" s="215"/>
      <c r="L53" s="53"/>
      <c r="M53" s="216" t="str">
        <f t="shared" si="0"/>
        <v/>
      </c>
      <c r="N53" s="53"/>
      <c r="O53" s="217" t="str">
        <f t="shared" si="1"/>
        <v/>
      </c>
      <c r="P53" s="187" t="str">
        <f t="shared" si="2"/>
        <v/>
      </c>
      <c r="Q53" s="187" t="str">
        <f t="shared" si="3"/>
        <v/>
      </c>
    </row>
    <row r="54" spans="1:17" x14ac:dyDescent="0.2">
      <c r="A54" s="1644"/>
      <c r="B54" s="1058">
        <v>27</v>
      </c>
      <c r="C54" s="1611" t="s">
        <v>812</v>
      </c>
      <c r="D54" s="1649"/>
      <c r="E54" s="1650"/>
      <c r="F54" s="1058">
        <v>20</v>
      </c>
      <c r="G54" s="1058">
        <v>25</v>
      </c>
      <c r="H54" s="218">
        <v>30</v>
      </c>
      <c r="I54" s="221"/>
      <c r="J54" s="214"/>
      <c r="K54" s="215"/>
      <c r="L54" s="53"/>
      <c r="M54" s="216" t="str">
        <f t="shared" si="0"/>
        <v/>
      </c>
      <c r="N54" s="53"/>
      <c r="O54" s="217" t="str">
        <f t="shared" si="1"/>
        <v/>
      </c>
      <c r="P54" s="187" t="str">
        <f t="shared" si="2"/>
        <v/>
      </c>
      <c r="Q54" s="187" t="str">
        <f t="shared" si="3"/>
        <v/>
      </c>
    </row>
    <row r="55" spans="1:17" x14ac:dyDescent="0.2">
      <c r="A55" s="1644"/>
      <c r="B55" s="1058">
        <v>30</v>
      </c>
      <c r="C55" s="1654" t="s">
        <v>813</v>
      </c>
      <c r="D55" s="1655"/>
      <c r="E55" s="1655"/>
      <c r="F55" s="178">
        <v>70</v>
      </c>
      <c r="G55" s="1058">
        <v>75</v>
      </c>
      <c r="H55" s="218">
        <v>80</v>
      </c>
      <c r="I55" s="221"/>
      <c r="J55" s="214"/>
      <c r="K55" s="215"/>
      <c r="L55" s="53"/>
      <c r="M55" s="216" t="str">
        <f t="shared" si="0"/>
        <v/>
      </c>
      <c r="N55" s="53"/>
      <c r="O55" s="217" t="str">
        <f t="shared" si="1"/>
        <v/>
      </c>
      <c r="P55" s="187" t="str">
        <f t="shared" si="2"/>
        <v/>
      </c>
      <c r="Q55" s="187" t="str">
        <f t="shared" si="3"/>
        <v/>
      </c>
    </row>
    <row r="56" spans="1:17" x14ac:dyDescent="0.2">
      <c r="A56" s="1644"/>
      <c r="B56" s="1058">
        <v>31</v>
      </c>
      <c r="C56" s="1654" t="s">
        <v>814</v>
      </c>
      <c r="D56" s="1655"/>
      <c r="E56" s="1655"/>
      <c r="F56" s="178">
        <v>25</v>
      </c>
      <c r="G56" s="1058">
        <v>35</v>
      </c>
      <c r="H56" s="218">
        <v>40</v>
      </c>
      <c r="I56" s="221"/>
      <c r="J56" s="214"/>
      <c r="K56" s="215"/>
      <c r="L56" s="53"/>
      <c r="M56" s="216" t="str">
        <f t="shared" si="0"/>
        <v/>
      </c>
      <c r="N56" s="53"/>
      <c r="O56" s="217" t="str">
        <f t="shared" si="1"/>
        <v/>
      </c>
      <c r="P56" s="187" t="str">
        <f t="shared" si="2"/>
        <v/>
      </c>
      <c r="Q56" s="187" t="str">
        <f t="shared" si="3"/>
        <v/>
      </c>
    </row>
    <row r="57" spans="1:17" x14ac:dyDescent="0.2">
      <c r="A57" s="1644"/>
      <c r="B57" s="1058">
        <v>32</v>
      </c>
      <c r="C57" s="1654" t="s">
        <v>815</v>
      </c>
      <c r="D57" s="1655"/>
      <c r="E57" s="1655"/>
      <c r="F57" s="178">
        <v>35</v>
      </c>
      <c r="G57" s="1058">
        <v>40</v>
      </c>
      <c r="H57" s="218">
        <v>60</v>
      </c>
      <c r="I57" s="221"/>
      <c r="J57" s="214">
        <v>1845</v>
      </c>
      <c r="K57" s="215" t="s">
        <v>1427</v>
      </c>
      <c r="L57" s="53">
        <v>40</v>
      </c>
      <c r="M57" s="216">
        <f t="shared" si="0"/>
        <v>2.5000000000000001E-2</v>
      </c>
      <c r="N57" s="53">
        <v>40</v>
      </c>
      <c r="O57" s="217">
        <f t="shared" si="1"/>
        <v>2.5000000000000001E-2</v>
      </c>
      <c r="P57" s="187" t="str">
        <f t="shared" si="2"/>
        <v>No</v>
      </c>
      <c r="Q57" s="187" t="str">
        <f t="shared" si="3"/>
        <v>No</v>
      </c>
    </row>
    <row r="58" spans="1:17" x14ac:dyDescent="0.2">
      <c r="A58" s="1644"/>
      <c r="B58" s="1616">
        <v>33</v>
      </c>
      <c r="C58" s="1654" t="s">
        <v>816</v>
      </c>
      <c r="D58" s="1638" t="s">
        <v>770</v>
      </c>
      <c r="E58" s="1639"/>
      <c r="F58" s="178">
        <v>20</v>
      </c>
      <c r="G58" s="1058">
        <v>35</v>
      </c>
      <c r="H58" s="218">
        <v>50</v>
      </c>
      <c r="I58" s="221"/>
      <c r="J58" s="214"/>
      <c r="K58" s="215"/>
      <c r="L58" s="53"/>
      <c r="M58" s="216" t="str">
        <f t="shared" si="0"/>
        <v/>
      </c>
      <c r="N58" s="53"/>
      <c r="O58" s="217" t="str">
        <f t="shared" si="1"/>
        <v/>
      </c>
      <c r="P58" s="187" t="str">
        <f t="shared" si="2"/>
        <v/>
      </c>
      <c r="Q58" s="187" t="str">
        <f t="shared" si="3"/>
        <v/>
      </c>
    </row>
    <row r="59" spans="1:17" x14ac:dyDescent="0.2">
      <c r="A59" s="1644"/>
      <c r="B59" s="1617"/>
      <c r="C59" s="1654"/>
      <c r="D59" s="1638" t="s">
        <v>817</v>
      </c>
      <c r="E59" s="1639"/>
      <c r="F59" s="178">
        <v>20</v>
      </c>
      <c r="G59" s="1058">
        <v>35</v>
      </c>
      <c r="H59" s="218">
        <v>40</v>
      </c>
      <c r="I59" s="221"/>
      <c r="J59" s="214"/>
      <c r="K59" s="215"/>
      <c r="L59" s="53"/>
      <c r="M59" s="216" t="str">
        <f t="shared" si="0"/>
        <v/>
      </c>
      <c r="N59" s="53"/>
      <c r="O59" s="217" t="str">
        <f t="shared" si="1"/>
        <v/>
      </c>
      <c r="P59" s="187" t="str">
        <f t="shared" si="2"/>
        <v/>
      </c>
      <c r="Q59" s="187" t="str">
        <f t="shared" si="3"/>
        <v/>
      </c>
    </row>
    <row r="60" spans="1:17" x14ac:dyDescent="0.2">
      <c r="A60" s="1644"/>
      <c r="B60" s="1058">
        <v>34</v>
      </c>
      <c r="C60" s="1611" t="s">
        <v>818</v>
      </c>
      <c r="D60" s="1612"/>
      <c r="E60" s="1613"/>
      <c r="F60" s="178">
        <v>25</v>
      </c>
      <c r="G60" s="1058">
        <v>40</v>
      </c>
      <c r="H60" s="218">
        <v>45</v>
      </c>
      <c r="I60" s="221"/>
      <c r="J60" s="214"/>
      <c r="K60" s="215"/>
      <c r="L60" s="53"/>
      <c r="M60" s="216" t="str">
        <f t="shared" si="0"/>
        <v/>
      </c>
      <c r="N60" s="53"/>
      <c r="O60" s="217" t="str">
        <f t="shared" si="1"/>
        <v/>
      </c>
      <c r="P60" s="187" t="str">
        <f t="shared" si="2"/>
        <v/>
      </c>
      <c r="Q60" s="187" t="str">
        <f t="shared" si="3"/>
        <v/>
      </c>
    </row>
    <row r="61" spans="1:17" x14ac:dyDescent="0.2">
      <c r="A61" s="1644"/>
      <c r="B61" s="1058">
        <v>35</v>
      </c>
      <c r="C61" s="1611" t="s">
        <v>819</v>
      </c>
      <c r="D61" s="1612"/>
      <c r="E61" s="1613"/>
      <c r="F61" s="178">
        <v>25</v>
      </c>
      <c r="G61" s="1058">
        <v>35</v>
      </c>
      <c r="H61" s="218">
        <v>45</v>
      </c>
      <c r="I61" s="221"/>
      <c r="J61" s="214"/>
      <c r="K61" s="215"/>
      <c r="L61" s="53"/>
      <c r="M61" s="216" t="str">
        <f t="shared" si="0"/>
        <v/>
      </c>
      <c r="N61" s="53"/>
      <c r="O61" s="217" t="str">
        <f t="shared" si="1"/>
        <v/>
      </c>
      <c r="P61" s="187" t="str">
        <f t="shared" si="2"/>
        <v/>
      </c>
      <c r="Q61" s="187" t="str">
        <f t="shared" si="3"/>
        <v/>
      </c>
    </row>
    <row r="62" spans="1:17" x14ac:dyDescent="0.2">
      <c r="A62" s="1644"/>
      <c r="B62" s="1058">
        <v>36</v>
      </c>
      <c r="C62" s="1611" t="s">
        <v>820</v>
      </c>
      <c r="D62" s="1612"/>
      <c r="E62" s="1613"/>
      <c r="F62" s="178">
        <v>35</v>
      </c>
      <c r="G62" s="1058">
        <v>55</v>
      </c>
      <c r="H62" s="218">
        <v>70</v>
      </c>
      <c r="I62" s="221"/>
      <c r="J62" s="214">
        <v>1852</v>
      </c>
      <c r="K62" s="215" t="s">
        <v>1415</v>
      </c>
      <c r="L62" s="53">
        <v>60</v>
      </c>
      <c r="M62" s="216">
        <f t="shared" si="0"/>
        <v>1.6666666666666666E-2</v>
      </c>
      <c r="N62" s="53">
        <v>60</v>
      </c>
      <c r="O62" s="217">
        <f t="shared" si="1"/>
        <v>1.6666666666666666E-2</v>
      </c>
      <c r="P62" s="187" t="str">
        <f t="shared" si="2"/>
        <v>No</v>
      </c>
      <c r="Q62" s="187" t="str">
        <f t="shared" si="3"/>
        <v>No</v>
      </c>
    </row>
    <row r="63" spans="1:17" x14ac:dyDescent="0.2">
      <c r="A63" s="1644"/>
      <c r="B63" s="1616">
        <v>37</v>
      </c>
      <c r="C63" s="1618" t="s">
        <v>821</v>
      </c>
      <c r="D63" s="1638" t="s">
        <v>770</v>
      </c>
      <c r="E63" s="1639"/>
      <c r="F63" s="178">
        <v>40</v>
      </c>
      <c r="G63" s="1058">
        <v>60</v>
      </c>
      <c r="H63" s="218">
        <v>80</v>
      </c>
      <c r="I63" s="221"/>
      <c r="J63" s="214"/>
      <c r="K63" s="215"/>
      <c r="L63" s="53"/>
      <c r="M63" s="216" t="str">
        <f t="shared" si="0"/>
        <v/>
      </c>
      <c r="N63" s="53"/>
      <c r="O63" s="217" t="str">
        <f t="shared" si="1"/>
        <v/>
      </c>
      <c r="P63" s="187" t="str">
        <f t="shared" si="2"/>
        <v/>
      </c>
      <c r="Q63" s="187" t="str">
        <f t="shared" si="3"/>
        <v/>
      </c>
    </row>
    <row r="64" spans="1:17" x14ac:dyDescent="0.2">
      <c r="A64" s="1644"/>
      <c r="B64" s="1617"/>
      <c r="C64" s="1619"/>
      <c r="D64" s="1638" t="s">
        <v>822</v>
      </c>
      <c r="E64" s="1639"/>
      <c r="F64" s="178">
        <v>20</v>
      </c>
      <c r="G64" s="1058">
        <v>30</v>
      </c>
      <c r="H64" s="218">
        <v>45</v>
      </c>
      <c r="I64" s="221"/>
      <c r="J64" s="214"/>
      <c r="K64" s="215"/>
      <c r="L64" s="53"/>
      <c r="M64" s="216" t="str">
        <f t="shared" si="0"/>
        <v/>
      </c>
      <c r="N64" s="53"/>
      <c r="O64" s="217" t="str">
        <f t="shared" si="1"/>
        <v/>
      </c>
      <c r="P64" s="187" t="str">
        <f t="shared" si="2"/>
        <v/>
      </c>
      <c r="Q64" s="187" t="str">
        <f t="shared" si="3"/>
        <v/>
      </c>
    </row>
    <row r="65" spans="1:17" x14ac:dyDescent="0.2">
      <c r="A65" s="1644"/>
      <c r="B65" s="1058">
        <v>38</v>
      </c>
      <c r="C65" s="1654" t="s">
        <v>828</v>
      </c>
      <c r="D65" s="1655"/>
      <c r="E65" s="1655"/>
      <c r="F65" s="178">
        <v>20</v>
      </c>
      <c r="G65" s="1058">
        <v>35</v>
      </c>
      <c r="H65" s="218">
        <v>50</v>
      </c>
      <c r="I65" s="221"/>
      <c r="J65" s="214"/>
      <c r="K65" s="215"/>
      <c r="L65" s="53"/>
      <c r="M65" s="216" t="str">
        <f t="shared" si="0"/>
        <v/>
      </c>
      <c r="N65" s="53"/>
      <c r="O65" s="217" t="str">
        <f t="shared" si="1"/>
        <v/>
      </c>
      <c r="P65" s="187" t="str">
        <f t="shared" si="2"/>
        <v/>
      </c>
      <c r="Q65" s="187" t="str">
        <f t="shared" si="3"/>
        <v/>
      </c>
    </row>
    <row r="66" spans="1:17" x14ac:dyDescent="0.2">
      <c r="A66" s="1644"/>
      <c r="B66" s="1058">
        <v>39</v>
      </c>
      <c r="C66" s="1654" t="s">
        <v>823</v>
      </c>
      <c r="D66" s="1655"/>
      <c r="E66" s="1655"/>
      <c r="F66" s="178">
        <v>20</v>
      </c>
      <c r="G66" s="1058">
        <v>30</v>
      </c>
      <c r="H66" s="218">
        <v>45</v>
      </c>
      <c r="I66" s="221"/>
      <c r="J66" s="214">
        <v>1851</v>
      </c>
      <c r="K66" s="215" t="s">
        <v>1416</v>
      </c>
      <c r="L66" s="53">
        <v>20</v>
      </c>
      <c r="M66" s="216">
        <f t="shared" si="0"/>
        <v>0.05</v>
      </c>
      <c r="N66" s="53">
        <v>20</v>
      </c>
      <c r="O66" s="217">
        <f t="shared" si="1"/>
        <v>0.05</v>
      </c>
      <c r="P66" s="187" t="str">
        <f t="shared" si="2"/>
        <v>No</v>
      </c>
      <c r="Q66" s="187" t="str">
        <f t="shared" si="3"/>
        <v>No</v>
      </c>
    </row>
    <row r="67" spans="1:17" x14ac:dyDescent="0.2">
      <c r="A67" s="1644"/>
      <c r="B67" s="1058">
        <v>40</v>
      </c>
      <c r="C67" s="1654" t="s">
        <v>824</v>
      </c>
      <c r="D67" s="1655"/>
      <c r="E67" s="1655"/>
      <c r="F67" s="178">
        <v>30</v>
      </c>
      <c r="G67" s="1058">
        <v>50</v>
      </c>
      <c r="H67" s="218">
        <v>85</v>
      </c>
      <c r="I67" s="221"/>
      <c r="J67" s="214">
        <v>1840</v>
      </c>
      <c r="K67" s="215" t="s">
        <v>1421</v>
      </c>
      <c r="L67" s="53">
        <v>50</v>
      </c>
      <c r="M67" s="216">
        <f t="shared" si="0"/>
        <v>0.02</v>
      </c>
      <c r="N67" s="53">
        <v>50</v>
      </c>
      <c r="O67" s="217">
        <f t="shared" si="1"/>
        <v>0.02</v>
      </c>
      <c r="P67" s="187" t="str">
        <f t="shared" si="2"/>
        <v>No</v>
      </c>
      <c r="Q67" s="187" t="str">
        <f t="shared" si="3"/>
        <v>No</v>
      </c>
    </row>
    <row r="68" spans="1:17" x14ac:dyDescent="0.2">
      <c r="A68" s="1644"/>
      <c r="B68" s="1058">
        <v>41</v>
      </c>
      <c r="C68" s="1654" t="s">
        <v>825</v>
      </c>
      <c r="D68" s="1655"/>
      <c r="E68" s="1655"/>
      <c r="F68" s="178">
        <v>35</v>
      </c>
      <c r="G68" s="1058">
        <v>55</v>
      </c>
      <c r="H68" s="218">
        <v>80</v>
      </c>
      <c r="I68" s="221"/>
      <c r="J68" s="214"/>
      <c r="K68" s="215"/>
      <c r="L68" s="53"/>
      <c r="M68" s="216" t="str">
        <f t="shared" si="0"/>
        <v/>
      </c>
      <c r="N68" s="53"/>
      <c r="O68" s="217" t="str">
        <f t="shared" si="1"/>
        <v/>
      </c>
      <c r="P68" s="187" t="str">
        <f t="shared" si="2"/>
        <v/>
      </c>
      <c r="Q68" s="187" t="str">
        <f t="shared" si="3"/>
        <v/>
      </c>
    </row>
    <row r="69" spans="1:17" ht="13.5" thickBot="1" x14ac:dyDescent="0.25">
      <c r="A69" s="1645"/>
      <c r="B69" s="222">
        <v>42</v>
      </c>
      <c r="C69" s="1656" t="s">
        <v>826</v>
      </c>
      <c r="D69" s="1657"/>
      <c r="E69" s="1657"/>
      <c r="F69" s="224">
        <v>50</v>
      </c>
      <c r="G69" s="222">
        <v>60</v>
      </c>
      <c r="H69" s="223">
        <v>80</v>
      </c>
      <c r="I69" s="221"/>
      <c r="J69" s="214"/>
      <c r="K69" s="215"/>
      <c r="L69" s="53"/>
      <c r="M69" s="216" t="str">
        <f t="shared" si="0"/>
        <v/>
      </c>
      <c r="N69" s="53"/>
      <c r="O69" s="217" t="str">
        <f t="shared" si="1"/>
        <v/>
      </c>
      <c r="P69" s="187" t="str">
        <f t="shared" si="2"/>
        <v/>
      </c>
      <c r="Q69" s="187" t="str">
        <f t="shared" si="3"/>
        <v/>
      </c>
    </row>
    <row r="70" spans="1:17" ht="13.5" thickBot="1" x14ac:dyDescent="0.25">
      <c r="A70" s="225" t="s">
        <v>831</v>
      </c>
      <c r="B70" s="226">
        <v>43</v>
      </c>
      <c r="C70" s="1636" t="s">
        <v>827</v>
      </c>
      <c r="D70" s="1637"/>
      <c r="E70" s="1637"/>
      <c r="F70" s="227">
        <v>15</v>
      </c>
      <c r="G70" s="226">
        <v>20</v>
      </c>
      <c r="H70" s="228">
        <v>30</v>
      </c>
      <c r="I70" s="221"/>
      <c r="J70" s="214"/>
      <c r="K70" s="215"/>
      <c r="L70" s="53"/>
      <c r="M70" s="216" t="str">
        <f t="shared" si="0"/>
        <v/>
      </c>
      <c r="N70" s="53"/>
      <c r="O70" s="217" t="str">
        <f t="shared" si="1"/>
        <v/>
      </c>
      <c r="P70" s="187" t="str">
        <f t="shared" si="2"/>
        <v/>
      </c>
      <c r="Q70" s="187" t="str">
        <f t="shared" si="3"/>
        <v/>
      </c>
    </row>
    <row r="71" spans="1:17" x14ac:dyDescent="0.2">
      <c r="I71" s="221"/>
    </row>
    <row r="72" spans="1:17" x14ac:dyDescent="0.2">
      <c r="I72" s="221"/>
    </row>
    <row r="73" spans="1:17" ht="18" x14ac:dyDescent="0.2">
      <c r="A73" s="1629" t="s">
        <v>862</v>
      </c>
      <c r="B73" s="1629"/>
      <c r="C73" s="1629"/>
      <c r="D73" s="1629"/>
      <c r="E73" s="1629"/>
      <c r="F73" s="1629"/>
      <c r="G73" s="1629"/>
      <c r="H73" s="1629"/>
      <c r="I73" s="221"/>
    </row>
    <row r="74" spans="1:17" x14ac:dyDescent="0.2">
      <c r="I74" s="221"/>
    </row>
    <row r="75" spans="1:17" ht="30.75" customHeight="1" x14ac:dyDescent="0.2">
      <c r="B75" s="57"/>
      <c r="C75" s="1626" t="s">
        <v>799</v>
      </c>
      <c r="D75" s="1626"/>
      <c r="E75" s="1626"/>
      <c r="F75" s="1630" t="s">
        <v>834</v>
      </c>
      <c r="G75" s="1631"/>
      <c r="H75" s="1632"/>
      <c r="I75" s="221"/>
      <c r="J75" s="1627" t="s">
        <v>801</v>
      </c>
      <c r="K75" s="1627" t="s">
        <v>802</v>
      </c>
      <c r="L75" s="1625" t="s">
        <v>491</v>
      </c>
      <c r="M75" s="1625"/>
      <c r="N75" s="1623" t="s">
        <v>12</v>
      </c>
      <c r="O75" s="1624"/>
      <c r="P75" s="1625" t="s">
        <v>883</v>
      </c>
      <c r="Q75" s="1625"/>
    </row>
    <row r="76" spans="1:17" ht="30" x14ac:dyDescent="0.2">
      <c r="B76" s="1054" t="s">
        <v>777</v>
      </c>
      <c r="C76" s="1626" t="s">
        <v>778</v>
      </c>
      <c r="D76" s="1626"/>
      <c r="E76" s="1626"/>
      <c r="F76" s="1633"/>
      <c r="G76" s="1634"/>
      <c r="H76" s="1635"/>
      <c r="I76" s="221"/>
      <c r="J76" s="1628"/>
      <c r="K76" s="1628"/>
      <c r="L76" s="209" t="s">
        <v>6</v>
      </c>
      <c r="M76" s="209" t="s">
        <v>13</v>
      </c>
      <c r="N76" s="210" t="s">
        <v>6</v>
      </c>
      <c r="O76" s="229" t="s">
        <v>13</v>
      </c>
      <c r="P76" s="1053" t="s">
        <v>886</v>
      </c>
      <c r="Q76" s="1053" t="s">
        <v>887</v>
      </c>
    </row>
    <row r="77" spans="1:17" x14ac:dyDescent="0.2">
      <c r="B77" s="1058">
        <v>1</v>
      </c>
      <c r="C77" s="1611" t="s">
        <v>833</v>
      </c>
      <c r="D77" s="1612"/>
      <c r="E77" s="1613"/>
      <c r="F77" s="230">
        <v>5</v>
      </c>
      <c r="G77" s="1614">
        <v>15</v>
      </c>
      <c r="H77" s="1614"/>
      <c r="I77" s="221"/>
      <c r="J77" s="214">
        <v>1915</v>
      </c>
      <c r="K77" s="215" t="s">
        <v>1408</v>
      </c>
      <c r="L77" s="53">
        <v>10</v>
      </c>
      <c r="M77" s="216">
        <f>IF(ISERROR(1/L77), "", 1/L77)</f>
        <v>0.1</v>
      </c>
      <c r="N77" s="53">
        <v>10</v>
      </c>
      <c r="O77" s="216">
        <f>IF(ISERROR(1/N77), "", 1/N77)</f>
        <v>0.1</v>
      </c>
      <c r="P77" s="187" t="str">
        <f>IF(ISBLANK(N77),"",IF(N77&lt;F77,"Yes","No"))</f>
        <v>No</v>
      </c>
      <c r="Q77" s="187" t="str">
        <f>IF(ISBLANK(N77),"",IF(N77&gt;G77,"Yes","No"))</f>
        <v>No</v>
      </c>
    </row>
    <row r="78" spans="1:17" x14ac:dyDescent="0.2">
      <c r="B78" s="1616">
        <v>2</v>
      </c>
      <c r="C78" s="1618" t="s">
        <v>835</v>
      </c>
      <c r="D78" s="1611" t="s">
        <v>836</v>
      </c>
      <c r="E78" s="1613"/>
      <c r="F78" s="230">
        <v>5</v>
      </c>
      <c r="G78" s="1614">
        <v>15</v>
      </c>
      <c r="H78" s="1614"/>
      <c r="I78" s="221"/>
      <c r="J78" s="214">
        <v>1931</v>
      </c>
      <c r="K78" s="215" t="s">
        <v>1410</v>
      </c>
      <c r="L78" s="53">
        <v>15</v>
      </c>
      <c r="M78" s="216">
        <f t="shared" ref="M78:M101" si="4">IF(ISERROR(1/L78), "", 1/L78)</f>
        <v>6.6666666666666666E-2</v>
      </c>
      <c r="N78" s="53">
        <v>15</v>
      </c>
      <c r="O78" s="216">
        <f t="shared" ref="O78:O101" si="5">IF(ISERROR(1/N78), "", 1/N78)</f>
        <v>6.6666666666666666E-2</v>
      </c>
      <c r="P78" s="187" t="str">
        <f t="shared" ref="P78:P101" si="6">IF(ISBLANK(N78),"",IF(N78&lt;F78,"Yes","No"))</f>
        <v>No</v>
      </c>
      <c r="Q78" s="187" t="str">
        <f t="shared" ref="Q78:Q101" si="7">IF(ISBLANK(N78),"",IF(N78&gt;G78,"Yes","No"))</f>
        <v>No</v>
      </c>
    </row>
    <row r="79" spans="1:17" x14ac:dyDescent="0.2">
      <c r="B79" s="1620"/>
      <c r="C79" s="1621"/>
      <c r="D79" s="1611" t="s">
        <v>837</v>
      </c>
      <c r="E79" s="1613"/>
      <c r="F79" s="230">
        <v>5</v>
      </c>
      <c r="G79" s="1614">
        <v>20</v>
      </c>
      <c r="H79" s="1614"/>
      <c r="I79" s="221"/>
      <c r="J79" s="214">
        <v>1933</v>
      </c>
      <c r="K79" s="215" t="s">
        <v>1412</v>
      </c>
      <c r="L79" s="53">
        <v>10</v>
      </c>
      <c r="M79" s="216">
        <f t="shared" si="4"/>
        <v>0.1</v>
      </c>
      <c r="N79" s="53">
        <v>10</v>
      </c>
      <c r="O79" s="216">
        <f t="shared" si="5"/>
        <v>0.1</v>
      </c>
      <c r="P79" s="187" t="str">
        <f t="shared" si="6"/>
        <v>No</v>
      </c>
      <c r="Q79" s="187" t="str">
        <f t="shared" si="7"/>
        <v>No</v>
      </c>
    </row>
    <row r="80" spans="1:17" x14ac:dyDescent="0.2">
      <c r="B80" s="1617"/>
      <c r="C80" s="1619"/>
      <c r="D80" s="1611" t="s">
        <v>838</v>
      </c>
      <c r="E80" s="1613"/>
      <c r="F80" s="230">
        <v>5</v>
      </c>
      <c r="G80" s="1614">
        <v>10</v>
      </c>
      <c r="H80" s="1614"/>
      <c r="I80" s="221"/>
      <c r="J80" s="214">
        <v>1932</v>
      </c>
      <c r="K80" s="215" t="s">
        <v>1411</v>
      </c>
      <c r="L80" s="53">
        <v>8</v>
      </c>
      <c r="M80" s="216">
        <f t="shared" si="4"/>
        <v>0.125</v>
      </c>
      <c r="N80" s="53">
        <v>8</v>
      </c>
      <c r="O80" s="216">
        <f t="shared" si="5"/>
        <v>0.125</v>
      </c>
      <c r="P80" s="187" t="str">
        <f t="shared" si="6"/>
        <v>No</v>
      </c>
      <c r="Q80" s="187" t="str">
        <f t="shared" si="7"/>
        <v>No</v>
      </c>
    </row>
    <row r="81" spans="2:17" x14ac:dyDescent="0.2">
      <c r="B81" s="1058">
        <v>3</v>
      </c>
      <c r="C81" s="1611" t="s">
        <v>839</v>
      </c>
      <c r="D81" s="1612"/>
      <c r="E81" s="1613"/>
      <c r="F81" s="230">
        <v>50</v>
      </c>
      <c r="G81" s="1614">
        <v>75</v>
      </c>
      <c r="H81" s="1614"/>
      <c r="I81" s="221"/>
      <c r="J81" s="214"/>
      <c r="K81" s="215"/>
      <c r="L81" s="53"/>
      <c r="M81" s="216" t="str">
        <f t="shared" si="4"/>
        <v/>
      </c>
      <c r="N81" s="53"/>
      <c r="O81" s="216" t="str">
        <f t="shared" si="5"/>
        <v/>
      </c>
      <c r="P81" s="187" t="str">
        <f t="shared" si="6"/>
        <v/>
      </c>
      <c r="Q81" s="187" t="str">
        <f t="shared" si="7"/>
        <v/>
      </c>
    </row>
    <row r="82" spans="2:17" x14ac:dyDescent="0.2">
      <c r="B82" s="187">
        <v>4</v>
      </c>
      <c r="C82" s="1611" t="s">
        <v>299</v>
      </c>
      <c r="D82" s="1612"/>
      <c r="E82" s="1613"/>
      <c r="F82" s="1622" t="s">
        <v>860</v>
      </c>
      <c r="G82" s="1622"/>
      <c r="H82" s="1622"/>
      <c r="I82" s="221"/>
      <c r="J82" s="214"/>
      <c r="K82" s="215"/>
      <c r="L82" s="53"/>
      <c r="M82" s="216" t="str">
        <f t="shared" si="4"/>
        <v/>
      </c>
      <c r="N82" s="53"/>
      <c r="O82" s="216" t="str">
        <f t="shared" si="5"/>
        <v/>
      </c>
      <c r="P82" s="53"/>
      <c r="Q82" s="53"/>
    </row>
    <row r="83" spans="2:17" x14ac:dyDescent="0.2">
      <c r="B83" s="1616">
        <v>5</v>
      </c>
      <c r="C83" s="1618" t="s">
        <v>840</v>
      </c>
      <c r="D83" s="1611" t="s">
        <v>840</v>
      </c>
      <c r="E83" s="1613"/>
      <c r="F83" s="230">
        <v>50</v>
      </c>
      <c r="G83" s="1614">
        <v>75</v>
      </c>
      <c r="H83" s="1614"/>
      <c r="I83" s="221"/>
      <c r="J83" s="214">
        <v>1908</v>
      </c>
      <c r="K83" s="215" t="s">
        <v>1407</v>
      </c>
      <c r="L83" s="53">
        <v>50</v>
      </c>
      <c r="M83" s="216">
        <f t="shared" si="4"/>
        <v>0.02</v>
      </c>
      <c r="N83" s="53">
        <v>50</v>
      </c>
      <c r="O83" s="216">
        <f t="shared" si="5"/>
        <v>0.02</v>
      </c>
      <c r="P83" s="187" t="str">
        <f t="shared" si="6"/>
        <v>No</v>
      </c>
      <c r="Q83" s="187" t="str">
        <f t="shared" si="7"/>
        <v>No</v>
      </c>
    </row>
    <row r="84" spans="2:17" x14ac:dyDescent="0.2">
      <c r="B84" s="1620"/>
      <c r="C84" s="1621"/>
      <c r="D84" s="1611" t="s">
        <v>841</v>
      </c>
      <c r="E84" s="1613"/>
      <c r="F84" s="230">
        <v>25</v>
      </c>
      <c r="G84" s="1614">
        <v>30</v>
      </c>
      <c r="H84" s="1614"/>
      <c r="I84" s="221"/>
      <c r="J84" s="214"/>
      <c r="K84" s="215"/>
      <c r="L84" s="53"/>
      <c r="M84" s="216" t="str">
        <f t="shared" si="4"/>
        <v/>
      </c>
      <c r="N84" s="53"/>
      <c r="O84" s="216" t="str">
        <f t="shared" si="5"/>
        <v/>
      </c>
      <c r="P84" s="187" t="str">
        <f t="shared" si="6"/>
        <v/>
      </c>
      <c r="Q84" s="187" t="str">
        <f t="shared" si="7"/>
        <v/>
      </c>
    </row>
    <row r="85" spans="2:17" x14ac:dyDescent="0.2">
      <c r="B85" s="1620"/>
      <c r="C85" s="1621"/>
      <c r="D85" s="1611" t="s">
        <v>842</v>
      </c>
      <c r="E85" s="1613"/>
      <c r="F85" s="230">
        <v>25</v>
      </c>
      <c r="G85" s="1614">
        <v>60</v>
      </c>
      <c r="H85" s="1614"/>
      <c r="I85" s="221"/>
      <c r="J85" s="214"/>
      <c r="K85" s="215"/>
      <c r="L85" s="53"/>
      <c r="M85" s="216" t="str">
        <f t="shared" si="4"/>
        <v/>
      </c>
      <c r="N85" s="53"/>
      <c r="O85" s="216" t="str">
        <f t="shared" si="5"/>
        <v/>
      </c>
      <c r="P85" s="187" t="str">
        <f t="shared" si="6"/>
        <v/>
      </c>
      <c r="Q85" s="187" t="str">
        <f t="shared" si="7"/>
        <v/>
      </c>
    </row>
    <row r="86" spans="2:17" x14ac:dyDescent="0.2">
      <c r="B86" s="1617"/>
      <c r="C86" s="1619"/>
      <c r="D86" s="1611" t="s">
        <v>822</v>
      </c>
      <c r="E86" s="1613"/>
      <c r="F86" s="230">
        <v>20</v>
      </c>
      <c r="G86" s="1614">
        <v>30</v>
      </c>
      <c r="H86" s="1614"/>
      <c r="I86" s="221"/>
      <c r="J86" s="214"/>
      <c r="K86" s="215"/>
      <c r="L86" s="53"/>
      <c r="M86" s="216" t="str">
        <f t="shared" si="4"/>
        <v/>
      </c>
      <c r="N86" s="53"/>
      <c r="O86" s="216" t="str">
        <f t="shared" si="5"/>
        <v/>
      </c>
      <c r="P86" s="187" t="str">
        <f t="shared" si="6"/>
        <v/>
      </c>
      <c r="Q86" s="187" t="str">
        <f t="shared" si="7"/>
        <v/>
      </c>
    </row>
    <row r="87" spans="2:17" x14ac:dyDescent="0.2">
      <c r="B87" s="1616">
        <v>6</v>
      </c>
      <c r="C87" s="1618" t="s">
        <v>845</v>
      </c>
      <c r="D87" s="1611" t="s">
        <v>843</v>
      </c>
      <c r="E87" s="1613"/>
      <c r="F87" s="230">
        <v>3</v>
      </c>
      <c r="G87" s="1614">
        <v>5</v>
      </c>
      <c r="H87" s="1614"/>
      <c r="I87" s="221"/>
      <c r="J87" s="214">
        <v>1920</v>
      </c>
      <c r="K87" s="215" t="s">
        <v>215</v>
      </c>
      <c r="L87" s="53">
        <v>5</v>
      </c>
      <c r="M87" s="216">
        <f t="shared" si="4"/>
        <v>0.2</v>
      </c>
      <c r="N87" s="53">
        <v>5</v>
      </c>
      <c r="O87" s="216">
        <f t="shared" si="5"/>
        <v>0.2</v>
      </c>
      <c r="P87" s="187" t="str">
        <f t="shared" si="6"/>
        <v>No</v>
      </c>
      <c r="Q87" s="187" t="str">
        <f t="shared" si="7"/>
        <v>No</v>
      </c>
    </row>
    <row r="88" spans="2:17" x14ac:dyDescent="0.2">
      <c r="B88" s="1617"/>
      <c r="C88" s="1619"/>
      <c r="D88" s="1611" t="s">
        <v>844</v>
      </c>
      <c r="E88" s="1613"/>
      <c r="F88" s="230">
        <v>2</v>
      </c>
      <c r="G88" s="1614">
        <v>5</v>
      </c>
      <c r="H88" s="1614"/>
      <c r="I88" s="221"/>
      <c r="J88" s="214">
        <v>1925</v>
      </c>
      <c r="K88" s="215" t="s">
        <v>1409</v>
      </c>
      <c r="L88" s="53">
        <v>5</v>
      </c>
      <c r="M88" s="216">
        <f t="shared" si="4"/>
        <v>0.2</v>
      </c>
      <c r="N88" s="53">
        <v>5</v>
      </c>
      <c r="O88" s="216">
        <f t="shared" si="5"/>
        <v>0.2</v>
      </c>
      <c r="P88" s="187" t="str">
        <f t="shared" si="6"/>
        <v>No</v>
      </c>
      <c r="Q88" s="187" t="str">
        <f t="shared" si="7"/>
        <v>No</v>
      </c>
    </row>
    <row r="89" spans="2:17" x14ac:dyDescent="0.2">
      <c r="B89" s="1616">
        <v>7</v>
      </c>
      <c r="C89" s="1618" t="s">
        <v>852</v>
      </c>
      <c r="D89" s="1611" t="s">
        <v>846</v>
      </c>
      <c r="E89" s="1613"/>
      <c r="F89" s="230">
        <v>5</v>
      </c>
      <c r="G89" s="1614">
        <v>10</v>
      </c>
      <c r="H89" s="1614"/>
      <c r="I89" s="221"/>
      <c r="J89" s="214"/>
      <c r="K89" s="215"/>
      <c r="L89" s="53"/>
      <c r="M89" s="216" t="str">
        <f t="shared" si="4"/>
        <v/>
      </c>
      <c r="N89" s="53"/>
      <c r="O89" s="216" t="str">
        <f t="shared" si="5"/>
        <v/>
      </c>
      <c r="P89" s="187" t="str">
        <f t="shared" si="6"/>
        <v/>
      </c>
      <c r="Q89" s="187" t="str">
        <f t="shared" si="7"/>
        <v/>
      </c>
    </row>
    <row r="90" spans="2:17" x14ac:dyDescent="0.2">
      <c r="B90" s="1620"/>
      <c r="C90" s="1621"/>
      <c r="D90" s="1611" t="s">
        <v>847</v>
      </c>
      <c r="E90" s="1613"/>
      <c r="F90" s="230">
        <v>5</v>
      </c>
      <c r="G90" s="1614">
        <v>10</v>
      </c>
      <c r="H90" s="1614"/>
      <c r="I90" s="221"/>
      <c r="J90" s="214"/>
      <c r="K90" s="215"/>
      <c r="L90" s="53"/>
      <c r="M90" s="216" t="str">
        <f t="shared" si="4"/>
        <v/>
      </c>
      <c r="N90" s="53"/>
      <c r="O90" s="216" t="str">
        <f t="shared" si="5"/>
        <v/>
      </c>
      <c r="P90" s="187" t="str">
        <f t="shared" si="6"/>
        <v/>
      </c>
      <c r="Q90" s="187" t="str">
        <f t="shared" si="7"/>
        <v/>
      </c>
    </row>
    <row r="91" spans="2:17" x14ac:dyDescent="0.2">
      <c r="B91" s="1620"/>
      <c r="C91" s="1621"/>
      <c r="D91" s="1611" t="s">
        <v>848</v>
      </c>
      <c r="E91" s="1613"/>
      <c r="F91" s="230">
        <v>5</v>
      </c>
      <c r="G91" s="1614">
        <v>10</v>
      </c>
      <c r="H91" s="1614"/>
      <c r="I91" s="221"/>
      <c r="J91" s="214">
        <v>1940</v>
      </c>
      <c r="K91" s="215" t="s">
        <v>288</v>
      </c>
      <c r="L91" s="53">
        <v>10</v>
      </c>
      <c r="M91" s="216">
        <f t="shared" si="4"/>
        <v>0.1</v>
      </c>
      <c r="N91" s="53">
        <v>10</v>
      </c>
      <c r="O91" s="216">
        <f t="shared" si="5"/>
        <v>0.1</v>
      </c>
      <c r="P91" s="187" t="str">
        <f t="shared" si="6"/>
        <v>No</v>
      </c>
      <c r="Q91" s="187" t="str">
        <f t="shared" si="7"/>
        <v>No</v>
      </c>
    </row>
    <row r="92" spans="2:17" x14ac:dyDescent="0.2">
      <c r="B92" s="1617"/>
      <c r="C92" s="1619"/>
      <c r="D92" s="1611" t="s">
        <v>289</v>
      </c>
      <c r="E92" s="1613"/>
      <c r="F92" s="230">
        <v>5</v>
      </c>
      <c r="G92" s="1614">
        <v>10</v>
      </c>
      <c r="H92" s="1614"/>
      <c r="I92" s="221"/>
      <c r="J92" s="214"/>
      <c r="K92" s="215"/>
      <c r="L92" s="53"/>
      <c r="M92" s="216" t="str">
        <f t="shared" si="4"/>
        <v/>
      </c>
      <c r="N92" s="53"/>
      <c r="O92" s="216" t="str">
        <f t="shared" si="5"/>
        <v/>
      </c>
      <c r="P92" s="187" t="str">
        <f t="shared" si="6"/>
        <v/>
      </c>
      <c r="Q92" s="187" t="str">
        <f t="shared" si="7"/>
        <v/>
      </c>
    </row>
    <row r="93" spans="2:17" x14ac:dyDescent="0.2">
      <c r="B93" s="1616">
        <v>8</v>
      </c>
      <c r="C93" s="1618" t="s">
        <v>851</v>
      </c>
      <c r="D93" s="1611" t="s">
        <v>849</v>
      </c>
      <c r="E93" s="1613"/>
      <c r="F93" s="230">
        <v>60</v>
      </c>
      <c r="G93" s="1614">
        <v>70</v>
      </c>
      <c r="H93" s="1614"/>
      <c r="I93" s="221"/>
      <c r="J93" s="214"/>
      <c r="K93" s="215"/>
      <c r="L93" s="53"/>
      <c r="M93" s="216" t="str">
        <f t="shared" si="4"/>
        <v/>
      </c>
      <c r="N93" s="53"/>
      <c r="O93" s="216" t="str">
        <f t="shared" si="5"/>
        <v/>
      </c>
      <c r="P93" s="187" t="str">
        <f t="shared" si="6"/>
        <v/>
      </c>
      <c r="Q93" s="187" t="str">
        <f t="shared" si="7"/>
        <v/>
      </c>
    </row>
    <row r="94" spans="2:17" x14ac:dyDescent="0.2">
      <c r="B94" s="1617"/>
      <c r="C94" s="1619"/>
      <c r="D94" s="1611" t="s">
        <v>850</v>
      </c>
      <c r="E94" s="1613"/>
      <c r="F94" s="230">
        <v>2</v>
      </c>
      <c r="G94" s="1614">
        <v>10</v>
      </c>
      <c r="H94" s="1614"/>
      <c r="I94" s="221"/>
      <c r="J94" s="214">
        <v>1955</v>
      </c>
      <c r="K94" s="215" t="s">
        <v>1413</v>
      </c>
      <c r="L94" s="53">
        <v>10</v>
      </c>
      <c r="M94" s="216">
        <f t="shared" si="4"/>
        <v>0.1</v>
      </c>
      <c r="N94" s="53">
        <v>10</v>
      </c>
      <c r="O94" s="216">
        <f t="shared" si="5"/>
        <v>0.1</v>
      </c>
      <c r="P94" s="187" t="str">
        <f t="shared" si="6"/>
        <v>No</v>
      </c>
      <c r="Q94" s="187" t="str">
        <f t="shared" si="7"/>
        <v>No</v>
      </c>
    </row>
    <row r="95" spans="2:17" x14ac:dyDescent="0.2">
      <c r="B95" s="187">
        <v>9</v>
      </c>
      <c r="C95" s="1611" t="s">
        <v>853</v>
      </c>
      <c r="D95" s="1612"/>
      <c r="E95" s="1613"/>
      <c r="F95" s="230">
        <v>25</v>
      </c>
      <c r="G95" s="1614">
        <v>35</v>
      </c>
      <c r="H95" s="1614"/>
      <c r="I95" s="221"/>
      <c r="J95" s="214"/>
      <c r="K95" s="215"/>
      <c r="L95" s="53"/>
      <c r="M95" s="216" t="str">
        <f t="shared" si="4"/>
        <v/>
      </c>
      <c r="N95" s="53"/>
      <c r="O95" s="216" t="str">
        <f t="shared" si="5"/>
        <v/>
      </c>
      <c r="P95" s="187" t="str">
        <f t="shared" si="6"/>
        <v/>
      </c>
      <c r="Q95" s="187" t="str">
        <f t="shared" si="7"/>
        <v/>
      </c>
    </row>
    <row r="96" spans="2:17" x14ac:dyDescent="0.2">
      <c r="B96" s="187">
        <v>10</v>
      </c>
      <c r="C96" s="1611" t="s">
        <v>854</v>
      </c>
      <c r="D96" s="1612"/>
      <c r="E96" s="1613"/>
      <c r="F96" s="230">
        <v>25</v>
      </c>
      <c r="G96" s="1614">
        <v>35</v>
      </c>
      <c r="H96" s="1614"/>
      <c r="I96" s="221"/>
      <c r="J96" s="214">
        <v>1862</v>
      </c>
      <c r="K96" s="215" t="s">
        <v>1397</v>
      </c>
      <c r="L96" s="53">
        <v>15</v>
      </c>
      <c r="M96" s="216">
        <f t="shared" si="4"/>
        <v>6.6666666666666666E-2</v>
      </c>
      <c r="N96" s="53">
        <v>15</v>
      </c>
      <c r="O96" s="216">
        <f t="shared" si="5"/>
        <v>6.6666666666666666E-2</v>
      </c>
      <c r="P96" s="187" t="str">
        <f t="shared" si="6"/>
        <v>Yes</v>
      </c>
      <c r="Q96" s="187" t="str">
        <f t="shared" si="7"/>
        <v>No</v>
      </c>
    </row>
    <row r="97" spans="1:17" x14ac:dyDescent="0.2">
      <c r="B97" s="187">
        <v>11</v>
      </c>
      <c r="C97" s="1611" t="s">
        <v>855</v>
      </c>
      <c r="D97" s="1612"/>
      <c r="E97" s="1613"/>
      <c r="F97" s="230">
        <v>15</v>
      </c>
      <c r="G97" s="1614">
        <v>30</v>
      </c>
      <c r="H97" s="1614"/>
      <c r="I97" s="221"/>
      <c r="J97" s="214">
        <v>1863</v>
      </c>
      <c r="K97" s="215" t="s">
        <v>1398</v>
      </c>
      <c r="L97" s="53">
        <v>15</v>
      </c>
      <c r="M97" s="216">
        <f t="shared" si="4"/>
        <v>6.6666666666666666E-2</v>
      </c>
      <c r="N97" s="53">
        <v>15</v>
      </c>
      <c r="O97" s="216">
        <f t="shared" si="5"/>
        <v>6.6666666666666666E-2</v>
      </c>
      <c r="P97" s="187" t="str">
        <f t="shared" si="6"/>
        <v>No</v>
      </c>
      <c r="Q97" s="187" t="str">
        <f t="shared" si="7"/>
        <v>No</v>
      </c>
    </row>
    <row r="98" spans="1:17" x14ac:dyDescent="0.2">
      <c r="B98" s="187">
        <v>12</v>
      </c>
      <c r="C98" s="1611" t="s">
        <v>856</v>
      </c>
      <c r="D98" s="1612"/>
      <c r="E98" s="1613"/>
      <c r="F98" s="230">
        <v>35</v>
      </c>
      <c r="G98" s="1614">
        <v>50</v>
      </c>
      <c r="H98" s="1614"/>
      <c r="I98" s="221"/>
      <c r="J98" s="214">
        <v>1864</v>
      </c>
      <c r="K98" s="215" t="s">
        <v>1399</v>
      </c>
      <c r="L98" s="53">
        <v>40</v>
      </c>
      <c r="M98" s="216">
        <f t="shared" si="4"/>
        <v>2.5000000000000001E-2</v>
      </c>
      <c r="N98" s="53">
        <v>40</v>
      </c>
      <c r="O98" s="216">
        <f t="shared" si="5"/>
        <v>2.5000000000000001E-2</v>
      </c>
      <c r="P98" s="187" t="str">
        <f t="shared" si="6"/>
        <v>No</v>
      </c>
      <c r="Q98" s="187" t="str">
        <f t="shared" si="7"/>
        <v>No</v>
      </c>
    </row>
    <row r="99" spans="1:17" x14ac:dyDescent="0.2">
      <c r="B99" s="187">
        <v>13</v>
      </c>
      <c r="C99" s="1611" t="s">
        <v>857</v>
      </c>
      <c r="D99" s="1612"/>
      <c r="E99" s="1613"/>
      <c r="F99" s="230">
        <v>5</v>
      </c>
      <c r="G99" s="1614">
        <v>15</v>
      </c>
      <c r="H99" s="1614"/>
      <c r="I99" s="221"/>
      <c r="J99" s="214">
        <v>1861</v>
      </c>
      <c r="K99" s="215" t="s">
        <v>1414</v>
      </c>
      <c r="L99" s="53">
        <v>10</v>
      </c>
      <c r="M99" s="216">
        <f t="shared" si="4"/>
        <v>0.1</v>
      </c>
      <c r="N99" s="53">
        <v>10</v>
      </c>
      <c r="O99" s="216">
        <f t="shared" si="5"/>
        <v>0.1</v>
      </c>
      <c r="P99" s="187" t="str">
        <f t="shared" si="6"/>
        <v>No</v>
      </c>
      <c r="Q99" s="187" t="str">
        <f t="shared" si="7"/>
        <v>No</v>
      </c>
    </row>
    <row r="100" spans="1:17" x14ac:dyDescent="0.2">
      <c r="B100" s="187">
        <v>14</v>
      </c>
      <c r="C100" s="1611" t="s">
        <v>858</v>
      </c>
      <c r="D100" s="1612"/>
      <c r="E100" s="1613"/>
      <c r="F100" s="230">
        <v>10</v>
      </c>
      <c r="G100" s="1614">
        <v>15</v>
      </c>
      <c r="H100" s="1614"/>
      <c r="I100" s="221"/>
      <c r="J100" s="214"/>
      <c r="K100" s="215"/>
      <c r="L100" s="53"/>
      <c r="M100" s="216" t="str">
        <f t="shared" si="4"/>
        <v/>
      </c>
      <c r="N100" s="53"/>
      <c r="O100" s="216" t="str">
        <f t="shared" si="5"/>
        <v/>
      </c>
      <c r="P100" s="187" t="str">
        <f t="shared" si="6"/>
        <v/>
      </c>
      <c r="Q100" s="187" t="str">
        <f t="shared" si="7"/>
        <v/>
      </c>
    </row>
    <row r="101" spans="1:17" x14ac:dyDescent="0.2">
      <c r="B101" s="187">
        <v>15</v>
      </c>
      <c r="C101" s="1611" t="s">
        <v>859</v>
      </c>
      <c r="D101" s="1612"/>
      <c r="E101" s="1613"/>
      <c r="F101" s="230">
        <v>15</v>
      </c>
      <c r="G101" s="1614">
        <v>20</v>
      </c>
      <c r="H101" s="1614"/>
      <c r="I101" s="221"/>
      <c r="J101" s="214"/>
      <c r="K101" s="215"/>
      <c r="L101" s="53"/>
      <c r="M101" s="216" t="str">
        <f t="shared" si="4"/>
        <v/>
      </c>
      <c r="N101" s="53"/>
      <c r="O101" s="216" t="str">
        <f t="shared" si="5"/>
        <v/>
      </c>
      <c r="P101" s="187" t="str">
        <f t="shared" si="6"/>
        <v/>
      </c>
      <c r="Q101" s="187" t="str">
        <f t="shared" si="7"/>
        <v/>
      </c>
    </row>
    <row r="104" spans="1:17" x14ac:dyDescent="0.2">
      <c r="A104" s="1615" t="s">
        <v>832</v>
      </c>
      <c r="B104" s="1615"/>
      <c r="C104" s="1615"/>
      <c r="D104" s="1615"/>
      <c r="E104" s="1615"/>
      <c r="F104" s="1615"/>
      <c r="G104" s="1615"/>
      <c r="H104" s="1615"/>
    </row>
    <row r="105" spans="1:17" x14ac:dyDescent="0.2">
      <c r="A105" s="1065"/>
      <c r="B105" s="1065"/>
      <c r="C105" s="1065"/>
      <c r="D105" s="1065"/>
      <c r="E105" s="1065"/>
      <c r="F105" s="1065"/>
      <c r="G105" s="1065"/>
      <c r="H105" s="1065"/>
    </row>
    <row r="106" spans="1:17" x14ac:dyDescent="0.2">
      <c r="A106" s="152" t="s">
        <v>803</v>
      </c>
      <c r="B106" s="56" t="s">
        <v>864</v>
      </c>
    </row>
    <row r="107" spans="1:17" x14ac:dyDescent="0.2">
      <c r="B107" s="231" t="s">
        <v>863</v>
      </c>
    </row>
    <row r="110" spans="1:17" x14ac:dyDescent="0.2">
      <c r="A110" s="231"/>
    </row>
  </sheetData>
  <mergeCells count="156">
    <mergeCell ref="P1:Q1"/>
    <mergeCell ref="P2:Q2"/>
    <mergeCell ref="P3:Q3"/>
    <mergeCell ref="P4:Q4"/>
    <mergeCell ref="P5:Q5"/>
    <mergeCell ref="P7:Q7"/>
    <mergeCell ref="L15:M15"/>
    <mergeCell ref="N15:O15"/>
    <mergeCell ref="C32:E32"/>
    <mergeCell ref="C15:E15"/>
    <mergeCell ref="F15:H15"/>
    <mergeCell ref="J15:J16"/>
    <mergeCell ref="K15:K16"/>
    <mergeCell ref="A9:Q9"/>
    <mergeCell ref="A10:Q10"/>
    <mergeCell ref="A11:Q11"/>
    <mergeCell ref="P15:Q15"/>
    <mergeCell ref="C16:E16"/>
    <mergeCell ref="D36:E36"/>
    <mergeCell ref="C37:E37"/>
    <mergeCell ref="C38:E38"/>
    <mergeCell ref="A17:A33"/>
    <mergeCell ref="B17:B19"/>
    <mergeCell ref="C17:C19"/>
    <mergeCell ref="D17:E17"/>
    <mergeCell ref="D18:D19"/>
    <mergeCell ref="C26:E26"/>
    <mergeCell ref="C27:E27"/>
    <mergeCell ref="C28:E28"/>
    <mergeCell ref="C29:E29"/>
    <mergeCell ref="C30:E30"/>
    <mergeCell ref="C31:E31"/>
    <mergeCell ref="B20:B22"/>
    <mergeCell ref="C20:C22"/>
    <mergeCell ref="D20:E20"/>
    <mergeCell ref="D21:D22"/>
    <mergeCell ref="B23:B25"/>
    <mergeCell ref="C23:C25"/>
    <mergeCell ref="D23:E23"/>
    <mergeCell ref="D24:D25"/>
    <mergeCell ref="C33:E33"/>
    <mergeCell ref="C49:E49"/>
    <mergeCell ref="C57:E57"/>
    <mergeCell ref="B58:B59"/>
    <mergeCell ref="C58:C59"/>
    <mergeCell ref="D58:E58"/>
    <mergeCell ref="D59:E59"/>
    <mergeCell ref="B39:B41"/>
    <mergeCell ref="C39:C41"/>
    <mergeCell ref="D39:E39"/>
    <mergeCell ref="D40:E40"/>
    <mergeCell ref="D41:E41"/>
    <mergeCell ref="B42:B43"/>
    <mergeCell ref="D42:E42"/>
    <mergeCell ref="D43:E43"/>
    <mergeCell ref="C60:E60"/>
    <mergeCell ref="C50:E50"/>
    <mergeCell ref="A51:A69"/>
    <mergeCell ref="C51:E51"/>
    <mergeCell ref="C52:E52"/>
    <mergeCell ref="C53:E53"/>
    <mergeCell ref="C54:E54"/>
    <mergeCell ref="C55:E55"/>
    <mergeCell ref="C56:E56"/>
    <mergeCell ref="C65:E65"/>
    <mergeCell ref="C66:E66"/>
    <mergeCell ref="C67:E67"/>
    <mergeCell ref="C68:E68"/>
    <mergeCell ref="C69:E69"/>
    <mergeCell ref="A34:A50"/>
    <mergeCell ref="B34:B36"/>
    <mergeCell ref="C34:C36"/>
    <mergeCell ref="D34:E34"/>
    <mergeCell ref="D35:E35"/>
    <mergeCell ref="C44:E44"/>
    <mergeCell ref="C45:E45"/>
    <mergeCell ref="C46:E46"/>
    <mergeCell ref="C47:E47"/>
    <mergeCell ref="C48:E48"/>
    <mergeCell ref="A73:H73"/>
    <mergeCell ref="C75:E75"/>
    <mergeCell ref="F75:H76"/>
    <mergeCell ref="J75:J76"/>
    <mergeCell ref="G79:H79"/>
    <mergeCell ref="D80:E80"/>
    <mergeCell ref="G80:H80"/>
    <mergeCell ref="C70:E70"/>
    <mergeCell ref="C61:E61"/>
    <mergeCell ref="C62:E62"/>
    <mergeCell ref="B63:B64"/>
    <mergeCell ref="C63:C64"/>
    <mergeCell ref="D63:E63"/>
    <mergeCell ref="D64:E64"/>
    <mergeCell ref="B78:B80"/>
    <mergeCell ref="C78:C80"/>
    <mergeCell ref="D78:E78"/>
    <mergeCell ref="C81:E81"/>
    <mergeCell ref="G81:H81"/>
    <mergeCell ref="C82:E82"/>
    <mergeCell ref="F82:H82"/>
    <mergeCell ref="N75:O75"/>
    <mergeCell ref="P75:Q75"/>
    <mergeCell ref="C76:E76"/>
    <mergeCell ref="C77:E77"/>
    <mergeCell ref="G77:H77"/>
    <mergeCell ref="K75:K76"/>
    <mergeCell ref="L75:M75"/>
    <mergeCell ref="G78:H78"/>
    <mergeCell ref="D79:E79"/>
    <mergeCell ref="B87:B88"/>
    <mergeCell ref="C87:C88"/>
    <mergeCell ref="D87:E87"/>
    <mergeCell ref="G87:H87"/>
    <mergeCell ref="D88:E88"/>
    <mergeCell ref="G88:H88"/>
    <mergeCell ref="B83:B86"/>
    <mergeCell ref="C83:C86"/>
    <mergeCell ref="D83:E83"/>
    <mergeCell ref="G83:H83"/>
    <mergeCell ref="D84:E84"/>
    <mergeCell ref="G84:H84"/>
    <mergeCell ref="D85:E85"/>
    <mergeCell ref="G85:H85"/>
    <mergeCell ref="D86:E86"/>
    <mergeCell ref="G86:H86"/>
    <mergeCell ref="B89:B92"/>
    <mergeCell ref="C89:C92"/>
    <mergeCell ref="D89:E89"/>
    <mergeCell ref="G89:H89"/>
    <mergeCell ref="D90:E90"/>
    <mergeCell ref="G90:H90"/>
    <mergeCell ref="D91:E91"/>
    <mergeCell ref="G91:H91"/>
    <mergeCell ref="D92:E92"/>
    <mergeCell ref="G92:H92"/>
    <mergeCell ref="C95:E95"/>
    <mergeCell ref="G95:H95"/>
    <mergeCell ref="C96:E96"/>
    <mergeCell ref="G96:H96"/>
    <mergeCell ref="C97:E97"/>
    <mergeCell ref="G97:H97"/>
    <mergeCell ref="B93:B94"/>
    <mergeCell ref="C93:C94"/>
    <mergeCell ref="D93:E93"/>
    <mergeCell ref="G93:H93"/>
    <mergeCell ref="D94:E94"/>
    <mergeCell ref="G94:H94"/>
    <mergeCell ref="C101:E101"/>
    <mergeCell ref="G101:H101"/>
    <mergeCell ref="A104:H104"/>
    <mergeCell ref="C98:E98"/>
    <mergeCell ref="G98:H98"/>
    <mergeCell ref="C99:E99"/>
    <mergeCell ref="G99:H99"/>
    <mergeCell ref="C100:E100"/>
    <mergeCell ref="G100:H100"/>
  </mergeCells>
  <conditionalFormatting sqref="P77:Q101 P17:Q70">
    <cfRule type="cellIs" dxfId="396" priority="1" operator="equal">
      <formula>"Yes"</formula>
    </cfRule>
  </conditionalFormatting>
  <hyperlinks>
    <hyperlink ref="B107" display="See pages 17-19 of Kinetrics Report"/>
  </hyperlinks>
  <pageMargins left="0.7" right="0.7" top="0.75" bottom="0.75" header="0.3" footer="0.3"/>
  <pageSetup scale="41"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tabColor rgb="FF00B0F0"/>
    <pageSetUpPr fitToPage="1"/>
  </sheetPr>
  <dimension ref="A1:N67"/>
  <sheetViews>
    <sheetView showGridLines="0" view="pageBreakPreview" zoomScale="60" zoomScaleNormal="100" workbookViewId="0">
      <selection activeCell="L1" sqref="L1"/>
    </sheetView>
  </sheetViews>
  <sheetFormatPr defaultRowHeight="12.75" x14ac:dyDescent="0.2"/>
  <cols>
    <col min="1" max="1" width="9.140625" style="52"/>
    <col min="2" max="2" width="42" style="52" customWidth="1"/>
    <col min="3" max="5" width="12.85546875" style="232" customWidth="1"/>
    <col min="6" max="6" width="10" style="232" customWidth="1"/>
    <col min="7" max="7" width="19.42578125" style="232" customWidth="1"/>
    <col min="8" max="8" width="7.7109375" style="242" customWidth="1"/>
    <col min="9" max="9" width="12.28515625" style="52" customWidth="1"/>
    <col min="10" max="10" width="12.7109375" style="232" customWidth="1"/>
    <col min="11" max="11" width="17.28515625" style="232" customWidth="1"/>
    <col min="12" max="12" width="15" style="232" customWidth="1"/>
    <col min="13" max="257" width="9.140625" style="52"/>
    <col min="258" max="258" width="2.7109375" style="52" customWidth="1"/>
    <col min="259" max="259" width="9.140625" style="52"/>
    <col min="260" max="260" width="40.28515625" style="52" bestFit="1" customWidth="1"/>
    <col min="261" max="261" width="12.85546875" style="52" customWidth="1"/>
    <col min="262" max="262" width="10" style="52" customWidth="1"/>
    <col min="263" max="263" width="19.42578125" style="52" customWidth="1"/>
    <col min="264" max="264" width="7.7109375" style="52" customWidth="1"/>
    <col min="265" max="265" width="12.28515625" style="52" customWidth="1"/>
    <col min="266" max="266" width="12.7109375" style="52" customWidth="1"/>
    <col min="267" max="267" width="13.5703125" style="52" customWidth="1"/>
    <col min="268" max="268" width="11.85546875" style="52" customWidth="1"/>
    <col min="269" max="513" width="9.140625" style="52"/>
    <col min="514" max="514" width="2.7109375" style="52" customWidth="1"/>
    <col min="515" max="515" width="9.140625" style="52"/>
    <col min="516" max="516" width="40.28515625" style="52" bestFit="1" customWidth="1"/>
    <col min="517" max="517" width="12.85546875" style="52" customWidth="1"/>
    <col min="518" max="518" width="10" style="52" customWidth="1"/>
    <col min="519" max="519" width="19.42578125" style="52" customWidth="1"/>
    <col min="520" max="520" width="7.7109375" style="52" customWidth="1"/>
    <col min="521" max="521" width="12.28515625" style="52" customWidth="1"/>
    <col min="522" max="522" width="12.7109375" style="52" customWidth="1"/>
    <col min="523" max="523" width="13.5703125" style="52" customWidth="1"/>
    <col min="524" max="524" width="11.85546875" style="52" customWidth="1"/>
    <col min="525" max="769" width="9.140625" style="52"/>
    <col min="770" max="770" width="2.7109375" style="52" customWidth="1"/>
    <col min="771" max="771" width="9.140625" style="52"/>
    <col min="772" max="772" width="40.28515625" style="52" bestFit="1" customWidth="1"/>
    <col min="773" max="773" width="12.85546875" style="52" customWidth="1"/>
    <col min="774" max="774" width="10" style="52" customWidth="1"/>
    <col min="775" max="775" width="19.42578125" style="52" customWidth="1"/>
    <col min="776" max="776" width="7.7109375" style="52" customWidth="1"/>
    <col min="777" max="777" width="12.28515625" style="52" customWidth="1"/>
    <col min="778" max="778" width="12.7109375" style="52" customWidth="1"/>
    <col min="779" max="779" width="13.5703125" style="52" customWidth="1"/>
    <col min="780" max="780" width="11.85546875" style="52" customWidth="1"/>
    <col min="781" max="1025" width="9.140625" style="52"/>
    <col min="1026" max="1026" width="2.7109375" style="52" customWidth="1"/>
    <col min="1027" max="1027" width="9.140625" style="52"/>
    <col min="1028" max="1028" width="40.28515625" style="52" bestFit="1" customWidth="1"/>
    <col min="1029" max="1029" width="12.85546875" style="52" customWidth="1"/>
    <col min="1030" max="1030" width="10" style="52" customWidth="1"/>
    <col min="1031" max="1031" width="19.42578125" style="52" customWidth="1"/>
    <col min="1032" max="1032" width="7.7109375" style="52" customWidth="1"/>
    <col min="1033" max="1033" width="12.28515625" style="52" customWidth="1"/>
    <col min="1034" max="1034" width="12.7109375" style="52" customWidth="1"/>
    <col min="1035" max="1035" width="13.5703125" style="52" customWidth="1"/>
    <col min="1036" max="1036" width="11.85546875" style="52" customWidth="1"/>
    <col min="1037" max="1281" width="9.140625" style="52"/>
    <col min="1282" max="1282" width="2.7109375" style="52" customWidth="1"/>
    <col min="1283" max="1283" width="9.140625" style="52"/>
    <col min="1284" max="1284" width="40.28515625" style="52" bestFit="1" customWidth="1"/>
    <col min="1285" max="1285" width="12.85546875" style="52" customWidth="1"/>
    <col min="1286" max="1286" width="10" style="52" customWidth="1"/>
    <col min="1287" max="1287" width="19.42578125" style="52" customWidth="1"/>
    <col min="1288" max="1288" width="7.7109375" style="52" customWidth="1"/>
    <col min="1289" max="1289" width="12.28515625" style="52" customWidth="1"/>
    <col min="1290" max="1290" width="12.7109375" style="52" customWidth="1"/>
    <col min="1291" max="1291" width="13.5703125" style="52" customWidth="1"/>
    <col min="1292" max="1292" width="11.85546875" style="52" customWidth="1"/>
    <col min="1293" max="1537" width="9.140625" style="52"/>
    <col min="1538" max="1538" width="2.7109375" style="52" customWidth="1"/>
    <col min="1539" max="1539" width="9.140625" style="52"/>
    <col min="1540" max="1540" width="40.28515625" style="52" bestFit="1" customWidth="1"/>
    <col min="1541" max="1541" width="12.85546875" style="52" customWidth="1"/>
    <col min="1542" max="1542" width="10" style="52" customWidth="1"/>
    <col min="1543" max="1543" width="19.42578125" style="52" customWidth="1"/>
    <col min="1544" max="1544" width="7.7109375" style="52" customWidth="1"/>
    <col min="1545" max="1545" width="12.28515625" style="52" customWidth="1"/>
    <col min="1546" max="1546" width="12.7109375" style="52" customWidth="1"/>
    <col min="1547" max="1547" width="13.5703125" style="52" customWidth="1"/>
    <col min="1548" max="1548" width="11.85546875" style="52" customWidth="1"/>
    <col min="1549" max="1793" width="9.140625" style="52"/>
    <col min="1794" max="1794" width="2.7109375" style="52" customWidth="1"/>
    <col min="1795" max="1795" width="9.140625" style="52"/>
    <col min="1796" max="1796" width="40.28515625" style="52" bestFit="1" customWidth="1"/>
    <col min="1797" max="1797" width="12.85546875" style="52" customWidth="1"/>
    <col min="1798" max="1798" width="10" style="52" customWidth="1"/>
    <col min="1799" max="1799" width="19.42578125" style="52" customWidth="1"/>
    <col min="1800" max="1800" width="7.7109375" style="52" customWidth="1"/>
    <col min="1801" max="1801" width="12.28515625" style="52" customWidth="1"/>
    <col min="1802" max="1802" width="12.7109375" style="52" customWidth="1"/>
    <col min="1803" max="1803" width="13.5703125" style="52" customWidth="1"/>
    <col min="1804" max="1804" width="11.85546875" style="52" customWidth="1"/>
    <col min="1805" max="2049" width="9.140625" style="52"/>
    <col min="2050" max="2050" width="2.7109375" style="52" customWidth="1"/>
    <col min="2051" max="2051" width="9.140625" style="52"/>
    <col min="2052" max="2052" width="40.28515625" style="52" bestFit="1" customWidth="1"/>
    <col min="2053" max="2053" width="12.85546875" style="52" customWidth="1"/>
    <col min="2054" max="2054" width="10" style="52" customWidth="1"/>
    <col min="2055" max="2055" width="19.42578125" style="52" customWidth="1"/>
    <col min="2056" max="2056" width="7.7109375" style="52" customWidth="1"/>
    <col min="2057" max="2057" width="12.28515625" style="52" customWidth="1"/>
    <col min="2058" max="2058" width="12.7109375" style="52" customWidth="1"/>
    <col min="2059" max="2059" width="13.5703125" style="52" customWidth="1"/>
    <col min="2060" max="2060" width="11.85546875" style="52" customWidth="1"/>
    <col min="2061" max="2305" width="9.140625" style="52"/>
    <col min="2306" max="2306" width="2.7109375" style="52" customWidth="1"/>
    <col min="2307" max="2307" width="9.140625" style="52"/>
    <col min="2308" max="2308" width="40.28515625" style="52" bestFit="1" customWidth="1"/>
    <col min="2309" max="2309" width="12.85546875" style="52" customWidth="1"/>
    <col min="2310" max="2310" width="10" style="52" customWidth="1"/>
    <col min="2311" max="2311" width="19.42578125" style="52" customWidth="1"/>
    <col min="2312" max="2312" width="7.7109375" style="52" customWidth="1"/>
    <col min="2313" max="2313" width="12.28515625" style="52" customWidth="1"/>
    <col min="2314" max="2314" width="12.7109375" style="52" customWidth="1"/>
    <col min="2315" max="2315" width="13.5703125" style="52" customWidth="1"/>
    <col min="2316" max="2316" width="11.85546875" style="52" customWidth="1"/>
    <col min="2317" max="2561" width="9.140625" style="52"/>
    <col min="2562" max="2562" width="2.7109375" style="52" customWidth="1"/>
    <col min="2563" max="2563" width="9.140625" style="52"/>
    <col min="2564" max="2564" width="40.28515625" style="52" bestFit="1" customWidth="1"/>
    <col min="2565" max="2565" width="12.85546875" style="52" customWidth="1"/>
    <col min="2566" max="2566" width="10" style="52" customWidth="1"/>
    <col min="2567" max="2567" width="19.42578125" style="52" customWidth="1"/>
    <col min="2568" max="2568" width="7.7109375" style="52" customWidth="1"/>
    <col min="2569" max="2569" width="12.28515625" style="52" customWidth="1"/>
    <col min="2570" max="2570" width="12.7109375" style="52" customWidth="1"/>
    <col min="2571" max="2571" width="13.5703125" style="52" customWidth="1"/>
    <col min="2572" max="2572" width="11.85546875" style="52" customWidth="1"/>
    <col min="2573" max="2817" width="9.140625" style="52"/>
    <col min="2818" max="2818" width="2.7109375" style="52" customWidth="1"/>
    <col min="2819" max="2819" width="9.140625" style="52"/>
    <col min="2820" max="2820" width="40.28515625" style="52" bestFit="1" customWidth="1"/>
    <col min="2821" max="2821" width="12.85546875" style="52" customWidth="1"/>
    <col min="2822" max="2822" width="10" style="52" customWidth="1"/>
    <col min="2823" max="2823" width="19.42578125" style="52" customWidth="1"/>
    <col min="2824" max="2824" width="7.7109375" style="52" customWidth="1"/>
    <col min="2825" max="2825" width="12.28515625" style="52" customWidth="1"/>
    <col min="2826" max="2826" width="12.7109375" style="52" customWidth="1"/>
    <col min="2827" max="2827" width="13.5703125" style="52" customWidth="1"/>
    <col min="2828" max="2828" width="11.85546875" style="52" customWidth="1"/>
    <col min="2829" max="3073" width="9.140625" style="52"/>
    <col min="3074" max="3074" width="2.7109375" style="52" customWidth="1"/>
    <col min="3075" max="3075" width="9.140625" style="52"/>
    <col min="3076" max="3076" width="40.28515625" style="52" bestFit="1" customWidth="1"/>
    <col min="3077" max="3077" width="12.85546875" style="52" customWidth="1"/>
    <col min="3078" max="3078" width="10" style="52" customWidth="1"/>
    <col min="3079" max="3079" width="19.42578125" style="52" customWidth="1"/>
    <col min="3080" max="3080" width="7.7109375" style="52" customWidth="1"/>
    <col min="3081" max="3081" width="12.28515625" style="52" customWidth="1"/>
    <col min="3082" max="3082" width="12.7109375" style="52" customWidth="1"/>
    <col min="3083" max="3083" width="13.5703125" style="52" customWidth="1"/>
    <col min="3084" max="3084" width="11.85546875" style="52" customWidth="1"/>
    <col min="3085" max="3329" width="9.140625" style="52"/>
    <col min="3330" max="3330" width="2.7109375" style="52" customWidth="1"/>
    <col min="3331" max="3331" width="9.140625" style="52"/>
    <col min="3332" max="3332" width="40.28515625" style="52" bestFit="1" customWidth="1"/>
    <col min="3333" max="3333" width="12.85546875" style="52" customWidth="1"/>
    <col min="3334" max="3334" width="10" style="52" customWidth="1"/>
    <col min="3335" max="3335" width="19.42578125" style="52" customWidth="1"/>
    <col min="3336" max="3336" width="7.7109375" style="52" customWidth="1"/>
    <col min="3337" max="3337" width="12.28515625" style="52" customWidth="1"/>
    <col min="3338" max="3338" width="12.7109375" style="52" customWidth="1"/>
    <col min="3339" max="3339" width="13.5703125" style="52" customWidth="1"/>
    <col min="3340" max="3340" width="11.85546875" style="52" customWidth="1"/>
    <col min="3341" max="3585" width="9.140625" style="52"/>
    <col min="3586" max="3586" width="2.7109375" style="52" customWidth="1"/>
    <col min="3587" max="3587" width="9.140625" style="52"/>
    <col min="3588" max="3588" width="40.28515625" style="52" bestFit="1" customWidth="1"/>
    <col min="3589" max="3589" width="12.85546875" style="52" customWidth="1"/>
    <col min="3590" max="3590" width="10" style="52" customWidth="1"/>
    <col min="3591" max="3591" width="19.42578125" style="52" customWidth="1"/>
    <col min="3592" max="3592" width="7.7109375" style="52" customWidth="1"/>
    <col min="3593" max="3593" width="12.28515625" style="52" customWidth="1"/>
    <col min="3594" max="3594" width="12.7109375" style="52" customWidth="1"/>
    <col min="3595" max="3595" width="13.5703125" style="52" customWidth="1"/>
    <col min="3596" max="3596" width="11.85546875" style="52" customWidth="1"/>
    <col min="3597" max="3841" width="9.140625" style="52"/>
    <col min="3842" max="3842" width="2.7109375" style="52" customWidth="1"/>
    <col min="3843" max="3843" width="9.140625" style="52"/>
    <col min="3844" max="3844" width="40.28515625" style="52" bestFit="1" customWidth="1"/>
    <col min="3845" max="3845" width="12.85546875" style="52" customWidth="1"/>
    <col min="3846" max="3846" width="10" style="52" customWidth="1"/>
    <col min="3847" max="3847" width="19.42578125" style="52" customWidth="1"/>
    <col min="3848" max="3848" width="7.7109375" style="52" customWidth="1"/>
    <col min="3849" max="3849" width="12.28515625" style="52" customWidth="1"/>
    <col min="3850" max="3850" width="12.7109375" style="52" customWidth="1"/>
    <col min="3851" max="3851" width="13.5703125" style="52" customWidth="1"/>
    <col min="3852" max="3852" width="11.85546875" style="52" customWidth="1"/>
    <col min="3853" max="4097" width="9.140625" style="52"/>
    <col min="4098" max="4098" width="2.7109375" style="52" customWidth="1"/>
    <col min="4099" max="4099" width="9.140625" style="52"/>
    <col min="4100" max="4100" width="40.28515625" style="52" bestFit="1" customWidth="1"/>
    <col min="4101" max="4101" width="12.85546875" style="52" customWidth="1"/>
    <col min="4102" max="4102" width="10" style="52" customWidth="1"/>
    <col min="4103" max="4103" width="19.42578125" style="52" customWidth="1"/>
    <col min="4104" max="4104" width="7.7109375" style="52" customWidth="1"/>
    <col min="4105" max="4105" width="12.28515625" style="52" customWidth="1"/>
    <col min="4106" max="4106" width="12.7109375" style="52" customWidth="1"/>
    <col min="4107" max="4107" width="13.5703125" style="52" customWidth="1"/>
    <col min="4108" max="4108" width="11.85546875" style="52" customWidth="1"/>
    <col min="4109" max="4353" width="9.140625" style="52"/>
    <col min="4354" max="4354" width="2.7109375" style="52" customWidth="1"/>
    <col min="4355" max="4355" width="9.140625" style="52"/>
    <col min="4356" max="4356" width="40.28515625" style="52" bestFit="1" customWidth="1"/>
    <col min="4357" max="4357" width="12.85546875" style="52" customWidth="1"/>
    <col min="4358" max="4358" width="10" style="52" customWidth="1"/>
    <col min="4359" max="4359" width="19.42578125" style="52" customWidth="1"/>
    <col min="4360" max="4360" width="7.7109375" style="52" customWidth="1"/>
    <col min="4361" max="4361" width="12.28515625" style="52" customWidth="1"/>
    <col min="4362" max="4362" width="12.7109375" style="52" customWidth="1"/>
    <col min="4363" max="4363" width="13.5703125" style="52" customWidth="1"/>
    <col min="4364" max="4364" width="11.85546875" style="52" customWidth="1"/>
    <col min="4365" max="4609" width="9.140625" style="52"/>
    <col min="4610" max="4610" width="2.7109375" style="52" customWidth="1"/>
    <col min="4611" max="4611" width="9.140625" style="52"/>
    <col min="4612" max="4612" width="40.28515625" style="52" bestFit="1" customWidth="1"/>
    <col min="4613" max="4613" width="12.85546875" style="52" customWidth="1"/>
    <col min="4614" max="4614" width="10" style="52" customWidth="1"/>
    <col min="4615" max="4615" width="19.42578125" style="52" customWidth="1"/>
    <col min="4616" max="4616" width="7.7109375" style="52" customWidth="1"/>
    <col min="4617" max="4617" width="12.28515625" style="52" customWidth="1"/>
    <col min="4618" max="4618" width="12.7109375" style="52" customWidth="1"/>
    <col min="4619" max="4619" width="13.5703125" style="52" customWidth="1"/>
    <col min="4620" max="4620" width="11.85546875" style="52" customWidth="1"/>
    <col min="4621" max="4865" width="9.140625" style="52"/>
    <col min="4866" max="4866" width="2.7109375" style="52" customWidth="1"/>
    <col min="4867" max="4867" width="9.140625" style="52"/>
    <col min="4868" max="4868" width="40.28515625" style="52" bestFit="1" customWidth="1"/>
    <col min="4869" max="4869" width="12.85546875" style="52" customWidth="1"/>
    <col min="4870" max="4870" width="10" style="52" customWidth="1"/>
    <col min="4871" max="4871" width="19.42578125" style="52" customWidth="1"/>
    <col min="4872" max="4872" width="7.7109375" style="52" customWidth="1"/>
    <col min="4873" max="4873" width="12.28515625" style="52" customWidth="1"/>
    <col min="4874" max="4874" width="12.7109375" style="52" customWidth="1"/>
    <col min="4875" max="4875" width="13.5703125" style="52" customWidth="1"/>
    <col min="4876" max="4876" width="11.85546875" style="52" customWidth="1"/>
    <col min="4877" max="5121" width="9.140625" style="52"/>
    <col min="5122" max="5122" width="2.7109375" style="52" customWidth="1"/>
    <col min="5123" max="5123" width="9.140625" style="52"/>
    <col min="5124" max="5124" width="40.28515625" style="52" bestFit="1" customWidth="1"/>
    <col min="5125" max="5125" width="12.85546875" style="52" customWidth="1"/>
    <col min="5126" max="5126" width="10" style="52" customWidth="1"/>
    <col min="5127" max="5127" width="19.42578125" style="52" customWidth="1"/>
    <col min="5128" max="5128" width="7.7109375" style="52" customWidth="1"/>
    <col min="5129" max="5129" width="12.28515625" style="52" customWidth="1"/>
    <col min="5130" max="5130" width="12.7109375" style="52" customWidth="1"/>
    <col min="5131" max="5131" width="13.5703125" style="52" customWidth="1"/>
    <col min="5132" max="5132" width="11.85546875" style="52" customWidth="1"/>
    <col min="5133" max="5377" width="9.140625" style="52"/>
    <col min="5378" max="5378" width="2.7109375" style="52" customWidth="1"/>
    <col min="5379" max="5379" width="9.140625" style="52"/>
    <col min="5380" max="5380" width="40.28515625" style="52" bestFit="1" customWidth="1"/>
    <col min="5381" max="5381" width="12.85546875" style="52" customWidth="1"/>
    <col min="5382" max="5382" width="10" style="52" customWidth="1"/>
    <col min="5383" max="5383" width="19.42578125" style="52" customWidth="1"/>
    <col min="5384" max="5384" width="7.7109375" style="52" customWidth="1"/>
    <col min="5385" max="5385" width="12.28515625" style="52" customWidth="1"/>
    <col min="5386" max="5386" width="12.7109375" style="52" customWidth="1"/>
    <col min="5387" max="5387" width="13.5703125" style="52" customWidth="1"/>
    <col min="5388" max="5388" width="11.85546875" style="52" customWidth="1"/>
    <col min="5389" max="5633" width="9.140625" style="52"/>
    <col min="5634" max="5634" width="2.7109375" style="52" customWidth="1"/>
    <col min="5635" max="5635" width="9.140625" style="52"/>
    <col min="5636" max="5636" width="40.28515625" style="52" bestFit="1" customWidth="1"/>
    <col min="5637" max="5637" width="12.85546875" style="52" customWidth="1"/>
    <col min="5638" max="5638" width="10" style="52" customWidth="1"/>
    <col min="5639" max="5639" width="19.42578125" style="52" customWidth="1"/>
    <col min="5640" max="5640" width="7.7109375" style="52" customWidth="1"/>
    <col min="5641" max="5641" width="12.28515625" style="52" customWidth="1"/>
    <col min="5642" max="5642" width="12.7109375" style="52" customWidth="1"/>
    <col min="5643" max="5643" width="13.5703125" style="52" customWidth="1"/>
    <col min="5644" max="5644" width="11.85546875" style="52" customWidth="1"/>
    <col min="5645" max="5889" width="9.140625" style="52"/>
    <col min="5890" max="5890" width="2.7109375" style="52" customWidth="1"/>
    <col min="5891" max="5891" width="9.140625" style="52"/>
    <col min="5892" max="5892" width="40.28515625" style="52" bestFit="1" customWidth="1"/>
    <col min="5893" max="5893" width="12.85546875" style="52" customWidth="1"/>
    <col min="5894" max="5894" width="10" style="52" customWidth="1"/>
    <col min="5895" max="5895" width="19.42578125" style="52" customWidth="1"/>
    <col min="5896" max="5896" width="7.7109375" style="52" customWidth="1"/>
    <col min="5897" max="5897" width="12.28515625" style="52" customWidth="1"/>
    <col min="5898" max="5898" width="12.7109375" style="52" customWidth="1"/>
    <col min="5899" max="5899" width="13.5703125" style="52" customWidth="1"/>
    <col min="5900" max="5900" width="11.85546875" style="52" customWidth="1"/>
    <col min="5901" max="6145" width="9.140625" style="52"/>
    <col min="6146" max="6146" width="2.7109375" style="52" customWidth="1"/>
    <col min="6147" max="6147" width="9.140625" style="52"/>
    <col min="6148" max="6148" width="40.28515625" style="52" bestFit="1" customWidth="1"/>
    <col min="6149" max="6149" width="12.85546875" style="52" customWidth="1"/>
    <col min="6150" max="6150" width="10" style="52" customWidth="1"/>
    <col min="6151" max="6151" width="19.42578125" style="52" customWidth="1"/>
    <col min="6152" max="6152" width="7.7109375" style="52" customWidth="1"/>
    <col min="6153" max="6153" width="12.28515625" style="52" customWidth="1"/>
    <col min="6154" max="6154" width="12.7109375" style="52" customWidth="1"/>
    <col min="6155" max="6155" width="13.5703125" style="52" customWidth="1"/>
    <col min="6156" max="6156" width="11.85546875" style="52" customWidth="1"/>
    <col min="6157" max="6401" width="9.140625" style="52"/>
    <col min="6402" max="6402" width="2.7109375" style="52" customWidth="1"/>
    <col min="6403" max="6403" width="9.140625" style="52"/>
    <col min="6404" max="6404" width="40.28515625" style="52" bestFit="1" customWidth="1"/>
    <col min="6405" max="6405" width="12.85546875" style="52" customWidth="1"/>
    <col min="6406" max="6406" width="10" style="52" customWidth="1"/>
    <col min="6407" max="6407" width="19.42578125" style="52" customWidth="1"/>
    <col min="6408" max="6408" width="7.7109375" style="52" customWidth="1"/>
    <col min="6409" max="6409" width="12.28515625" style="52" customWidth="1"/>
    <col min="6410" max="6410" width="12.7109375" style="52" customWidth="1"/>
    <col min="6411" max="6411" width="13.5703125" style="52" customWidth="1"/>
    <col min="6412" max="6412" width="11.85546875" style="52" customWidth="1"/>
    <col min="6413" max="6657" width="9.140625" style="52"/>
    <col min="6658" max="6658" width="2.7109375" style="52" customWidth="1"/>
    <col min="6659" max="6659" width="9.140625" style="52"/>
    <col min="6660" max="6660" width="40.28515625" style="52" bestFit="1" customWidth="1"/>
    <col min="6661" max="6661" width="12.85546875" style="52" customWidth="1"/>
    <col min="6662" max="6662" width="10" style="52" customWidth="1"/>
    <col min="6663" max="6663" width="19.42578125" style="52" customWidth="1"/>
    <col min="6664" max="6664" width="7.7109375" style="52" customWidth="1"/>
    <col min="6665" max="6665" width="12.28515625" style="52" customWidth="1"/>
    <col min="6666" max="6666" width="12.7109375" style="52" customWidth="1"/>
    <col min="6667" max="6667" width="13.5703125" style="52" customWidth="1"/>
    <col min="6668" max="6668" width="11.85546875" style="52" customWidth="1"/>
    <col min="6669" max="6913" width="9.140625" style="52"/>
    <col min="6914" max="6914" width="2.7109375" style="52" customWidth="1"/>
    <col min="6915" max="6915" width="9.140625" style="52"/>
    <col min="6916" max="6916" width="40.28515625" style="52" bestFit="1" customWidth="1"/>
    <col min="6917" max="6917" width="12.85546875" style="52" customWidth="1"/>
    <col min="6918" max="6918" width="10" style="52" customWidth="1"/>
    <col min="6919" max="6919" width="19.42578125" style="52" customWidth="1"/>
    <col min="6920" max="6920" width="7.7109375" style="52" customWidth="1"/>
    <col min="6921" max="6921" width="12.28515625" style="52" customWidth="1"/>
    <col min="6922" max="6922" width="12.7109375" style="52" customWidth="1"/>
    <col min="6923" max="6923" width="13.5703125" style="52" customWidth="1"/>
    <col min="6924" max="6924" width="11.85546875" style="52" customWidth="1"/>
    <col min="6925" max="7169" width="9.140625" style="52"/>
    <col min="7170" max="7170" width="2.7109375" style="52" customWidth="1"/>
    <col min="7171" max="7171" width="9.140625" style="52"/>
    <col min="7172" max="7172" width="40.28515625" style="52" bestFit="1" customWidth="1"/>
    <col min="7173" max="7173" width="12.85546875" style="52" customWidth="1"/>
    <col min="7174" max="7174" width="10" style="52" customWidth="1"/>
    <col min="7175" max="7175" width="19.42578125" style="52" customWidth="1"/>
    <col min="7176" max="7176" width="7.7109375" style="52" customWidth="1"/>
    <col min="7177" max="7177" width="12.28515625" style="52" customWidth="1"/>
    <col min="7178" max="7178" width="12.7109375" style="52" customWidth="1"/>
    <col min="7179" max="7179" width="13.5703125" style="52" customWidth="1"/>
    <col min="7180" max="7180" width="11.85546875" style="52" customWidth="1"/>
    <col min="7181" max="7425" width="9.140625" style="52"/>
    <col min="7426" max="7426" width="2.7109375" style="52" customWidth="1"/>
    <col min="7427" max="7427" width="9.140625" style="52"/>
    <col min="7428" max="7428" width="40.28515625" style="52" bestFit="1" customWidth="1"/>
    <col min="7429" max="7429" width="12.85546875" style="52" customWidth="1"/>
    <col min="7430" max="7430" width="10" style="52" customWidth="1"/>
    <col min="7431" max="7431" width="19.42578125" style="52" customWidth="1"/>
    <col min="7432" max="7432" width="7.7109375" style="52" customWidth="1"/>
    <col min="7433" max="7433" width="12.28515625" style="52" customWidth="1"/>
    <col min="7434" max="7434" width="12.7109375" style="52" customWidth="1"/>
    <col min="7435" max="7435" width="13.5703125" style="52" customWidth="1"/>
    <col min="7436" max="7436" width="11.85546875" style="52" customWidth="1"/>
    <col min="7437" max="7681" width="9.140625" style="52"/>
    <col min="7682" max="7682" width="2.7109375" style="52" customWidth="1"/>
    <col min="7683" max="7683" width="9.140625" style="52"/>
    <col min="7684" max="7684" width="40.28515625" style="52" bestFit="1" customWidth="1"/>
    <col min="7685" max="7685" width="12.85546875" style="52" customWidth="1"/>
    <col min="7686" max="7686" width="10" style="52" customWidth="1"/>
    <col min="7687" max="7687" width="19.42578125" style="52" customWidth="1"/>
    <col min="7688" max="7688" width="7.7109375" style="52" customWidth="1"/>
    <col min="7689" max="7689" width="12.28515625" style="52" customWidth="1"/>
    <col min="7690" max="7690" width="12.7109375" style="52" customWidth="1"/>
    <col min="7691" max="7691" width="13.5703125" style="52" customWidth="1"/>
    <col min="7692" max="7692" width="11.85546875" style="52" customWidth="1"/>
    <col min="7693" max="7937" width="9.140625" style="52"/>
    <col min="7938" max="7938" width="2.7109375" style="52" customWidth="1"/>
    <col min="7939" max="7939" width="9.140625" style="52"/>
    <col min="7940" max="7940" width="40.28515625" style="52" bestFit="1" customWidth="1"/>
    <col min="7941" max="7941" width="12.85546875" style="52" customWidth="1"/>
    <col min="7942" max="7942" width="10" style="52" customWidth="1"/>
    <col min="7943" max="7943" width="19.42578125" style="52" customWidth="1"/>
    <col min="7944" max="7944" width="7.7109375" style="52" customWidth="1"/>
    <col min="7945" max="7945" width="12.28515625" style="52" customWidth="1"/>
    <col min="7946" max="7946" width="12.7109375" style="52" customWidth="1"/>
    <col min="7947" max="7947" width="13.5703125" style="52" customWidth="1"/>
    <col min="7948" max="7948" width="11.85546875" style="52" customWidth="1"/>
    <col min="7949" max="8193" width="9.140625" style="52"/>
    <col min="8194" max="8194" width="2.7109375" style="52" customWidth="1"/>
    <col min="8195" max="8195" width="9.140625" style="52"/>
    <col min="8196" max="8196" width="40.28515625" style="52" bestFit="1" customWidth="1"/>
    <col min="8197" max="8197" width="12.85546875" style="52" customWidth="1"/>
    <col min="8198" max="8198" width="10" style="52" customWidth="1"/>
    <col min="8199" max="8199" width="19.42578125" style="52" customWidth="1"/>
    <col min="8200" max="8200" width="7.7109375" style="52" customWidth="1"/>
    <col min="8201" max="8201" width="12.28515625" style="52" customWidth="1"/>
    <col min="8202" max="8202" width="12.7109375" style="52" customWidth="1"/>
    <col min="8203" max="8203" width="13.5703125" style="52" customWidth="1"/>
    <col min="8204" max="8204" width="11.85546875" style="52" customWidth="1"/>
    <col min="8205" max="8449" width="9.140625" style="52"/>
    <col min="8450" max="8450" width="2.7109375" style="52" customWidth="1"/>
    <col min="8451" max="8451" width="9.140625" style="52"/>
    <col min="8452" max="8452" width="40.28515625" style="52" bestFit="1" customWidth="1"/>
    <col min="8453" max="8453" width="12.85546875" style="52" customWidth="1"/>
    <col min="8454" max="8454" width="10" style="52" customWidth="1"/>
    <col min="8455" max="8455" width="19.42578125" style="52" customWidth="1"/>
    <col min="8456" max="8456" width="7.7109375" style="52" customWidth="1"/>
    <col min="8457" max="8457" width="12.28515625" style="52" customWidth="1"/>
    <col min="8458" max="8458" width="12.7109375" style="52" customWidth="1"/>
    <col min="8459" max="8459" width="13.5703125" style="52" customWidth="1"/>
    <col min="8460" max="8460" width="11.85546875" style="52" customWidth="1"/>
    <col min="8461" max="8705" width="9.140625" style="52"/>
    <col min="8706" max="8706" width="2.7109375" style="52" customWidth="1"/>
    <col min="8707" max="8707" width="9.140625" style="52"/>
    <col min="8708" max="8708" width="40.28515625" style="52" bestFit="1" customWidth="1"/>
    <col min="8709" max="8709" width="12.85546875" style="52" customWidth="1"/>
    <col min="8710" max="8710" width="10" style="52" customWidth="1"/>
    <col min="8711" max="8711" width="19.42578125" style="52" customWidth="1"/>
    <col min="8712" max="8712" width="7.7109375" style="52" customWidth="1"/>
    <col min="8713" max="8713" width="12.28515625" style="52" customWidth="1"/>
    <col min="8714" max="8714" width="12.7109375" style="52" customWidth="1"/>
    <col min="8715" max="8715" width="13.5703125" style="52" customWidth="1"/>
    <col min="8716" max="8716" width="11.85546875" style="52" customWidth="1"/>
    <col min="8717" max="8961" width="9.140625" style="52"/>
    <col min="8962" max="8962" width="2.7109375" style="52" customWidth="1"/>
    <col min="8963" max="8963" width="9.140625" style="52"/>
    <col min="8964" max="8964" width="40.28515625" style="52" bestFit="1" customWidth="1"/>
    <col min="8965" max="8965" width="12.85546875" style="52" customWidth="1"/>
    <col min="8966" max="8966" width="10" style="52" customWidth="1"/>
    <col min="8967" max="8967" width="19.42578125" style="52" customWidth="1"/>
    <col min="8968" max="8968" width="7.7109375" style="52" customWidth="1"/>
    <col min="8969" max="8969" width="12.28515625" style="52" customWidth="1"/>
    <col min="8970" max="8970" width="12.7109375" style="52" customWidth="1"/>
    <col min="8971" max="8971" width="13.5703125" style="52" customWidth="1"/>
    <col min="8972" max="8972" width="11.85546875" style="52" customWidth="1"/>
    <col min="8973" max="9217" width="9.140625" style="52"/>
    <col min="9218" max="9218" width="2.7109375" style="52" customWidth="1"/>
    <col min="9219" max="9219" width="9.140625" style="52"/>
    <col min="9220" max="9220" width="40.28515625" style="52" bestFit="1" customWidth="1"/>
    <col min="9221" max="9221" width="12.85546875" style="52" customWidth="1"/>
    <col min="9222" max="9222" width="10" style="52" customWidth="1"/>
    <col min="9223" max="9223" width="19.42578125" style="52" customWidth="1"/>
    <col min="9224" max="9224" width="7.7109375" style="52" customWidth="1"/>
    <col min="9225" max="9225" width="12.28515625" style="52" customWidth="1"/>
    <col min="9226" max="9226" width="12.7109375" style="52" customWidth="1"/>
    <col min="9227" max="9227" width="13.5703125" style="52" customWidth="1"/>
    <col min="9228" max="9228" width="11.85546875" style="52" customWidth="1"/>
    <col min="9229" max="9473" width="9.140625" style="52"/>
    <col min="9474" max="9474" width="2.7109375" style="52" customWidth="1"/>
    <col min="9475" max="9475" width="9.140625" style="52"/>
    <col min="9476" max="9476" width="40.28515625" style="52" bestFit="1" customWidth="1"/>
    <col min="9477" max="9477" width="12.85546875" style="52" customWidth="1"/>
    <col min="9478" max="9478" width="10" style="52" customWidth="1"/>
    <col min="9479" max="9479" width="19.42578125" style="52" customWidth="1"/>
    <col min="9480" max="9480" width="7.7109375" style="52" customWidth="1"/>
    <col min="9481" max="9481" width="12.28515625" style="52" customWidth="1"/>
    <col min="9482" max="9482" width="12.7109375" style="52" customWidth="1"/>
    <col min="9483" max="9483" width="13.5703125" style="52" customWidth="1"/>
    <col min="9484" max="9484" width="11.85546875" style="52" customWidth="1"/>
    <col min="9485" max="9729" width="9.140625" style="52"/>
    <col min="9730" max="9730" width="2.7109375" style="52" customWidth="1"/>
    <col min="9731" max="9731" width="9.140625" style="52"/>
    <col min="9732" max="9732" width="40.28515625" style="52" bestFit="1" customWidth="1"/>
    <col min="9733" max="9733" width="12.85546875" style="52" customWidth="1"/>
    <col min="9734" max="9734" width="10" style="52" customWidth="1"/>
    <col min="9735" max="9735" width="19.42578125" style="52" customWidth="1"/>
    <col min="9736" max="9736" width="7.7109375" style="52" customWidth="1"/>
    <col min="9737" max="9737" width="12.28515625" style="52" customWidth="1"/>
    <col min="9738" max="9738" width="12.7109375" style="52" customWidth="1"/>
    <col min="9739" max="9739" width="13.5703125" style="52" customWidth="1"/>
    <col min="9740" max="9740" width="11.85546875" style="52" customWidth="1"/>
    <col min="9741" max="9985" width="9.140625" style="52"/>
    <col min="9986" max="9986" width="2.7109375" style="52" customWidth="1"/>
    <col min="9987" max="9987" width="9.140625" style="52"/>
    <col min="9988" max="9988" width="40.28515625" style="52" bestFit="1" customWidth="1"/>
    <col min="9989" max="9989" width="12.85546875" style="52" customWidth="1"/>
    <col min="9990" max="9990" width="10" style="52" customWidth="1"/>
    <col min="9991" max="9991" width="19.42578125" style="52" customWidth="1"/>
    <col min="9992" max="9992" width="7.7109375" style="52" customWidth="1"/>
    <col min="9993" max="9993" width="12.28515625" style="52" customWidth="1"/>
    <col min="9994" max="9994" width="12.7109375" style="52" customWidth="1"/>
    <col min="9995" max="9995" width="13.5703125" style="52" customWidth="1"/>
    <col min="9996" max="9996" width="11.85546875" style="52" customWidth="1"/>
    <col min="9997" max="10241" width="9.140625" style="52"/>
    <col min="10242" max="10242" width="2.7109375" style="52" customWidth="1"/>
    <col min="10243" max="10243" width="9.140625" style="52"/>
    <col min="10244" max="10244" width="40.28515625" style="52" bestFit="1" customWidth="1"/>
    <col min="10245" max="10245" width="12.85546875" style="52" customWidth="1"/>
    <col min="10246" max="10246" width="10" style="52" customWidth="1"/>
    <col min="10247" max="10247" width="19.42578125" style="52" customWidth="1"/>
    <col min="10248" max="10248" width="7.7109375" style="52" customWidth="1"/>
    <col min="10249" max="10249" width="12.28515625" style="52" customWidth="1"/>
    <col min="10250" max="10250" width="12.7109375" style="52" customWidth="1"/>
    <col min="10251" max="10251" width="13.5703125" style="52" customWidth="1"/>
    <col min="10252" max="10252" width="11.85546875" style="52" customWidth="1"/>
    <col min="10253" max="10497" width="9.140625" style="52"/>
    <col min="10498" max="10498" width="2.7109375" style="52" customWidth="1"/>
    <col min="10499" max="10499" width="9.140625" style="52"/>
    <col min="10500" max="10500" width="40.28515625" style="52" bestFit="1" customWidth="1"/>
    <col min="10501" max="10501" width="12.85546875" style="52" customWidth="1"/>
    <col min="10502" max="10502" width="10" style="52" customWidth="1"/>
    <col min="10503" max="10503" width="19.42578125" style="52" customWidth="1"/>
    <col min="10504" max="10504" width="7.7109375" style="52" customWidth="1"/>
    <col min="10505" max="10505" width="12.28515625" style="52" customWidth="1"/>
    <col min="10506" max="10506" width="12.7109375" style="52" customWidth="1"/>
    <col min="10507" max="10507" width="13.5703125" style="52" customWidth="1"/>
    <col min="10508" max="10508" width="11.85546875" style="52" customWidth="1"/>
    <col min="10509" max="10753" width="9.140625" style="52"/>
    <col min="10754" max="10754" width="2.7109375" style="52" customWidth="1"/>
    <col min="10755" max="10755" width="9.140625" style="52"/>
    <col min="10756" max="10756" width="40.28515625" style="52" bestFit="1" customWidth="1"/>
    <col min="10757" max="10757" width="12.85546875" style="52" customWidth="1"/>
    <col min="10758" max="10758" width="10" style="52" customWidth="1"/>
    <col min="10759" max="10759" width="19.42578125" style="52" customWidth="1"/>
    <col min="10760" max="10760" width="7.7109375" style="52" customWidth="1"/>
    <col min="10761" max="10761" width="12.28515625" style="52" customWidth="1"/>
    <col min="10762" max="10762" width="12.7109375" style="52" customWidth="1"/>
    <col min="10763" max="10763" width="13.5703125" style="52" customWidth="1"/>
    <col min="10764" max="10764" width="11.85546875" style="52" customWidth="1"/>
    <col min="10765" max="11009" width="9.140625" style="52"/>
    <col min="11010" max="11010" width="2.7109375" style="52" customWidth="1"/>
    <col min="11011" max="11011" width="9.140625" style="52"/>
    <col min="11012" max="11012" width="40.28515625" style="52" bestFit="1" customWidth="1"/>
    <col min="11013" max="11013" width="12.85546875" style="52" customWidth="1"/>
    <col min="11014" max="11014" width="10" style="52" customWidth="1"/>
    <col min="11015" max="11015" width="19.42578125" style="52" customWidth="1"/>
    <col min="11016" max="11016" width="7.7109375" style="52" customWidth="1"/>
    <col min="11017" max="11017" width="12.28515625" style="52" customWidth="1"/>
    <col min="11018" max="11018" width="12.7109375" style="52" customWidth="1"/>
    <col min="11019" max="11019" width="13.5703125" style="52" customWidth="1"/>
    <col min="11020" max="11020" width="11.85546875" style="52" customWidth="1"/>
    <col min="11021" max="11265" width="9.140625" style="52"/>
    <col min="11266" max="11266" width="2.7109375" style="52" customWidth="1"/>
    <col min="11267" max="11267" width="9.140625" style="52"/>
    <col min="11268" max="11268" width="40.28515625" style="52" bestFit="1" customWidth="1"/>
    <col min="11269" max="11269" width="12.85546875" style="52" customWidth="1"/>
    <col min="11270" max="11270" width="10" style="52" customWidth="1"/>
    <col min="11271" max="11271" width="19.42578125" style="52" customWidth="1"/>
    <col min="11272" max="11272" width="7.7109375" style="52" customWidth="1"/>
    <col min="11273" max="11273" width="12.28515625" style="52" customWidth="1"/>
    <col min="11274" max="11274" width="12.7109375" style="52" customWidth="1"/>
    <col min="11275" max="11275" width="13.5703125" style="52" customWidth="1"/>
    <col min="11276" max="11276" width="11.85546875" style="52" customWidth="1"/>
    <col min="11277" max="11521" width="9.140625" style="52"/>
    <col min="11522" max="11522" width="2.7109375" style="52" customWidth="1"/>
    <col min="11523" max="11523" width="9.140625" style="52"/>
    <col min="11524" max="11524" width="40.28515625" style="52" bestFit="1" customWidth="1"/>
    <col min="11525" max="11525" width="12.85546875" style="52" customWidth="1"/>
    <col min="11526" max="11526" width="10" style="52" customWidth="1"/>
    <col min="11527" max="11527" width="19.42578125" style="52" customWidth="1"/>
    <col min="11528" max="11528" width="7.7109375" style="52" customWidth="1"/>
    <col min="11529" max="11529" width="12.28515625" style="52" customWidth="1"/>
    <col min="11530" max="11530" width="12.7109375" style="52" customWidth="1"/>
    <col min="11531" max="11531" width="13.5703125" style="52" customWidth="1"/>
    <col min="11532" max="11532" width="11.85546875" style="52" customWidth="1"/>
    <col min="11533" max="11777" width="9.140625" style="52"/>
    <col min="11778" max="11778" width="2.7109375" style="52" customWidth="1"/>
    <col min="11779" max="11779" width="9.140625" style="52"/>
    <col min="11780" max="11780" width="40.28515625" style="52" bestFit="1" customWidth="1"/>
    <col min="11781" max="11781" width="12.85546875" style="52" customWidth="1"/>
    <col min="11782" max="11782" width="10" style="52" customWidth="1"/>
    <col min="11783" max="11783" width="19.42578125" style="52" customWidth="1"/>
    <col min="11784" max="11784" width="7.7109375" style="52" customWidth="1"/>
    <col min="11785" max="11785" width="12.28515625" style="52" customWidth="1"/>
    <col min="11786" max="11786" width="12.7109375" style="52" customWidth="1"/>
    <col min="11787" max="11787" width="13.5703125" style="52" customWidth="1"/>
    <col min="11788" max="11788" width="11.85546875" style="52" customWidth="1"/>
    <col min="11789" max="12033" width="9.140625" style="52"/>
    <col min="12034" max="12034" width="2.7109375" style="52" customWidth="1"/>
    <col min="12035" max="12035" width="9.140625" style="52"/>
    <col min="12036" max="12036" width="40.28515625" style="52" bestFit="1" customWidth="1"/>
    <col min="12037" max="12037" width="12.85546875" style="52" customWidth="1"/>
    <col min="12038" max="12038" width="10" style="52" customWidth="1"/>
    <col min="12039" max="12039" width="19.42578125" style="52" customWidth="1"/>
    <col min="12040" max="12040" width="7.7109375" style="52" customWidth="1"/>
    <col min="12041" max="12041" width="12.28515625" style="52" customWidth="1"/>
    <col min="12042" max="12042" width="12.7109375" style="52" customWidth="1"/>
    <col min="12043" max="12043" width="13.5703125" style="52" customWidth="1"/>
    <col min="12044" max="12044" width="11.85546875" style="52" customWidth="1"/>
    <col min="12045" max="12289" width="9.140625" style="52"/>
    <col min="12290" max="12290" width="2.7109375" style="52" customWidth="1"/>
    <col min="12291" max="12291" width="9.140625" style="52"/>
    <col min="12292" max="12292" width="40.28515625" style="52" bestFit="1" customWidth="1"/>
    <col min="12293" max="12293" width="12.85546875" style="52" customWidth="1"/>
    <col min="12294" max="12294" width="10" style="52" customWidth="1"/>
    <col min="12295" max="12295" width="19.42578125" style="52" customWidth="1"/>
    <col min="12296" max="12296" width="7.7109375" style="52" customWidth="1"/>
    <col min="12297" max="12297" width="12.28515625" style="52" customWidth="1"/>
    <col min="12298" max="12298" width="12.7109375" style="52" customWidth="1"/>
    <col min="12299" max="12299" width="13.5703125" style="52" customWidth="1"/>
    <col min="12300" max="12300" width="11.85546875" style="52" customWidth="1"/>
    <col min="12301" max="12545" width="9.140625" style="52"/>
    <col min="12546" max="12546" width="2.7109375" style="52" customWidth="1"/>
    <col min="12547" max="12547" width="9.140625" style="52"/>
    <col min="12548" max="12548" width="40.28515625" style="52" bestFit="1" customWidth="1"/>
    <col min="12549" max="12549" width="12.85546875" style="52" customWidth="1"/>
    <col min="12550" max="12550" width="10" style="52" customWidth="1"/>
    <col min="12551" max="12551" width="19.42578125" style="52" customWidth="1"/>
    <col min="12552" max="12552" width="7.7109375" style="52" customWidth="1"/>
    <col min="12553" max="12553" width="12.28515625" style="52" customWidth="1"/>
    <col min="12554" max="12554" width="12.7109375" style="52" customWidth="1"/>
    <col min="12555" max="12555" width="13.5703125" style="52" customWidth="1"/>
    <col min="12556" max="12556" width="11.85546875" style="52" customWidth="1"/>
    <col min="12557" max="12801" width="9.140625" style="52"/>
    <col min="12802" max="12802" width="2.7109375" style="52" customWidth="1"/>
    <col min="12803" max="12803" width="9.140625" style="52"/>
    <col min="12804" max="12804" width="40.28515625" style="52" bestFit="1" customWidth="1"/>
    <col min="12805" max="12805" width="12.85546875" style="52" customWidth="1"/>
    <col min="12806" max="12806" width="10" style="52" customWidth="1"/>
    <col min="12807" max="12807" width="19.42578125" style="52" customWidth="1"/>
    <col min="12808" max="12808" width="7.7109375" style="52" customWidth="1"/>
    <col min="12809" max="12809" width="12.28515625" style="52" customWidth="1"/>
    <col min="12810" max="12810" width="12.7109375" style="52" customWidth="1"/>
    <col min="12811" max="12811" width="13.5703125" style="52" customWidth="1"/>
    <col min="12812" max="12812" width="11.85546875" style="52" customWidth="1"/>
    <col min="12813" max="13057" width="9.140625" style="52"/>
    <col min="13058" max="13058" width="2.7109375" style="52" customWidth="1"/>
    <col min="13059" max="13059" width="9.140625" style="52"/>
    <col min="13060" max="13060" width="40.28515625" style="52" bestFit="1" customWidth="1"/>
    <col min="13061" max="13061" width="12.85546875" style="52" customWidth="1"/>
    <col min="13062" max="13062" width="10" style="52" customWidth="1"/>
    <col min="13063" max="13063" width="19.42578125" style="52" customWidth="1"/>
    <col min="13064" max="13064" width="7.7109375" style="52" customWidth="1"/>
    <col min="13065" max="13065" width="12.28515625" style="52" customWidth="1"/>
    <col min="13066" max="13066" width="12.7109375" style="52" customWidth="1"/>
    <col min="13067" max="13067" width="13.5703125" style="52" customWidth="1"/>
    <col min="13068" max="13068" width="11.85546875" style="52" customWidth="1"/>
    <col min="13069" max="13313" width="9.140625" style="52"/>
    <col min="13314" max="13314" width="2.7109375" style="52" customWidth="1"/>
    <col min="13315" max="13315" width="9.140625" style="52"/>
    <col min="13316" max="13316" width="40.28515625" style="52" bestFit="1" customWidth="1"/>
    <col min="13317" max="13317" width="12.85546875" style="52" customWidth="1"/>
    <col min="13318" max="13318" width="10" style="52" customWidth="1"/>
    <col min="13319" max="13319" width="19.42578125" style="52" customWidth="1"/>
    <col min="13320" max="13320" width="7.7109375" style="52" customWidth="1"/>
    <col min="13321" max="13321" width="12.28515625" style="52" customWidth="1"/>
    <col min="13322" max="13322" width="12.7109375" style="52" customWidth="1"/>
    <col min="13323" max="13323" width="13.5703125" style="52" customWidth="1"/>
    <col min="13324" max="13324" width="11.85546875" style="52" customWidth="1"/>
    <col min="13325" max="13569" width="9.140625" style="52"/>
    <col min="13570" max="13570" width="2.7109375" style="52" customWidth="1"/>
    <col min="13571" max="13571" width="9.140625" style="52"/>
    <col min="13572" max="13572" width="40.28515625" style="52" bestFit="1" customWidth="1"/>
    <col min="13573" max="13573" width="12.85546875" style="52" customWidth="1"/>
    <col min="13574" max="13574" width="10" style="52" customWidth="1"/>
    <col min="13575" max="13575" width="19.42578125" style="52" customWidth="1"/>
    <col min="13576" max="13576" width="7.7109375" style="52" customWidth="1"/>
    <col min="13577" max="13577" width="12.28515625" style="52" customWidth="1"/>
    <col min="13578" max="13578" width="12.7109375" style="52" customWidth="1"/>
    <col min="13579" max="13579" width="13.5703125" style="52" customWidth="1"/>
    <col min="13580" max="13580" width="11.85546875" style="52" customWidth="1"/>
    <col min="13581" max="13825" width="9.140625" style="52"/>
    <col min="13826" max="13826" width="2.7109375" style="52" customWidth="1"/>
    <col min="13827" max="13827" width="9.140625" style="52"/>
    <col min="13828" max="13828" width="40.28515625" style="52" bestFit="1" customWidth="1"/>
    <col min="13829" max="13829" width="12.85546875" style="52" customWidth="1"/>
    <col min="13830" max="13830" width="10" style="52" customWidth="1"/>
    <col min="13831" max="13831" width="19.42578125" style="52" customWidth="1"/>
    <col min="13832" max="13832" width="7.7109375" style="52" customWidth="1"/>
    <col min="13833" max="13833" width="12.28515625" style="52" customWidth="1"/>
    <col min="13834" max="13834" width="12.7109375" style="52" customWidth="1"/>
    <col min="13835" max="13835" width="13.5703125" style="52" customWidth="1"/>
    <col min="13836" max="13836" width="11.85546875" style="52" customWidth="1"/>
    <col min="13837" max="14081" width="9.140625" style="52"/>
    <col min="14082" max="14082" width="2.7109375" style="52" customWidth="1"/>
    <col min="14083" max="14083" width="9.140625" style="52"/>
    <col min="14084" max="14084" width="40.28515625" style="52" bestFit="1" customWidth="1"/>
    <col min="14085" max="14085" width="12.85546875" style="52" customWidth="1"/>
    <col min="14086" max="14086" width="10" style="52" customWidth="1"/>
    <col min="14087" max="14087" width="19.42578125" style="52" customWidth="1"/>
    <col min="14088" max="14088" width="7.7109375" style="52" customWidth="1"/>
    <col min="14089" max="14089" width="12.28515625" style="52" customWidth="1"/>
    <col min="14090" max="14090" width="12.7109375" style="52" customWidth="1"/>
    <col min="14091" max="14091" width="13.5703125" style="52" customWidth="1"/>
    <col min="14092" max="14092" width="11.85546875" style="52" customWidth="1"/>
    <col min="14093" max="14337" width="9.140625" style="52"/>
    <col min="14338" max="14338" width="2.7109375" style="52" customWidth="1"/>
    <col min="14339" max="14339" width="9.140625" style="52"/>
    <col min="14340" max="14340" width="40.28515625" style="52" bestFit="1" customWidth="1"/>
    <col min="14341" max="14341" width="12.85546875" style="52" customWidth="1"/>
    <col min="14342" max="14342" width="10" style="52" customWidth="1"/>
    <col min="14343" max="14343" width="19.42578125" style="52" customWidth="1"/>
    <col min="14344" max="14344" width="7.7109375" style="52" customWidth="1"/>
    <col min="14345" max="14345" width="12.28515625" style="52" customWidth="1"/>
    <col min="14346" max="14346" width="12.7109375" style="52" customWidth="1"/>
    <col min="14347" max="14347" width="13.5703125" style="52" customWidth="1"/>
    <col min="14348" max="14348" width="11.85546875" style="52" customWidth="1"/>
    <col min="14349" max="14593" width="9.140625" style="52"/>
    <col min="14594" max="14594" width="2.7109375" style="52" customWidth="1"/>
    <col min="14595" max="14595" width="9.140625" style="52"/>
    <col min="14596" max="14596" width="40.28515625" style="52" bestFit="1" customWidth="1"/>
    <col min="14597" max="14597" width="12.85546875" style="52" customWidth="1"/>
    <col min="14598" max="14598" width="10" style="52" customWidth="1"/>
    <col min="14599" max="14599" width="19.42578125" style="52" customWidth="1"/>
    <col min="14600" max="14600" width="7.7109375" style="52" customWidth="1"/>
    <col min="14601" max="14601" width="12.28515625" style="52" customWidth="1"/>
    <col min="14602" max="14602" width="12.7109375" style="52" customWidth="1"/>
    <col min="14603" max="14603" width="13.5703125" style="52" customWidth="1"/>
    <col min="14604" max="14604" width="11.85546875" style="52" customWidth="1"/>
    <col min="14605" max="14849" width="9.140625" style="52"/>
    <col min="14850" max="14850" width="2.7109375" style="52" customWidth="1"/>
    <col min="14851" max="14851" width="9.140625" style="52"/>
    <col min="14852" max="14852" width="40.28515625" style="52" bestFit="1" customWidth="1"/>
    <col min="14853" max="14853" width="12.85546875" style="52" customWidth="1"/>
    <col min="14854" max="14854" width="10" style="52" customWidth="1"/>
    <col min="14855" max="14855" width="19.42578125" style="52" customWidth="1"/>
    <col min="14856" max="14856" width="7.7109375" style="52" customWidth="1"/>
    <col min="14857" max="14857" width="12.28515625" style="52" customWidth="1"/>
    <col min="14858" max="14858" width="12.7109375" style="52" customWidth="1"/>
    <col min="14859" max="14859" width="13.5703125" style="52" customWidth="1"/>
    <col min="14860" max="14860" width="11.85546875" style="52" customWidth="1"/>
    <col min="14861" max="15105" width="9.140625" style="52"/>
    <col min="15106" max="15106" width="2.7109375" style="52" customWidth="1"/>
    <col min="15107" max="15107" width="9.140625" style="52"/>
    <col min="15108" max="15108" width="40.28515625" style="52" bestFit="1" customWidth="1"/>
    <col min="15109" max="15109" width="12.85546875" style="52" customWidth="1"/>
    <col min="15110" max="15110" width="10" style="52" customWidth="1"/>
    <col min="15111" max="15111" width="19.42578125" style="52" customWidth="1"/>
    <col min="15112" max="15112" width="7.7109375" style="52" customWidth="1"/>
    <col min="15113" max="15113" width="12.28515625" style="52" customWidth="1"/>
    <col min="15114" max="15114" width="12.7109375" style="52" customWidth="1"/>
    <col min="15115" max="15115" width="13.5703125" style="52" customWidth="1"/>
    <col min="15116" max="15116" width="11.85546875" style="52" customWidth="1"/>
    <col min="15117" max="15361" width="9.140625" style="52"/>
    <col min="15362" max="15362" width="2.7109375" style="52" customWidth="1"/>
    <col min="15363" max="15363" width="9.140625" style="52"/>
    <col min="15364" max="15364" width="40.28515625" style="52" bestFit="1" customWidth="1"/>
    <col min="15365" max="15365" width="12.85546875" style="52" customWidth="1"/>
    <col min="15366" max="15366" width="10" style="52" customWidth="1"/>
    <col min="15367" max="15367" width="19.42578125" style="52" customWidth="1"/>
    <col min="15368" max="15368" width="7.7109375" style="52" customWidth="1"/>
    <col min="15369" max="15369" width="12.28515625" style="52" customWidth="1"/>
    <col min="15370" max="15370" width="12.7109375" style="52" customWidth="1"/>
    <col min="15371" max="15371" width="13.5703125" style="52" customWidth="1"/>
    <col min="15372" max="15372" width="11.85546875" style="52" customWidth="1"/>
    <col min="15373" max="15617" width="9.140625" style="52"/>
    <col min="15618" max="15618" width="2.7109375" style="52" customWidth="1"/>
    <col min="15619" max="15619" width="9.140625" style="52"/>
    <col min="15620" max="15620" width="40.28515625" style="52" bestFit="1" customWidth="1"/>
    <col min="15621" max="15621" width="12.85546875" style="52" customWidth="1"/>
    <col min="15622" max="15622" width="10" style="52" customWidth="1"/>
    <col min="15623" max="15623" width="19.42578125" style="52" customWidth="1"/>
    <col min="15624" max="15624" width="7.7109375" style="52" customWidth="1"/>
    <col min="15625" max="15625" width="12.28515625" style="52" customWidth="1"/>
    <col min="15626" max="15626" width="12.7109375" style="52" customWidth="1"/>
    <col min="15627" max="15627" width="13.5703125" style="52" customWidth="1"/>
    <col min="15628" max="15628" width="11.85546875" style="52" customWidth="1"/>
    <col min="15629" max="15873" width="9.140625" style="52"/>
    <col min="15874" max="15874" width="2.7109375" style="52" customWidth="1"/>
    <col min="15875" max="15875" width="9.140625" style="52"/>
    <col min="15876" max="15876" width="40.28515625" style="52" bestFit="1" customWidth="1"/>
    <col min="15877" max="15877" width="12.85546875" style="52" customWidth="1"/>
    <col min="15878" max="15878" width="10" style="52" customWidth="1"/>
    <col min="15879" max="15879" width="19.42578125" style="52" customWidth="1"/>
    <col min="15880" max="15880" width="7.7109375" style="52" customWidth="1"/>
    <col min="15881" max="15881" width="12.28515625" style="52" customWidth="1"/>
    <col min="15882" max="15882" width="12.7109375" style="52" customWidth="1"/>
    <col min="15883" max="15883" width="13.5703125" style="52" customWidth="1"/>
    <col min="15884" max="15884" width="11.85546875" style="52" customWidth="1"/>
    <col min="15885" max="16129" width="9.140625" style="52"/>
    <col min="16130" max="16130" width="2.7109375" style="52" customWidth="1"/>
    <col min="16131" max="16131" width="9.140625" style="52"/>
    <col min="16132" max="16132" width="40.28515625" style="52" bestFit="1" customWidth="1"/>
    <col min="16133" max="16133" width="12.85546875" style="52" customWidth="1"/>
    <col min="16134" max="16134" width="10" style="52" customWidth="1"/>
    <col min="16135" max="16135" width="19.42578125" style="52" customWidth="1"/>
    <col min="16136" max="16136" width="7.7109375" style="52" customWidth="1"/>
    <col min="16137" max="16137" width="12.28515625" style="52" customWidth="1"/>
    <col min="16138" max="16138" width="12.7109375" style="52" customWidth="1"/>
    <col min="16139" max="16139" width="13.5703125" style="52" customWidth="1"/>
    <col min="16140" max="16140" width="11.85546875" style="52" customWidth="1"/>
    <col min="16141" max="16384" width="9.140625" style="52"/>
  </cols>
  <sheetData>
    <row r="1" spans="1:13" x14ac:dyDescent="0.2">
      <c r="G1" s="233"/>
      <c r="H1" s="234"/>
      <c r="I1" s="155"/>
      <c r="J1" s="233"/>
      <c r="K1" s="235" t="s">
        <v>301</v>
      </c>
      <c r="L1" s="1092" t="str">
        <f>EBNUMBER</f>
        <v>EB-2016-0066</v>
      </c>
      <c r="M1" s="155"/>
    </row>
    <row r="2" spans="1:13" x14ac:dyDescent="0.2">
      <c r="G2" s="233"/>
      <c r="H2" s="234"/>
      <c r="I2" s="155"/>
      <c r="J2" s="233"/>
      <c r="K2" s="235" t="s">
        <v>302</v>
      </c>
      <c r="L2" s="236"/>
      <c r="M2" s="155"/>
    </row>
    <row r="3" spans="1:13" x14ac:dyDescent="0.2">
      <c r="G3" s="233"/>
      <c r="H3" s="234"/>
      <c r="I3" s="155"/>
      <c r="J3" s="233"/>
      <c r="K3" s="235" t="s">
        <v>303</v>
      </c>
      <c r="L3" s="236"/>
      <c r="M3" s="155"/>
    </row>
    <row r="4" spans="1:13" x14ac:dyDescent="0.2">
      <c r="G4" s="233"/>
      <c r="H4" s="234"/>
      <c r="I4" s="155"/>
      <c r="J4" s="233"/>
      <c r="K4" s="235" t="s">
        <v>304</v>
      </c>
      <c r="L4" s="236"/>
      <c r="M4" s="155"/>
    </row>
    <row r="5" spans="1:13" x14ac:dyDescent="0.2">
      <c r="G5" s="233"/>
      <c r="H5" s="234"/>
      <c r="I5" s="155"/>
      <c r="J5" s="233"/>
      <c r="K5" s="235" t="s">
        <v>305</v>
      </c>
      <c r="L5" s="237"/>
      <c r="M5" s="155"/>
    </row>
    <row r="6" spans="1:13" x14ac:dyDescent="0.2">
      <c r="G6" s="233"/>
      <c r="H6" s="234"/>
      <c r="I6" s="155"/>
      <c r="J6" s="233"/>
      <c r="K6" s="235"/>
      <c r="L6" s="238"/>
      <c r="M6" s="155"/>
    </row>
    <row r="7" spans="1:13" x14ac:dyDescent="0.2">
      <c r="G7" s="233"/>
      <c r="H7" s="234"/>
      <c r="I7" s="155"/>
      <c r="J7" s="233"/>
      <c r="K7" s="235" t="s">
        <v>306</v>
      </c>
      <c r="L7" s="237"/>
      <c r="M7" s="239"/>
    </row>
    <row r="9" spans="1:13" ht="18" x14ac:dyDescent="0.25">
      <c r="A9" s="1591" t="s">
        <v>1440</v>
      </c>
      <c r="B9" s="1591"/>
      <c r="C9" s="1591"/>
      <c r="D9" s="1591"/>
      <c r="E9" s="1591"/>
      <c r="F9" s="1591"/>
      <c r="G9" s="1591"/>
      <c r="H9" s="1591"/>
      <c r="I9" s="1591"/>
      <c r="J9" s="1591"/>
      <c r="K9" s="1591"/>
      <c r="L9" s="1591"/>
    </row>
    <row r="10" spans="1:13" ht="18" x14ac:dyDescent="0.25">
      <c r="A10" s="1591" t="s">
        <v>2</v>
      </c>
      <c r="B10" s="1591"/>
      <c r="C10" s="1591"/>
      <c r="D10" s="1591"/>
      <c r="E10" s="1591"/>
      <c r="F10" s="1591"/>
      <c r="G10" s="1591"/>
      <c r="H10" s="1591"/>
      <c r="I10" s="1591"/>
      <c r="J10" s="1591"/>
      <c r="K10" s="1591"/>
      <c r="L10" s="1591"/>
    </row>
    <row r="11" spans="1:13" ht="30" customHeight="1" x14ac:dyDescent="0.2">
      <c r="A11" s="240"/>
      <c r="B11" s="1680" t="s">
        <v>1050</v>
      </c>
      <c r="C11" s="1680"/>
      <c r="D11" s="1680"/>
      <c r="E11" s="1680"/>
      <c r="F11" s="1680"/>
      <c r="G11" s="1680"/>
      <c r="H11" s="1680"/>
      <c r="I11" s="1680"/>
      <c r="J11" s="1680"/>
      <c r="K11" s="1680"/>
      <c r="L11" s="240"/>
    </row>
    <row r="12" spans="1:13" ht="30" customHeight="1" x14ac:dyDescent="0.2">
      <c r="A12" s="240"/>
      <c r="B12" s="1108"/>
      <c r="C12" s="1108"/>
      <c r="D12" s="1108"/>
      <c r="E12" s="1108"/>
      <c r="F12" s="1108"/>
      <c r="G12" s="1108"/>
      <c r="H12" s="1108"/>
      <c r="I12" s="1108"/>
      <c r="J12" s="1108"/>
      <c r="K12" s="1108"/>
      <c r="L12" s="240"/>
    </row>
    <row r="13" spans="1:13" ht="60" customHeight="1" x14ac:dyDescent="0.25">
      <c r="A13" s="1691" t="s">
        <v>1042</v>
      </c>
      <c r="B13" s="1692"/>
      <c r="C13" s="878"/>
      <c r="D13" s="1115"/>
      <c r="E13" s="1110"/>
      <c r="F13" s="1110"/>
      <c r="G13" s="1110"/>
      <c r="H13" s="1109"/>
      <c r="I13" s="1109"/>
      <c r="J13" s="1109"/>
      <c r="K13" s="1116" t="s">
        <v>1057</v>
      </c>
      <c r="L13" s="1123" t="s">
        <v>882</v>
      </c>
      <c r="M13" s="1117"/>
    </row>
    <row r="14" spans="1:13" ht="48" customHeight="1" x14ac:dyDescent="0.2">
      <c r="A14" s="1693" t="s">
        <v>1101</v>
      </c>
      <c r="B14" s="1694"/>
      <c r="C14" s="1682" t="s">
        <v>1076</v>
      </c>
      <c r="D14" s="1652"/>
      <c r="E14" s="1652"/>
      <c r="F14" s="1652"/>
      <c r="G14" s="1652"/>
      <c r="H14" s="1652"/>
      <c r="I14" s="1652"/>
      <c r="J14" s="1653"/>
      <c r="K14" s="1118">
        <v>2012</v>
      </c>
      <c r="L14" s="1124" t="s">
        <v>931</v>
      </c>
    </row>
    <row r="15" spans="1:13" ht="41.25" customHeight="1" x14ac:dyDescent="0.2">
      <c r="A15" s="1693" t="s">
        <v>1102</v>
      </c>
      <c r="B15" s="1694"/>
      <c r="C15" s="1682" t="s">
        <v>1077</v>
      </c>
      <c r="D15" s="1652"/>
      <c r="E15" s="1652"/>
      <c r="F15" s="1652"/>
      <c r="G15" s="1652"/>
      <c r="H15" s="1652"/>
      <c r="I15" s="1652"/>
      <c r="J15" s="1652"/>
      <c r="K15" s="1118">
        <v>2013</v>
      </c>
      <c r="L15" s="1124" t="s">
        <v>931</v>
      </c>
    </row>
    <row r="16" spans="1:13" x14ac:dyDescent="0.2">
      <c r="A16" s="859"/>
      <c r="B16" s="859"/>
      <c r="C16" s="1111"/>
      <c r="D16" s="1111"/>
      <c r="E16" s="1111"/>
      <c r="F16" s="1111"/>
      <c r="G16" s="1111"/>
      <c r="H16" s="1111"/>
      <c r="I16" s="1111"/>
      <c r="J16" s="1111"/>
      <c r="K16" s="1111"/>
      <c r="L16" s="1119"/>
    </row>
    <row r="17" spans="1:12" ht="15" customHeight="1" thickBot="1" x14ac:dyDescent="0.25"/>
    <row r="18" spans="1:12" ht="61.5" customHeight="1" x14ac:dyDescent="0.2">
      <c r="A18" s="1685" t="s">
        <v>3</v>
      </c>
      <c r="B18" s="1687" t="s">
        <v>235</v>
      </c>
      <c r="C18" s="243" t="s">
        <v>1043</v>
      </c>
      <c r="D18" s="243" t="s">
        <v>476</v>
      </c>
      <c r="E18" s="243" t="s">
        <v>477</v>
      </c>
      <c r="F18" s="243" t="s">
        <v>237</v>
      </c>
      <c r="G18" s="243" t="s">
        <v>996</v>
      </c>
      <c r="H18" s="244" t="s">
        <v>6</v>
      </c>
      <c r="I18" s="245" t="s">
        <v>298</v>
      </c>
      <c r="J18" s="1132" t="s">
        <v>1082</v>
      </c>
      <c r="K18" s="1689" t="s">
        <v>1044</v>
      </c>
      <c r="L18" s="1134" t="s">
        <v>388</v>
      </c>
    </row>
    <row r="19" spans="1:12" ht="25.5" customHeight="1" x14ac:dyDescent="0.2">
      <c r="A19" s="1686"/>
      <c r="B19" s="1688"/>
      <c r="C19" s="246" t="s">
        <v>4</v>
      </c>
      <c r="D19" s="246" t="s">
        <v>478</v>
      </c>
      <c r="E19" s="246" t="s">
        <v>479</v>
      </c>
      <c r="F19" s="246" t="s">
        <v>5</v>
      </c>
      <c r="G19" s="247" t="s">
        <v>997</v>
      </c>
      <c r="H19" s="248" t="s">
        <v>7</v>
      </c>
      <c r="I19" s="249" t="s">
        <v>8</v>
      </c>
      <c r="J19" s="1133" t="s">
        <v>9</v>
      </c>
      <c r="K19" s="1690"/>
      <c r="L19" s="1135" t="s">
        <v>382</v>
      </c>
    </row>
    <row r="20" spans="1:12" ht="25.5" x14ac:dyDescent="0.2">
      <c r="A20" s="1064">
        <v>1611</v>
      </c>
      <c r="B20" s="172" t="s">
        <v>381</v>
      </c>
      <c r="C20" s="173"/>
      <c r="D20" s="173"/>
      <c r="E20" s="174">
        <f>C20-D20</f>
        <v>0</v>
      </c>
      <c r="F20" s="173"/>
      <c r="G20" s="174">
        <f>E20+0.5*F20</f>
        <v>0</v>
      </c>
      <c r="H20" s="250"/>
      <c r="I20" s="251">
        <f t="shared" ref="I20:I57" si="0">IF(H20=0,0,1/H20)</f>
        <v>0</v>
      </c>
      <c r="J20" s="174">
        <f t="shared" ref="J20:J57" si="1">IF(H20=0,0,G20/H20)</f>
        <v>0</v>
      </c>
      <c r="K20" s="173"/>
      <c r="L20" s="174">
        <f t="shared" ref="L20:L57" si="2">IF(ISERROR(+J20-K20), 0, +J20-K20)</f>
        <v>0</v>
      </c>
    </row>
    <row r="21" spans="1:12" x14ac:dyDescent="0.2">
      <c r="A21" s="1064">
        <v>1612</v>
      </c>
      <c r="B21" s="172" t="s">
        <v>442</v>
      </c>
      <c r="C21" s="173"/>
      <c r="D21" s="173"/>
      <c r="E21" s="174">
        <f t="shared" ref="E21:E57" si="3">C21-D21</f>
        <v>0</v>
      </c>
      <c r="F21" s="173"/>
      <c r="G21" s="174">
        <f t="shared" ref="G21:G57" si="4">E21+0.5*F21</f>
        <v>0</v>
      </c>
      <c r="H21" s="250"/>
      <c r="I21" s="252">
        <f t="shared" si="0"/>
        <v>0</v>
      </c>
      <c r="J21" s="174">
        <f t="shared" si="1"/>
        <v>0</v>
      </c>
      <c r="K21" s="173"/>
      <c r="L21" s="174">
        <f t="shared" si="2"/>
        <v>0</v>
      </c>
    </row>
    <row r="22" spans="1:12" x14ac:dyDescent="0.2">
      <c r="A22" s="253">
        <v>1805</v>
      </c>
      <c r="B22" s="179" t="s">
        <v>267</v>
      </c>
      <c r="C22" s="173"/>
      <c r="D22" s="173"/>
      <c r="E22" s="174">
        <f t="shared" si="3"/>
        <v>0</v>
      </c>
      <c r="F22" s="173"/>
      <c r="G22" s="174">
        <f t="shared" si="4"/>
        <v>0</v>
      </c>
      <c r="H22" s="250"/>
      <c r="I22" s="252">
        <f t="shared" si="0"/>
        <v>0</v>
      </c>
      <c r="J22" s="174">
        <f t="shared" si="1"/>
        <v>0</v>
      </c>
      <c r="K22" s="173"/>
      <c r="L22" s="174">
        <f t="shared" si="2"/>
        <v>0</v>
      </c>
    </row>
    <row r="23" spans="1:12" x14ac:dyDescent="0.2">
      <c r="A23" s="1064">
        <v>1808</v>
      </c>
      <c r="B23" s="180" t="s">
        <v>268</v>
      </c>
      <c r="C23" s="173"/>
      <c r="D23" s="173"/>
      <c r="E23" s="174">
        <f t="shared" si="3"/>
        <v>0</v>
      </c>
      <c r="F23" s="173"/>
      <c r="G23" s="174">
        <f t="shared" si="4"/>
        <v>0</v>
      </c>
      <c r="H23" s="250"/>
      <c r="I23" s="252">
        <f t="shared" si="0"/>
        <v>0</v>
      </c>
      <c r="J23" s="174">
        <f t="shared" si="1"/>
        <v>0</v>
      </c>
      <c r="K23" s="173"/>
      <c r="L23" s="174">
        <f t="shared" si="2"/>
        <v>0</v>
      </c>
    </row>
    <row r="24" spans="1:12" x14ac:dyDescent="0.2">
      <c r="A24" s="1064">
        <v>1810</v>
      </c>
      <c r="B24" s="180" t="s">
        <v>299</v>
      </c>
      <c r="C24" s="173"/>
      <c r="D24" s="173"/>
      <c r="E24" s="174">
        <f t="shared" si="3"/>
        <v>0</v>
      </c>
      <c r="F24" s="173"/>
      <c r="G24" s="174">
        <f t="shared" si="4"/>
        <v>0</v>
      </c>
      <c r="H24" s="250"/>
      <c r="I24" s="252">
        <f t="shared" si="0"/>
        <v>0</v>
      </c>
      <c r="J24" s="174">
        <f t="shared" si="1"/>
        <v>0</v>
      </c>
      <c r="K24" s="173"/>
      <c r="L24" s="174">
        <f t="shared" si="2"/>
        <v>0</v>
      </c>
    </row>
    <row r="25" spans="1:12" x14ac:dyDescent="0.2">
      <c r="A25" s="1064">
        <v>1815</v>
      </c>
      <c r="B25" s="180" t="s">
        <v>269</v>
      </c>
      <c r="C25" s="173"/>
      <c r="D25" s="173"/>
      <c r="E25" s="174">
        <f t="shared" si="3"/>
        <v>0</v>
      </c>
      <c r="F25" s="173"/>
      <c r="G25" s="174">
        <f t="shared" si="4"/>
        <v>0</v>
      </c>
      <c r="H25" s="250"/>
      <c r="I25" s="252">
        <f t="shared" si="0"/>
        <v>0</v>
      </c>
      <c r="J25" s="174">
        <f t="shared" si="1"/>
        <v>0</v>
      </c>
      <c r="K25" s="173"/>
      <c r="L25" s="174">
        <f t="shared" si="2"/>
        <v>0</v>
      </c>
    </row>
    <row r="26" spans="1:12" x14ac:dyDescent="0.2">
      <c r="A26" s="1064">
        <v>1820</v>
      </c>
      <c r="B26" s="172" t="s">
        <v>207</v>
      </c>
      <c r="C26" s="173"/>
      <c r="D26" s="173"/>
      <c r="E26" s="174">
        <f t="shared" si="3"/>
        <v>0</v>
      </c>
      <c r="F26" s="173"/>
      <c r="G26" s="174">
        <f t="shared" si="4"/>
        <v>0</v>
      </c>
      <c r="H26" s="250"/>
      <c r="I26" s="252">
        <f t="shared" si="0"/>
        <v>0</v>
      </c>
      <c r="J26" s="174">
        <f t="shared" si="1"/>
        <v>0</v>
      </c>
      <c r="K26" s="173"/>
      <c r="L26" s="174">
        <f t="shared" si="2"/>
        <v>0</v>
      </c>
    </row>
    <row r="27" spans="1:12" x14ac:dyDescent="0.2">
      <c r="A27" s="1064">
        <v>1825</v>
      </c>
      <c r="B27" s="180" t="s">
        <v>270</v>
      </c>
      <c r="C27" s="173"/>
      <c r="D27" s="173"/>
      <c r="E27" s="174">
        <f t="shared" si="3"/>
        <v>0</v>
      </c>
      <c r="F27" s="173"/>
      <c r="G27" s="174">
        <f t="shared" si="4"/>
        <v>0</v>
      </c>
      <c r="H27" s="250"/>
      <c r="I27" s="252">
        <f t="shared" si="0"/>
        <v>0</v>
      </c>
      <c r="J27" s="174">
        <f t="shared" si="1"/>
        <v>0</v>
      </c>
      <c r="K27" s="173"/>
      <c r="L27" s="174">
        <f t="shared" si="2"/>
        <v>0</v>
      </c>
    </row>
    <row r="28" spans="1:12" x14ac:dyDescent="0.2">
      <c r="A28" s="1064">
        <v>1830</v>
      </c>
      <c r="B28" s="180" t="s">
        <v>271</v>
      </c>
      <c r="C28" s="173"/>
      <c r="D28" s="173"/>
      <c r="E28" s="174">
        <f t="shared" si="3"/>
        <v>0</v>
      </c>
      <c r="F28" s="173"/>
      <c r="G28" s="174">
        <f t="shared" si="4"/>
        <v>0</v>
      </c>
      <c r="H28" s="250"/>
      <c r="I28" s="252">
        <f t="shared" si="0"/>
        <v>0</v>
      </c>
      <c r="J28" s="174">
        <f t="shared" si="1"/>
        <v>0</v>
      </c>
      <c r="K28" s="173"/>
      <c r="L28" s="174">
        <f t="shared" si="2"/>
        <v>0</v>
      </c>
    </row>
    <row r="29" spans="1:12" x14ac:dyDescent="0.2">
      <c r="A29" s="1064">
        <v>1835</v>
      </c>
      <c r="B29" s="180" t="s">
        <v>208</v>
      </c>
      <c r="C29" s="173"/>
      <c r="D29" s="173"/>
      <c r="E29" s="174">
        <f t="shared" si="3"/>
        <v>0</v>
      </c>
      <c r="F29" s="173"/>
      <c r="G29" s="174">
        <f t="shared" si="4"/>
        <v>0</v>
      </c>
      <c r="H29" s="250"/>
      <c r="I29" s="252">
        <f t="shared" si="0"/>
        <v>0</v>
      </c>
      <c r="J29" s="174">
        <f t="shared" si="1"/>
        <v>0</v>
      </c>
      <c r="K29" s="173"/>
      <c r="L29" s="174">
        <f t="shared" si="2"/>
        <v>0</v>
      </c>
    </row>
    <row r="30" spans="1:12" x14ac:dyDescent="0.2">
      <c r="A30" s="1064">
        <v>1840</v>
      </c>
      <c r="B30" s="180" t="s">
        <v>209</v>
      </c>
      <c r="C30" s="173"/>
      <c r="D30" s="173"/>
      <c r="E30" s="174">
        <f t="shared" si="3"/>
        <v>0</v>
      </c>
      <c r="F30" s="173"/>
      <c r="G30" s="174">
        <f t="shared" si="4"/>
        <v>0</v>
      </c>
      <c r="H30" s="250"/>
      <c r="I30" s="252">
        <f t="shared" si="0"/>
        <v>0</v>
      </c>
      <c r="J30" s="174">
        <f t="shared" si="1"/>
        <v>0</v>
      </c>
      <c r="K30" s="173"/>
      <c r="L30" s="174">
        <f t="shared" si="2"/>
        <v>0</v>
      </c>
    </row>
    <row r="31" spans="1:12" x14ac:dyDescent="0.2">
      <c r="A31" s="1064">
        <v>1845</v>
      </c>
      <c r="B31" s="180" t="s">
        <v>210</v>
      </c>
      <c r="C31" s="173"/>
      <c r="D31" s="173"/>
      <c r="E31" s="174">
        <f t="shared" si="3"/>
        <v>0</v>
      </c>
      <c r="F31" s="173"/>
      <c r="G31" s="174">
        <f t="shared" si="4"/>
        <v>0</v>
      </c>
      <c r="H31" s="250"/>
      <c r="I31" s="252">
        <f t="shared" si="0"/>
        <v>0</v>
      </c>
      <c r="J31" s="174">
        <f t="shared" si="1"/>
        <v>0</v>
      </c>
      <c r="K31" s="173"/>
      <c r="L31" s="174">
        <f t="shared" si="2"/>
        <v>0</v>
      </c>
    </row>
    <row r="32" spans="1:12" x14ac:dyDescent="0.2">
      <c r="A32" s="1064">
        <v>1850</v>
      </c>
      <c r="B32" s="180" t="s">
        <v>272</v>
      </c>
      <c r="C32" s="173"/>
      <c r="D32" s="173"/>
      <c r="E32" s="174">
        <f t="shared" si="3"/>
        <v>0</v>
      </c>
      <c r="F32" s="173"/>
      <c r="G32" s="174">
        <f t="shared" si="4"/>
        <v>0</v>
      </c>
      <c r="H32" s="250"/>
      <c r="I32" s="252">
        <f t="shared" si="0"/>
        <v>0</v>
      </c>
      <c r="J32" s="174">
        <f t="shared" si="1"/>
        <v>0</v>
      </c>
      <c r="K32" s="173"/>
      <c r="L32" s="174">
        <f t="shared" si="2"/>
        <v>0</v>
      </c>
    </row>
    <row r="33" spans="1:12" x14ac:dyDescent="0.2">
      <c r="A33" s="1064">
        <v>1855</v>
      </c>
      <c r="B33" s="180" t="s">
        <v>211</v>
      </c>
      <c r="C33" s="173"/>
      <c r="D33" s="173"/>
      <c r="E33" s="174">
        <f t="shared" si="3"/>
        <v>0</v>
      </c>
      <c r="F33" s="173"/>
      <c r="G33" s="174">
        <f t="shared" si="4"/>
        <v>0</v>
      </c>
      <c r="H33" s="250"/>
      <c r="I33" s="252">
        <f t="shared" si="0"/>
        <v>0</v>
      </c>
      <c r="J33" s="174">
        <f t="shared" si="1"/>
        <v>0</v>
      </c>
      <c r="K33" s="173"/>
      <c r="L33" s="174">
        <f t="shared" si="2"/>
        <v>0</v>
      </c>
    </row>
    <row r="34" spans="1:12" x14ac:dyDescent="0.2">
      <c r="A34" s="1064">
        <v>1860</v>
      </c>
      <c r="B34" s="180" t="s">
        <v>273</v>
      </c>
      <c r="C34" s="173"/>
      <c r="D34" s="173"/>
      <c r="E34" s="174">
        <f t="shared" si="3"/>
        <v>0</v>
      </c>
      <c r="F34" s="173"/>
      <c r="G34" s="174">
        <f t="shared" si="4"/>
        <v>0</v>
      </c>
      <c r="H34" s="250"/>
      <c r="I34" s="252">
        <f t="shared" si="0"/>
        <v>0</v>
      </c>
      <c r="J34" s="174">
        <f t="shared" si="1"/>
        <v>0</v>
      </c>
      <c r="K34" s="173"/>
      <c r="L34" s="174">
        <f t="shared" si="2"/>
        <v>0</v>
      </c>
    </row>
    <row r="35" spans="1:12" x14ac:dyDescent="0.2">
      <c r="A35" s="253">
        <v>1860</v>
      </c>
      <c r="B35" s="179" t="s">
        <v>212</v>
      </c>
      <c r="C35" s="173"/>
      <c r="D35" s="173"/>
      <c r="E35" s="174">
        <f t="shared" si="3"/>
        <v>0</v>
      </c>
      <c r="F35" s="173"/>
      <c r="G35" s="174">
        <f t="shared" si="4"/>
        <v>0</v>
      </c>
      <c r="H35" s="250"/>
      <c r="I35" s="252">
        <f t="shared" si="0"/>
        <v>0</v>
      </c>
      <c r="J35" s="174">
        <f t="shared" si="1"/>
        <v>0</v>
      </c>
      <c r="K35" s="173"/>
      <c r="L35" s="174">
        <f t="shared" si="2"/>
        <v>0</v>
      </c>
    </row>
    <row r="36" spans="1:12" x14ac:dyDescent="0.2">
      <c r="A36" s="253">
        <v>1905</v>
      </c>
      <c r="B36" s="179" t="s">
        <v>267</v>
      </c>
      <c r="C36" s="173"/>
      <c r="D36" s="173"/>
      <c r="E36" s="174">
        <f t="shared" si="3"/>
        <v>0</v>
      </c>
      <c r="F36" s="173"/>
      <c r="G36" s="174">
        <f t="shared" si="4"/>
        <v>0</v>
      </c>
      <c r="H36" s="250"/>
      <c r="I36" s="252">
        <f t="shared" si="0"/>
        <v>0</v>
      </c>
      <c r="J36" s="174">
        <f t="shared" si="1"/>
        <v>0</v>
      </c>
      <c r="K36" s="173"/>
      <c r="L36" s="174">
        <f t="shared" si="2"/>
        <v>0</v>
      </c>
    </row>
    <row r="37" spans="1:12" x14ac:dyDescent="0.2">
      <c r="A37" s="1064">
        <v>1908</v>
      </c>
      <c r="B37" s="180" t="s">
        <v>275</v>
      </c>
      <c r="C37" s="173"/>
      <c r="D37" s="173"/>
      <c r="E37" s="174">
        <f t="shared" si="3"/>
        <v>0</v>
      </c>
      <c r="F37" s="173"/>
      <c r="G37" s="174">
        <f t="shared" si="4"/>
        <v>0</v>
      </c>
      <c r="H37" s="250"/>
      <c r="I37" s="252">
        <f t="shared" si="0"/>
        <v>0</v>
      </c>
      <c r="J37" s="174">
        <f t="shared" si="1"/>
        <v>0</v>
      </c>
      <c r="K37" s="173"/>
      <c r="L37" s="174">
        <f t="shared" si="2"/>
        <v>0</v>
      </c>
    </row>
    <row r="38" spans="1:12" x14ac:dyDescent="0.2">
      <c r="A38" s="1064">
        <v>1910</v>
      </c>
      <c r="B38" s="180" t="s">
        <v>299</v>
      </c>
      <c r="C38" s="173"/>
      <c r="D38" s="173"/>
      <c r="E38" s="174">
        <f t="shared" si="3"/>
        <v>0</v>
      </c>
      <c r="F38" s="173"/>
      <c r="G38" s="174">
        <f t="shared" si="4"/>
        <v>0</v>
      </c>
      <c r="H38" s="250"/>
      <c r="I38" s="252">
        <f t="shared" si="0"/>
        <v>0</v>
      </c>
      <c r="J38" s="174">
        <f t="shared" si="1"/>
        <v>0</v>
      </c>
      <c r="K38" s="173"/>
      <c r="L38" s="174">
        <f t="shared" si="2"/>
        <v>0</v>
      </c>
    </row>
    <row r="39" spans="1:12" x14ac:dyDescent="0.2">
      <c r="A39" s="1064">
        <v>1915</v>
      </c>
      <c r="B39" s="180" t="s">
        <v>213</v>
      </c>
      <c r="C39" s="173"/>
      <c r="D39" s="173"/>
      <c r="E39" s="174">
        <f t="shared" si="3"/>
        <v>0</v>
      </c>
      <c r="F39" s="173"/>
      <c r="G39" s="174">
        <f t="shared" si="4"/>
        <v>0</v>
      </c>
      <c r="H39" s="250"/>
      <c r="I39" s="252">
        <f t="shared" si="0"/>
        <v>0</v>
      </c>
      <c r="J39" s="174">
        <f t="shared" si="1"/>
        <v>0</v>
      </c>
      <c r="K39" s="173"/>
      <c r="L39" s="174">
        <f t="shared" si="2"/>
        <v>0</v>
      </c>
    </row>
    <row r="40" spans="1:12" x14ac:dyDescent="0.2">
      <c r="A40" s="1064">
        <v>1915</v>
      </c>
      <c r="B40" s="180" t="s">
        <v>214</v>
      </c>
      <c r="C40" s="173"/>
      <c r="D40" s="173"/>
      <c r="E40" s="174">
        <f t="shared" si="3"/>
        <v>0</v>
      </c>
      <c r="F40" s="173"/>
      <c r="G40" s="174">
        <f t="shared" si="4"/>
        <v>0</v>
      </c>
      <c r="H40" s="250"/>
      <c r="I40" s="252">
        <f t="shared" si="0"/>
        <v>0</v>
      </c>
      <c r="J40" s="174">
        <f t="shared" si="1"/>
        <v>0</v>
      </c>
      <c r="K40" s="173"/>
      <c r="L40" s="174">
        <f t="shared" si="2"/>
        <v>0</v>
      </c>
    </row>
    <row r="41" spans="1:12" x14ac:dyDescent="0.2">
      <c r="A41" s="1064">
        <v>1920</v>
      </c>
      <c r="B41" s="180" t="s">
        <v>215</v>
      </c>
      <c r="C41" s="173"/>
      <c r="D41" s="173"/>
      <c r="E41" s="174">
        <f t="shared" si="3"/>
        <v>0</v>
      </c>
      <c r="F41" s="173"/>
      <c r="G41" s="174">
        <f t="shared" si="4"/>
        <v>0</v>
      </c>
      <c r="H41" s="250"/>
      <c r="I41" s="252">
        <f t="shared" si="0"/>
        <v>0</v>
      </c>
      <c r="J41" s="174">
        <f t="shared" si="1"/>
        <v>0</v>
      </c>
      <c r="K41" s="173"/>
      <c r="L41" s="174">
        <f t="shared" si="2"/>
        <v>0</v>
      </c>
    </row>
    <row r="42" spans="1:12" x14ac:dyDescent="0.2">
      <c r="A42" s="254">
        <v>1920</v>
      </c>
      <c r="B42" s="172" t="s">
        <v>217</v>
      </c>
      <c r="C42" s="173"/>
      <c r="D42" s="173"/>
      <c r="E42" s="174">
        <f t="shared" si="3"/>
        <v>0</v>
      </c>
      <c r="F42" s="173"/>
      <c r="G42" s="174">
        <f t="shared" si="4"/>
        <v>0</v>
      </c>
      <c r="H42" s="250"/>
      <c r="I42" s="252">
        <f t="shared" si="0"/>
        <v>0</v>
      </c>
      <c r="J42" s="174">
        <f t="shared" si="1"/>
        <v>0</v>
      </c>
      <c r="K42" s="173"/>
      <c r="L42" s="174">
        <f t="shared" si="2"/>
        <v>0</v>
      </c>
    </row>
    <row r="43" spans="1:12" x14ac:dyDescent="0.2">
      <c r="A43" s="254">
        <v>1920</v>
      </c>
      <c r="B43" s="172" t="s">
        <v>216</v>
      </c>
      <c r="C43" s="173"/>
      <c r="D43" s="173"/>
      <c r="E43" s="174">
        <f t="shared" si="3"/>
        <v>0</v>
      </c>
      <c r="F43" s="173"/>
      <c r="G43" s="174">
        <f t="shared" si="4"/>
        <v>0</v>
      </c>
      <c r="H43" s="250"/>
      <c r="I43" s="252">
        <f t="shared" si="0"/>
        <v>0</v>
      </c>
      <c r="J43" s="174">
        <f t="shared" si="1"/>
        <v>0</v>
      </c>
      <c r="K43" s="173"/>
      <c r="L43" s="174">
        <f t="shared" si="2"/>
        <v>0</v>
      </c>
    </row>
    <row r="44" spans="1:12" x14ac:dyDescent="0.2">
      <c r="A44" s="1064">
        <v>1930</v>
      </c>
      <c r="B44" s="180" t="s">
        <v>286</v>
      </c>
      <c r="C44" s="173"/>
      <c r="D44" s="173"/>
      <c r="E44" s="174">
        <f t="shared" si="3"/>
        <v>0</v>
      </c>
      <c r="F44" s="173"/>
      <c r="G44" s="174">
        <f t="shared" si="4"/>
        <v>0</v>
      </c>
      <c r="H44" s="250"/>
      <c r="I44" s="252">
        <f t="shared" si="0"/>
        <v>0</v>
      </c>
      <c r="J44" s="174">
        <f t="shared" si="1"/>
        <v>0</v>
      </c>
      <c r="K44" s="173"/>
      <c r="L44" s="174">
        <f t="shared" si="2"/>
        <v>0</v>
      </c>
    </row>
    <row r="45" spans="1:12" x14ac:dyDescent="0.2">
      <c r="A45" s="1064">
        <v>1935</v>
      </c>
      <c r="B45" s="180" t="s">
        <v>287</v>
      </c>
      <c r="C45" s="173"/>
      <c r="D45" s="173"/>
      <c r="E45" s="174">
        <f t="shared" si="3"/>
        <v>0</v>
      </c>
      <c r="F45" s="173"/>
      <c r="G45" s="174">
        <f t="shared" si="4"/>
        <v>0</v>
      </c>
      <c r="H45" s="250"/>
      <c r="I45" s="252">
        <f t="shared" si="0"/>
        <v>0</v>
      </c>
      <c r="J45" s="174">
        <f t="shared" si="1"/>
        <v>0</v>
      </c>
      <c r="K45" s="173"/>
      <c r="L45" s="174">
        <f t="shared" si="2"/>
        <v>0</v>
      </c>
    </row>
    <row r="46" spans="1:12" x14ac:dyDescent="0.2">
      <c r="A46" s="1064">
        <v>1940</v>
      </c>
      <c r="B46" s="180" t="s">
        <v>288</v>
      </c>
      <c r="C46" s="173"/>
      <c r="D46" s="173"/>
      <c r="E46" s="174">
        <f t="shared" si="3"/>
        <v>0</v>
      </c>
      <c r="F46" s="173"/>
      <c r="G46" s="174">
        <f t="shared" si="4"/>
        <v>0</v>
      </c>
      <c r="H46" s="250"/>
      <c r="I46" s="252">
        <f t="shared" si="0"/>
        <v>0</v>
      </c>
      <c r="J46" s="174">
        <f t="shared" si="1"/>
        <v>0</v>
      </c>
      <c r="K46" s="173"/>
      <c r="L46" s="174">
        <f t="shared" si="2"/>
        <v>0</v>
      </c>
    </row>
    <row r="47" spans="1:12" x14ac:dyDescent="0.2">
      <c r="A47" s="1064">
        <v>1945</v>
      </c>
      <c r="B47" s="180" t="s">
        <v>289</v>
      </c>
      <c r="C47" s="173"/>
      <c r="D47" s="173"/>
      <c r="E47" s="174">
        <f t="shared" si="3"/>
        <v>0</v>
      </c>
      <c r="F47" s="173"/>
      <c r="G47" s="174">
        <f t="shared" si="4"/>
        <v>0</v>
      </c>
      <c r="H47" s="250"/>
      <c r="I47" s="252">
        <f t="shared" si="0"/>
        <v>0</v>
      </c>
      <c r="J47" s="174">
        <f t="shared" si="1"/>
        <v>0</v>
      </c>
      <c r="K47" s="173"/>
      <c r="L47" s="174">
        <f t="shared" si="2"/>
        <v>0</v>
      </c>
    </row>
    <row r="48" spans="1:12" x14ac:dyDescent="0.2">
      <c r="A48" s="1064">
        <v>1950</v>
      </c>
      <c r="B48" s="180" t="s">
        <v>218</v>
      </c>
      <c r="C48" s="173"/>
      <c r="D48" s="173"/>
      <c r="E48" s="174">
        <f t="shared" si="3"/>
        <v>0</v>
      </c>
      <c r="F48" s="173"/>
      <c r="G48" s="174">
        <f t="shared" si="4"/>
        <v>0</v>
      </c>
      <c r="H48" s="250"/>
      <c r="I48" s="252">
        <f t="shared" si="0"/>
        <v>0</v>
      </c>
      <c r="J48" s="174">
        <f t="shared" si="1"/>
        <v>0</v>
      </c>
      <c r="K48" s="173"/>
      <c r="L48" s="174">
        <f t="shared" si="2"/>
        <v>0</v>
      </c>
    </row>
    <row r="49" spans="1:12" x14ac:dyDescent="0.2">
      <c r="A49" s="1064">
        <v>1955</v>
      </c>
      <c r="B49" s="180" t="s">
        <v>290</v>
      </c>
      <c r="C49" s="173"/>
      <c r="D49" s="173"/>
      <c r="E49" s="174">
        <f t="shared" si="3"/>
        <v>0</v>
      </c>
      <c r="F49" s="173"/>
      <c r="G49" s="174">
        <f t="shared" si="4"/>
        <v>0</v>
      </c>
      <c r="H49" s="250"/>
      <c r="I49" s="252">
        <f t="shared" si="0"/>
        <v>0</v>
      </c>
      <c r="J49" s="174">
        <f t="shared" si="1"/>
        <v>0</v>
      </c>
      <c r="K49" s="173"/>
      <c r="L49" s="174">
        <f t="shared" si="2"/>
        <v>0</v>
      </c>
    </row>
    <row r="50" spans="1:12" x14ac:dyDescent="0.2">
      <c r="A50" s="255">
        <v>1955</v>
      </c>
      <c r="B50" s="184" t="s">
        <v>219</v>
      </c>
      <c r="C50" s="173"/>
      <c r="D50" s="173"/>
      <c r="E50" s="174">
        <f t="shared" si="3"/>
        <v>0</v>
      </c>
      <c r="F50" s="173"/>
      <c r="G50" s="174">
        <f t="shared" si="4"/>
        <v>0</v>
      </c>
      <c r="H50" s="250"/>
      <c r="I50" s="252">
        <f t="shared" si="0"/>
        <v>0</v>
      </c>
      <c r="J50" s="174">
        <f t="shared" si="1"/>
        <v>0</v>
      </c>
      <c r="K50" s="173"/>
      <c r="L50" s="174">
        <f t="shared" si="2"/>
        <v>0</v>
      </c>
    </row>
    <row r="51" spans="1:12" x14ac:dyDescent="0.2">
      <c r="A51" s="254">
        <v>1960</v>
      </c>
      <c r="B51" s="172" t="s">
        <v>220</v>
      </c>
      <c r="C51" s="173"/>
      <c r="D51" s="173"/>
      <c r="E51" s="174">
        <f t="shared" si="3"/>
        <v>0</v>
      </c>
      <c r="F51" s="173"/>
      <c r="G51" s="174">
        <f t="shared" si="4"/>
        <v>0</v>
      </c>
      <c r="H51" s="250"/>
      <c r="I51" s="252">
        <f t="shared" si="0"/>
        <v>0</v>
      </c>
      <c r="J51" s="174">
        <f t="shared" si="1"/>
        <v>0</v>
      </c>
      <c r="K51" s="173"/>
      <c r="L51" s="174">
        <f t="shared" si="2"/>
        <v>0</v>
      </c>
    </row>
    <row r="52" spans="1:12" x14ac:dyDescent="0.2">
      <c r="A52" s="255">
        <v>1970</v>
      </c>
      <c r="B52" s="256" t="s">
        <v>501</v>
      </c>
      <c r="C52" s="173"/>
      <c r="D52" s="173"/>
      <c r="E52" s="174">
        <f t="shared" si="3"/>
        <v>0</v>
      </c>
      <c r="F52" s="173"/>
      <c r="G52" s="174">
        <f t="shared" si="4"/>
        <v>0</v>
      </c>
      <c r="H52" s="250"/>
      <c r="I52" s="252">
        <f t="shared" si="0"/>
        <v>0</v>
      </c>
      <c r="J52" s="174">
        <f t="shared" si="1"/>
        <v>0</v>
      </c>
      <c r="K52" s="173"/>
      <c r="L52" s="174">
        <f t="shared" si="2"/>
        <v>0</v>
      </c>
    </row>
    <row r="53" spans="1:12" x14ac:dyDescent="0.2">
      <c r="A53" s="1064">
        <v>1975</v>
      </c>
      <c r="B53" s="180" t="s">
        <v>291</v>
      </c>
      <c r="C53" s="173"/>
      <c r="D53" s="173"/>
      <c r="E53" s="174">
        <f t="shared" si="3"/>
        <v>0</v>
      </c>
      <c r="F53" s="173"/>
      <c r="G53" s="174">
        <f t="shared" si="4"/>
        <v>0</v>
      </c>
      <c r="H53" s="250"/>
      <c r="I53" s="252">
        <f t="shared" si="0"/>
        <v>0</v>
      </c>
      <c r="J53" s="174">
        <f t="shared" si="1"/>
        <v>0</v>
      </c>
      <c r="K53" s="173"/>
      <c r="L53" s="174">
        <f t="shared" si="2"/>
        <v>0</v>
      </c>
    </row>
    <row r="54" spans="1:12" x14ac:dyDescent="0.2">
      <c r="A54" s="1064">
        <v>1980</v>
      </c>
      <c r="B54" s="180" t="s">
        <v>292</v>
      </c>
      <c r="C54" s="173"/>
      <c r="D54" s="173"/>
      <c r="E54" s="174">
        <f t="shared" si="3"/>
        <v>0</v>
      </c>
      <c r="F54" s="173"/>
      <c r="G54" s="174">
        <f t="shared" si="4"/>
        <v>0</v>
      </c>
      <c r="H54" s="250"/>
      <c r="I54" s="252">
        <f t="shared" si="0"/>
        <v>0</v>
      </c>
      <c r="J54" s="174">
        <f t="shared" si="1"/>
        <v>0</v>
      </c>
      <c r="K54" s="173"/>
      <c r="L54" s="174">
        <f t="shared" si="2"/>
        <v>0</v>
      </c>
    </row>
    <row r="55" spans="1:12" x14ac:dyDescent="0.2">
      <c r="A55" s="1064">
        <v>1985</v>
      </c>
      <c r="B55" s="180" t="s">
        <v>293</v>
      </c>
      <c r="C55" s="173"/>
      <c r="D55" s="173"/>
      <c r="E55" s="174">
        <f t="shared" si="3"/>
        <v>0</v>
      </c>
      <c r="F55" s="173"/>
      <c r="G55" s="174">
        <f t="shared" si="4"/>
        <v>0</v>
      </c>
      <c r="H55" s="250"/>
      <c r="I55" s="252">
        <f t="shared" si="0"/>
        <v>0</v>
      </c>
      <c r="J55" s="174">
        <f t="shared" si="1"/>
        <v>0</v>
      </c>
      <c r="K55" s="173"/>
      <c r="L55" s="174">
        <f t="shared" si="2"/>
        <v>0</v>
      </c>
    </row>
    <row r="56" spans="1:12" x14ac:dyDescent="0.2">
      <c r="A56" s="1064">
        <v>1990</v>
      </c>
      <c r="B56" s="1061" t="s">
        <v>502</v>
      </c>
      <c r="C56" s="173"/>
      <c r="D56" s="173"/>
      <c r="E56" s="174">
        <f t="shared" si="3"/>
        <v>0</v>
      </c>
      <c r="F56" s="173"/>
      <c r="G56" s="174">
        <f t="shared" si="4"/>
        <v>0</v>
      </c>
      <c r="H56" s="250"/>
      <c r="I56" s="252">
        <f t="shared" si="0"/>
        <v>0</v>
      </c>
      <c r="J56" s="174">
        <f t="shared" si="1"/>
        <v>0</v>
      </c>
      <c r="K56" s="173"/>
      <c r="L56" s="174">
        <f t="shared" si="2"/>
        <v>0</v>
      </c>
    </row>
    <row r="57" spans="1:12" ht="13.5" thickBot="1" x14ac:dyDescent="0.25">
      <c r="A57" s="1064">
        <v>1995</v>
      </c>
      <c r="B57" s="180" t="s">
        <v>294</v>
      </c>
      <c r="C57" s="257"/>
      <c r="D57" s="257"/>
      <c r="E57" s="258">
        <f t="shared" si="3"/>
        <v>0</v>
      </c>
      <c r="F57" s="257"/>
      <c r="G57" s="258">
        <f t="shared" si="4"/>
        <v>0</v>
      </c>
      <c r="H57" s="259"/>
      <c r="I57" s="260">
        <f t="shared" si="0"/>
        <v>0</v>
      </c>
      <c r="J57" s="258">
        <f t="shared" si="1"/>
        <v>0</v>
      </c>
      <c r="K57" s="257"/>
      <c r="L57" s="258">
        <f t="shared" si="2"/>
        <v>0</v>
      </c>
    </row>
    <row r="58" spans="1:12" ht="14.25" thickTop="1" thickBot="1" x14ac:dyDescent="0.25">
      <c r="A58" s="261"/>
      <c r="B58" s="262" t="s">
        <v>295</v>
      </c>
      <c r="C58" s="263">
        <f>SUM(C20:C57)</f>
        <v>0</v>
      </c>
      <c r="D58" s="263">
        <f>SUM(D20:D57)</f>
        <v>0</v>
      </c>
      <c r="E58" s="264">
        <f>SUM(E20:E57)</f>
        <v>0</v>
      </c>
      <c r="F58" s="264">
        <f>SUM(F20:F57)</f>
        <v>0</v>
      </c>
      <c r="G58" s="264">
        <f>SUM(G20:G57)</f>
        <v>0</v>
      </c>
      <c r="H58" s="265"/>
      <c r="I58" s="266"/>
      <c r="J58" s="264">
        <f>SUM(J20:J57)</f>
        <v>0</v>
      </c>
      <c r="K58" s="267">
        <f>SUM(K20:K57)</f>
        <v>0</v>
      </c>
      <c r="L58" s="264">
        <f>SUM(L20:L57)</f>
        <v>0</v>
      </c>
    </row>
    <row r="59" spans="1:12" ht="7.5" customHeight="1" x14ac:dyDescent="0.2"/>
    <row r="60" spans="1:12" x14ac:dyDescent="0.2">
      <c r="A60" s="1072" t="s">
        <v>11</v>
      </c>
      <c r="B60" s="56"/>
      <c r="C60" s="268"/>
      <c r="D60" s="268"/>
      <c r="E60" s="268"/>
      <c r="F60" s="268"/>
      <c r="G60" s="268"/>
      <c r="H60" s="269"/>
      <c r="I60" s="56"/>
      <c r="J60" s="268"/>
    </row>
    <row r="61" spans="1:12" x14ac:dyDescent="0.2">
      <c r="A61" s="56"/>
      <c r="B61" s="56"/>
      <c r="C61" s="268"/>
      <c r="D61" s="268"/>
      <c r="E61" s="268"/>
      <c r="F61" s="268"/>
      <c r="G61" s="268"/>
      <c r="H61" s="269"/>
      <c r="I61" s="56"/>
      <c r="J61" s="268"/>
    </row>
    <row r="62" spans="1:12" ht="24.75" customHeight="1" x14ac:dyDescent="0.2">
      <c r="A62" s="270">
        <v>1</v>
      </c>
      <c r="B62" s="1590" t="s">
        <v>424</v>
      </c>
      <c r="C62" s="1590"/>
      <c r="D62" s="1590"/>
      <c r="E62" s="1590"/>
      <c r="F62" s="1590"/>
      <c r="G62" s="1590"/>
      <c r="H62" s="1590"/>
      <c r="I62" s="1590"/>
      <c r="J62" s="1590"/>
      <c r="K62" s="1590"/>
      <c r="L62" s="1590"/>
    </row>
    <row r="63" spans="1:12" x14ac:dyDescent="0.2">
      <c r="A63" s="1070">
        <v>2</v>
      </c>
      <c r="B63" s="1683" t="s">
        <v>1069</v>
      </c>
      <c r="C63" s="1683"/>
      <c r="D63" s="1683"/>
      <c r="E63" s="1683"/>
      <c r="F63" s="1683"/>
      <c r="G63" s="1683"/>
      <c r="H63" s="1683"/>
      <c r="I63" s="1683"/>
      <c r="J63" s="1683"/>
      <c r="K63" s="268"/>
    </row>
    <row r="64" spans="1:12" x14ac:dyDescent="0.2">
      <c r="A64" s="1070"/>
      <c r="B64" s="1683"/>
      <c r="C64" s="1683"/>
      <c r="D64" s="1683"/>
      <c r="E64" s="1683"/>
      <c r="F64" s="1683"/>
      <c r="G64" s="1683"/>
      <c r="H64" s="1683"/>
      <c r="I64" s="1683"/>
      <c r="J64" s="1683"/>
      <c r="K64" s="268"/>
    </row>
    <row r="65" spans="1:14" ht="12.75" customHeight="1" x14ac:dyDescent="0.2">
      <c r="A65" s="152" t="s">
        <v>423</v>
      </c>
      <c r="B65" s="1684" t="s">
        <v>190</v>
      </c>
      <c r="C65" s="1684"/>
      <c r="D65" s="1684"/>
      <c r="E65" s="1684"/>
      <c r="F65" s="1684"/>
      <c r="G65" s="1684"/>
      <c r="H65" s="1684"/>
      <c r="I65" s="1684"/>
      <c r="J65" s="1684"/>
      <c r="K65" s="1684"/>
      <c r="L65" s="1684"/>
      <c r="M65" s="271"/>
      <c r="N65" s="271"/>
    </row>
    <row r="66" spans="1:14" x14ac:dyDescent="0.2">
      <c r="B66" s="1684"/>
      <c r="C66" s="1684"/>
      <c r="D66" s="1684"/>
      <c r="E66" s="1684"/>
      <c r="F66" s="1684"/>
      <c r="G66" s="1684"/>
      <c r="H66" s="1684"/>
      <c r="I66" s="1684"/>
      <c r="J66" s="1684"/>
      <c r="K66" s="1684"/>
      <c r="L66" s="1684"/>
      <c r="M66" s="271"/>
      <c r="N66" s="271"/>
    </row>
    <row r="67" spans="1:14" x14ac:dyDescent="0.2">
      <c r="B67" s="271"/>
      <c r="C67" s="272"/>
      <c r="D67" s="272"/>
      <c r="E67" s="272"/>
      <c r="F67" s="272"/>
      <c r="G67" s="272"/>
      <c r="H67" s="273"/>
      <c r="I67" s="271"/>
      <c r="J67" s="272"/>
      <c r="K67" s="272"/>
      <c r="L67" s="272"/>
      <c r="M67" s="271"/>
      <c r="N67" s="271"/>
    </row>
  </sheetData>
  <mergeCells count="14">
    <mergeCell ref="C14:J14"/>
    <mergeCell ref="B62:L62"/>
    <mergeCell ref="B63:J64"/>
    <mergeCell ref="B65:L66"/>
    <mergeCell ref="A9:L9"/>
    <mergeCell ref="A10:L10"/>
    <mergeCell ref="A18:A19"/>
    <mergeCell ref="B18:B19"/>
    <mergeCell ref="K18:K19"/>
    <mergeCell ref="B11:K11"/>
    <mergeCell ref="A13:B13"/>
    <mergeCell ref="A14:B14"/>
    <mergeCell ref="A15:B15"/>
    <mergeCell ref="C15:J15"/>
  </mergeCells>
  <dataValidations count="2">
    <dataValidation allowBlank="1" showInputMessage="1" showErrorMessage="1" promptTitle="Date Format" prompt="E.g:  &quot;August 1, 2011&quot;" sqref="WVR983050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dataValidation allowBlank="1" showErrorMessage="1" promptTitle="Date Format" prompt="E.g:  &quot;August 1, 2011&quot;" sqref="J7"/>
  </dataValidations>
  <printOptions horizontalCentered="1"/>
  <pageMargins left="0.74803149606299213" right="0.74803149606299213" top="0.70866141732283472" bottom="0.39370078740157483" header="0.39370078740157483" footer="0.27559055118110237"/>
  <pageSetup scale="4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63" r:id="rId4" name="Check Box 3">
              <controlPr defaultSize="0" autoFill="0" autoLine="0" autoPict="0">
                <anchor moveWithCells="1">
                  <from>
                    <xdr:col>0</xdr:col>
                    <xdr:colOff>323850</xdr:colOff>
                    <xdr:row>13</xdr:row>
                    <xdr:rowOff>66675</xdr:rowOff>
                  </from>
                  <to>
                    <xdr:col>0</xdr:col>
                    <xdr:colOff>590550</xdr:colOff>
                    <xdr:row>13</xdr:row>
                    <xdr:rowOff>485775</xdr:rowOff>
                  </to>
                </anchor>
              </controlPr>
            </control>
          </mc:Choice>
        </mc:AlternateContent>
        <mc:AlternateContent xmlns:mc="http://schemas.openxmlformats.org/markup-compatibility/2006">
          <mc:Choice Requires="x14">
            <control shapeId="194564" r:id="rId5" name="Check Box 4">
              <controlPr defaultSize="0" autoFill="0" autoLine="0" autoPict="0">
                <anchor moveWithCells="1">
                  <from>
                    <xdr:col>0</xdr:col>
                    <xdr:colOff>304800</xdr:colOff>
                    <xdr:row>14</xdr:row>
                    <xdr:rowOff>0</xdr:rowOff>
                  </from>
                  <to>
                    <xdr:col>0</xdr:col>
                    <xdr:colOff>571500</xdr:colOff>
                    <xdr:row>14</xdr:row>
                    <xdr:rowOff>419100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0">
    <tabColor rgb="FF00B0F0"/>
    <pageSetUpPr fitToPage="1"/>
  </sheetPr>
  <dimension ref="A1:P74"/>
  <sheetViews>
    <sheetView showGridLines="0" view="pageBreakPreview" zoomScale="60" zoomScaleNormal="100" workbookViewId="0">
      <selection activeCell="A9" sqref="A9:O9"/>
    </sheetView>
  </sheetViews>
  <sheetFormatPr defaultRowHeight="12.75" x14ac:dyDescent="0.2"/>
  <cols>
    <col min="1" max="1" width="9.140625" style="52"/>
    <col min="2" max="2" width="40.28515625" style="52" bestFit="1" customWidth="1"/>
    <col min="3" max="3" width="12" style="52" customWidth="1"/>
    <col min="4" max="4" width="10" style="52" customWidth="1"/>
    <col min="5" max="5" width="14.85546875" style="52" customWidth="1"/>
    <col min="6" max="6" width="9.5703125" style="52" customWidth="1"/>
    <col min="7" max="7" width="13" style="52" customWidth="1"/>
    <col min="8" max="8" width="12.85546875" style="52" customWidth="1"/>
    <col min="9" max="9" width="13" style="52" customWidth="1"/>
    <col min="10" max="10" width="12.42578125" style="52" customWidth="1"/>
    <col min="11" max="11" width="15.5703125" style="52" customWidth="1"/>
    <col min="12" max="12" width="11.85546875" style="52" customWidth="1"/>
    <col min="13" max="13" width="12.85546875" style="52" customWidth="1"/>
    <col min="14" max="14" width="17.42578125" style="52" customWidth="1"/>
    <col min="15" max="15" width="17.140625" style="52" customWidth="1"/>
    <col min="16" max="256" width="9.140625" style="52"/>
    <col min="257" max="257" width="2.7109375" style="52" customWidth="1"/>
    <col min="258" max="258" width="9.140625" style="52"/>
    <col min="259" max="259" width="40.28515625" style="52" bestFit="1" customWidth="1"/>
    <col min="260" max="260" width="12" style="52" customWidth="1"/>
    <col min="261" max="261" width="10" style="52" customWidth="1"/>
    <col min="262" max="262" width="14.85546875" style="52" customWidth="1"/>
    <col min="263" max="263" width="9.5703125" style="52" customWidth="1"/>
    <col min="264" max="265" width="12.28515625" style="52" customWidth="1"/>
    <col min="266" max="268" width="12.85546875" style="52" customWidth="1"/>
    <col min="269" max="269" width="12.7109375" style="52" customWidth="1"/>
    <col min="270" max="270" width="12.28515625" style="52" bestFit="1" customWidth="1"/>
    <col min="271" max="271" width="13.140625" style="52" customWidth="1"/>
    <col min="272" max="512" width="9.140625" style="52"/>
    <col min="513" max="513" width="2.7109375" style="52" customWidth="1"/>
    <col min="514" max="514" width="9.140625" style="52"/>
    <col min="515" max="515" width="40.28515625" style="52" bestFit="1" customWidth="1"/>
    <col min="516" max="516" width="12" style="52" customWidth="1"/>
    <col min="517" max="517" width="10" style="52" customWidth="1"/>
    <col min="518" max="518" width="14.85546875" style="52" customWidth="1"/>
    <col min="519" max="519" width="9.5703125" style="52" customWidth="1"/>
    <col min="520" max="521" width="12.28515625" style="52" customWidth="1"/>
    <col min="522" max="524" width="12.85546875" style="52" customWidth="1"/>
    <col min="525" max="525" width="12.7109375" style="52" customWidth="1"/>
    <col min="526" max="526" width="12.28515625" style="52" bestFit="1" customWidth="1"/>
    <col min="527" max="527" width="13.140625" style="52" customWidth="1"/>
    <col min="528" max="768" width="9.140625" style="52"/>
    <col min="769" max="769" width="2.7109375" style="52" customWidth="1"/>
    <col min="770" max="770" width="9.140625" style="52"/>
    <col min="771" max="771" width="40.28515625" style="52" bestFit="1" customWidth="1"/>
    <col min="772" max="772" width="12" style="52" customWidth="1"/>
    <col min="773" max="773" width="10" style="52" customWidth="1"/>
    <col min="774" max="774" width="14.85546875" style="52" customWidth="1"/>
    <col min="775" max="775" width="9.5703125" style="52" customWidth="1"/>
    <col min="776" max="777" width="12.28515625" style="52" customWidth="1"/>
    <col min="778" max="780" width="12.85546875" style="52" customWidth="1"/>
    <col min="781" max="781" width="12.7109375" style="52" customWidth="1"/>
    <col min="782" max="782" width="12.28515625" style="52" bestFit="1" customWidth="1"/>
    <col min="783" max="783" width="13.140625" style="52" customWidth="1"/>
    <col min="784" max="1024" width="9.140625" style="52"/>
    <col min="1025" max="1025" width="2.7109375" style="52" customWidth="1"/>
    <col min="1026" max="1026" width="9.140625" style="52"/>
    <col min="1027" max="1027" width="40.28515625" style="52" bestFit="1" customWidth="1"/>
    <col min="1028" max="1028" width="12" style="52" customWidth="1"/>
    <col min="1029" max="1029" width="10" style="52" customWidth="1"/>
    <col min="1030" max="1030" width="14.85546875" style="52" customWidth="1"/>
    <col min="1031" max="1031" width="9.5703125" style="52" customWidth="1"/>
    <col min="1032" max="1033" width="12.28515625" style="52" customWidth="1"/>
    <col min="1034" max="1036" width="12.85546875" style="52" customWidth="1"/>
    <col min="1037" max="1037" width="12.7109375" style="52" customWidth="1"/>
    <col min="1038" max="1038" width="12.28515625" style="52" bestFit="1" customWidth="1"/>
    <col min="1039" max="1039" width="13.140625" style="52" customWidth="1"/>
    <col min="1040" max="1280" width="9.140625" style="52"/>
    <col min="1281" max="1281" width="2.7109375" style="52" customWidth="1"/>
    <col min="1282" max="1282" width="9.140625" style="52"/>
    <col min="1283" max="1283" width="40.28515625" style="52" bestFit="1" customWidth="1"/>
    <col min="1284" max="1284" width="12" style="52" customWidth="1"/>
    <col min="1285" max="1285" width="10" style="52" customWidth="1"/>
    <col min="1286" max="1286" width="14.85546875" style="52" customWidth="1"/>
    <col min="1287" max="1287" width="9.5703125" style="52" customWidth="1"/>
    <col min="1288" max="1289" width="12.28515625" style="52" customWidth="1"/>
    <col min="1290" max="1292" width="12.85546875" style="52" customWidth="1"/>
    <col min="1293" max="1293" width="12.7109375" style="52" customWidth="1"/>
    <col min="1294" max="1294" width="12.28515625" style="52" bestFit="1" customWidth="1"/>
    <col min="1295" max="1295" width="13.140625" style="52" customWidth="1"/>
    <col min="1296" max="1536" width="9.140625" style="52"/>
    <col min="1537" max="1537" width="2.7109375" style="52" customWidth="1"/>
    <col min="1538" max="1538" width="9.140625" style="52"/>
    <col min="1539" max="1539" width="40.28515625" style="52" bestFit="1" customWidth="1"/>
    <col min="1540" max="1540" width="12" style="52" customWidth="1"/>
    <col min="1541" max="1541" width="10" style="52" customWidth="1"/>
    <col min="1542" max="1542" width="14.85546875" style="52" customWidth="1"/>
    <col min="1543" max="1543" width="9.5703125" style="52" customWidth="1"/>
    <col min="1544" max="1545" width="12.28515625" style="52" customWidth="1"/>
    <col min="1546" max="1548" width="12.85546875" style="52" customWidth="1"/>
    <col min="1549" max="1549" width="12.7109375" style="52" customWidth="1"/>
    <col min="1550" max="1550" width="12.28515625" style="52" bestFit="1" customWidth="1"/>
    <col min="1551" max="1551" width="13.140625" style="52" customWidth="1"/>
    <col min="1552" max="1792" width="9.140625" style="52"/>
    <col min="1793" max="1793" width="2.7109375" style="52" customWidth="1"/>
    <col min="1794" max="1794" width="9.140625" style="52"/>
    <col min="1795" max="1795" width="40.28515625" style="52" bestFit="1" customWidth="1"/>
    <col min="1796" max="1796" width="12" style="52" customWidth="1"/>
    <col min="1797" max="1797" width="10" style="52" customWidth="1"/>
    <col min="1798" max="1798" width="14.85546875" style="52" customWidth="1"/>
    <col min="1799" max="1799" width="9.5703125" style="52" customWidth="1"/>
    <col min="1800" max="1801" width="12.28515625" style="52" customWidth="1"/>
    <col min="1802" max="1804" width="12.85546875" style="52" customWidth="1"/>
    <col min="1805" max="1805" width="12.7109375" style="52" customWidth="1"/>
    <col min="1806" max="1806" width="12.28515625" style="52" bestFit="1" customWidth="1"/>
    <col min="1807" max="1807" width="13.140625" style="52" customWidth="1"/>
    <col min="1808" max="2048" width="9.140625" style="52"/>
    <col min="2049" max="2049" width="2.7109375" style="52" customWidth="1"/>
    <col min="2050" max="2050" width="9.140625" style="52"/>
    <col min="2051" max="2051" width="40.28515625" style="52" bestFit="1" customWidth="1"/>
    <col min="2052" max="2052" width="12" style="52" customWidth="1"/>
    <col min="2053" max="2053" width="10" style="52" customWidth="1"/>
    <col min="2054" max="2054" width="14.85546875" style="52" customWidth="1"/>
    <col min="2055" max="2055" width="9.5703125" style="52" customWidth="1"/>
    <col min="2056" max="2057" width="12.28515625" style="52" customWidth="1"/>
    <col min="2058" max="2060" width="12.85546875" style="52" customWidth="1"/>
    <col min="2061" max="2061" width="12.7109375" style="52" customWidth="1"/>
    <col min="2062" max="2062" width="12.28515625" style="52" bestFit="1" customWidth="1"/>
    <col min="2063" max="2063" width="13.140625" style="52" customWidth="1"/>
    <col min="2064" max="2304" width="9.140625" style="52"/>
    <col min="2305" max="2305" width="2.7109375" style="52" customWidth="1"/>
    <col min="2306" max="2306" width="9.140625" style="52"/>
    <col min="2307" max="2307" width="40.28515625" style="52" bestFit="1" customWidth="1"/>
    <col min="2308" max="2308" width="12" style="52" customWidth="1"/>
    <col min="2309" max="2309" width="10" style="52" customWidth="1"/>
    <col min="2310" max="2310" width="14.85546875" style="52" customWidth="1"/>
    <col min="2311" max="2311" width="9.5703125" style="52" customWidth="1"/>
    <col min="2312" max="2313" width="12.28515625" style="52" customWidth="1"/>
    <col min="2314" max="2316" width="12.85546875" style="52" customWidth="1"/>
    <col min="2317" max="2317" width="12.7109375" style="52" customWidth="1"/>
    <col min="2318" max="2318" width="12.28515625" style="52" bestFit="1" customWidth="1"/>
    <col min="2319" max="2319" width="13.140625" style="52" customWidth="1"/>
    <col min="2320" max="2560" width="9.140625" style="52"/>
    <col min="2561" max="2561" width="2.7109375" style="52" customWidth="1"/>
    <col min="2562" max="2562" width="9.140625" style="52"/>
    <col min="2563" max="2563" width="40.28515625" style="52" bestFit="1" customWidth="1"/>
    <col min="2564" max="2564" width="12" style="52" customWidth="1"/>
    <col min="2565" max="2565" width="10" style="52" customWidth="1"/>
    <col min="2566" max="2566" width="14.85546875" style="52" customWidth="1"/>
    <col min="2567" max="2567" width="9.5703125" style="52" customWidth="1"/>
    <col min="2568" max="2569" width="12.28515625" style="52" customWidth="1"/>
    <col min="2570" max="2572" width="12.85546875" style="52" customWidth="1"/>
    <col min="2573" max="2573" width="12.7109375" style="52" customWidth="1"/>
    <col min="2574" max="2574" width="12.28515625" style="52" bestFit="1" customWidth="1"/>
    <col min="2575" max="2575" width="13.140625" style="52" customWidth="1"/>
    <col min="2576" max="2816" width="9.140625" style="52"/>
    <col min="2817" max="2817" width="2.7109375" style="52" customWidth="1"/>
    <col min="2818" max="2818" width="9.140625" style="52"/>
    <col min="2819" max="2819" width="40.28515625" style="52" bestFit="1" customWidth="1"/>
    <col min="2820" max="2820" width="12" style="52" customWidth="1"/>
    <col min="2821" max="2821" width="10" style="52" customWidth="1"/>
    <col min="2822" max="2822" width="14.85546875" style="52" customWidth="1"/>
    <col min="2823" max="2823" width="9.5703125" style="52" customWidth="1"/>
    <col min="2824" max="2825" width="12.28515625" style="52" customWidth="1"/>
    <col min="2826" max="2828" width="12.85546875" style="52" customWidth="1"/>
    <col min="2829" max="2829" width="12.7109375" style="52" customWidth="1"/>
    <col min="2830" max="2830" width="12.28515625" style="52" bestFit="1" customWidth="1"/>
    <col min="2831" max="2831" width="13.140625" style="52" customWidth="1"/>
    <col min="2832" max="3072" width="9.140625" style="52"/>
    <col min="3073" max="3073" width="2.7109375" style="52" customWidth="1"/>
    <col min="3074" max="3074" width="9.140625" style="52"/>
    <col min="3075" max="3075" width="40.28515625" style="52" bestFit="1" customWidth="1"/>
    <col min="3076" max="3076" width="12" style="52" customWidth="1"/>
    <col min="3077" max="3077" width="10" style="52" customWidth="1"/>
    <col min="3078" max="3078" width="14.85546875" style="52" customWidth="1"/>
    <col min="3079" max="3079" width="9.5703125" style="52" customWidth="1"/>
    <col min="3080" max="3081" width="12.28515625" style="52" customWidth="1"/>
    <col min="3082" max="3084" width="12.85546875" style="52" customWidth="1"/>
    <col min="3085" max="3085" width="12.7109375" style="52" customWidth="1"/>
    <col min="3086" max="3086" width="12.28515625" style="52" bestFit="1" customWidth="1"/>
    <col min="3087" max="3087" width="13.140625" style="52" customWidth="1"/>
    <col min="3088" max="3328" width="9.140625" style="52"/>
    <col min="3329" max="3329" width="2.7109375" style="52" customWidth="1"/>
    <col min="3330" max="3330" width="9.140625" style="52"/>
    <col min="3331" max="3331" width="40.28515625" style="52" bestFit="1" customWidth="1"/>
    <col min="3332" max="3332" width="12" style="52" customWidth="1"/>
    <col min="3333" max="3333" width="10" style="52" customWidth="1"/>
    <col min="3334" max="3334" width="14.85546875" style="52" customWidth="1"/>
    <col min="3335" max="3335" width="9.5703125" style="52" customWidth="1"/>
    <col min="3336" max="3337" width="12.28515625" style="52" customWidth="1"/>
    <col min="3338" max="3340" width="12.85546875" style="52" customWidth="1"/>
    <col min="3341" max="3341" width="12.7109375" style="52" customWidth="1"/>
    <col min="3342" max="3342" width="12.28515625" style="52" bestFit="1" customWidth="1"/>
    <col min="3343" max="3343" width="13.140625" style="52" customWidth="1"/>
    <col min="3344" max="3584" width="9.140625" style="52"/>
    <col min="3585" max="3585" width="2.7109375" style="52" customWidth="1"/>
    <col min="3586" max="3586" width="9.140625" style="52"/>
    <col min="3587" max="3587" width="40.28515625" style="52" bestFit="1" customWidth="1"/>
    <col min="3588" max="3588" width="12" style="52" customWidth="1"/>
    <col min="3589" max="3589" width="10" style="52" customWidth="1"/>
    <col min="3590" max="3590" width="14.85546875" style="52" customWidth="1"/>
    <col min="3591" max="3591" width="9.5703125" style="52" customWidth="1"/>
    <col min="3592" max="3593" width="12.28515625" style="52" customWidth="1"/>
    <col min="3594" max="3596" width="12.85546875" style="52" customWidth="1"/>
    <col min="3597" max="3597" width="12.7109375" style="52" customWidth="1"/>
    <col min="3598" max="3598" width="12.28515625" style="52" bestFit="1" customWidth="1"/>
    <col min="3599" max="3599" width="13.140625" style="52" customWidth="1"/>
    <col min="3600" max="3840" width="9.140625" style="52"/>
    <col min="3841" max="3841" width="2.7109375" style="52" customWidth="1"/>
    <col min="3842" max="3842" width="9.140625" style="52"/>
    <col min="3843" max="3843" width="40.28515625" style="52" bestFit="1" customWidth="1"/>
    <col min="3844" max="3844" width="12" style="52" customWidth="1"/>
    <col min="3845" max="3845" width="10" style="52" customWidth="1"/>
    <col min="3846" max="3846" width="14.85546875" style="52" customWidth="1"/>
    <col min="3847" max="3847" width="9.5703125" style="52" customWidth="1"/>
    <col min="3848" max="3849" width="12.28515625" style="52" customWidth="1"/>
    <col min="3850" max="3852" width="12.85546875" style="52" customWidth="1"/>
    <col min="3853" max="3853" width="12.7109375" style="52" customWidth="1"/>
    <col min="3854" max="3854" width="12.28515625" style="52" bestFit="1" customWidth="1"/>
    <col min="3855" max="3855" width="13.140625" style="52" customWidth="1"/>
    <col min="3856" max="4096" width="9.140625" style="52"/>
    <col min="4097" max="4097" width="2.7109375" style="52" customWidth="1"/>
    <col min="4098" max="4098" width="9.140625" style="52"/>
    <col min="4099" max="4099" width="40.28515625" style="52" bestFit="1" customWidth="1"/>
    <col min="4100" max="4100" width="12" style="52" customWidth="1"/>
    <col min="4101" max="4101" width="10" style="52" customWidth="1"/>
    <col min="4102" max="4102" width="14.85546875" style="52" customWidth="1"/>
    <col min="4103" max="4103" width="9.5703125" style="52" customWidth="1"/>
    <col min="4104" max="4105" width="12.28515625" style="52" customWidth="1"/>
    <col min="4106" max="4108" width="12.85546875" style="52" customWidth="1"/>
    <col min="4109" max="4109" width="12.7109375" style="52" customWidth="1"/>
    <col min="4110" max="4110" width="12.28515625" style="52" bestFit="1" customWidth="1"/>
    <col min="4111" max="4111" width="13.140625" style="52" customWidth="1"/>
    <col min="4112" max="4352" width="9.140625" style="52"/>
    <col min="4353" max="4353" width="2.7109375" style="52" customWidth="1"/>
    <col min="4354" max="4354" width="9.140625" style="52"/>
    <col min="4355" max="4355" width="40.28515625" style="52" bestFit="1" customWidth="1"/>
    <col min="4356" max="4356" width="12" style="52" customWidth="1"/>
    <col min="4357" max="4357" width="10" style="52" customWidth="1"/>
    <col min="4358" max="4358" width="14.85546875" style="52" customWidth="1"/>
    <col min="4359" max="4359" width="9.5703125" style="52" customWidth="1"/>
    <col min="4360" max="4361" width="12.28515625" style="52" customWidth="1"/>
    <col min="4362" max="4364" width="12.85546875" style="52" customWidth="1"/>
    <col min="4365" max="4365" width="12.7109375" style="52" customWidth="1"/>
    <col min="4366" max="4366" width="12.28515625" style="52" bestFit="1" customWidth="1"/>
    <col min="4367" max="4367" width="13.140625" style="52" customWidth="1"/>
    <col min="4368" max="4608" width="9.140625" style="52"/>
    <col min="4609" max="4609" width="2.7109375" style="52" customWidth="1"/>
    <col min="4610" max="4610" width="9.140625" style="52"/>
    <col min="4611" max="4611" width="40.28515625" style="52" bestFit="1" customWidth="1"/>
    <col min="4612" max="4612" width="12" style="52" customWidth="1"/>
    <col min="4613" max="4613" width="10" style="52" customWidth="1"/>
    <col min="4614" max="4614" width="14.85546875" style="52" customWidth="1"/>
    <col min="4615" max="4615" width="9.5703125" style="52" customWidth="1"/>
    <col min="4616" max="4617" width="12.28515625" style="52" customWidth="1"/>
    <col min="4618" max="4620" width="12.85546875" style="52" customWidth="1"/>
    <col min="4621" max="4621" width="12.7109375" style="52" customWidth="1"/>
    <col min="4622" max="4622" width="12.28515625" style="52" bestFit="1" customWidth="1"/>
    <col min="4623" max="4623" width="13.140625" style="52" customWidth="1"/>
    <col min="4624" max="4864" width="9.140625" style="52"/>
    <col min="4865" max="4865" width="2.7109375" style="52" customWidth="1"/>
    <col min="4866" max="4866" width="9.140625" style="52"/>
    <col min="4867" max="4867" width="40.28515625" style="52" bestFit="1" customWidth="1"/>
    <col min="4868" max="4868" width="12" style="52" customWidth="1"/>
    <col min="4869" max="4869" width="10" style="52" customWidth="1"/>
    <col min="4870" max="4870" width="14.85546875" style="52" customWidth="1"/>
    <col min="4871" max="4871" width="9.5703125" style="52" customWidth="1"/>
    <col min="4872" max="4873" width="12.28515625" style="52" customWidth="1"/>
    <col min="4874" max="4876" width="12.85546875" style="52" customWidth="1"/>
    <col min="4877" max="4877" width="12.7109375" style="52" customWidth="1"/>
    <col min="4878" max="4878" width="12.28515625" style="52" bestFit="1" customWidth="1"/>
    <col min="4879" max="4879" width="13.140625" style="52" customWidth="1"/>
    <col min="4880" max="5120" width="9.140625" style="52"/>
    <col min="5121" max="5121" width="2.7109375" style="52" customWidth="1"/>
    <col min="5122" max="5122" width="9.140625" style="52"/>
    <col min="5123" max="5123" width="40.28515625" style="52" bestFit="1" customWidth="1"/>
    <col min="5124" max="5124" width="12" style="52" customWidth="1"/>
    <col min="5125" max="5125" width="10" style="52" customWidth="1"/>
    <col min="5126" max="5126" width="14.85546875" style="52" customWidth="1"/>
    <col min="5127" max="5127" width="9.5703125" style="52" customWidth="1"/>
    <col min="5128" max="5129" width="12.28515625" style="52" customWidth="1"/>
    <col min="5130" max="5132" width="12.85546875" style="52" customWidth="1"/>
    <col min="5133" max="5133" width="12.7109375" style="52" customWidth="1"/>
    <col min="5134" max="5134" width="12.28515625" style="52" bestFit="1" customWidth="1"/>
    <col min="5135" max="5135" width="13.140625" style="52" customWidth="1"/>
    <col min="5136" max="5376" width="9.140625" style="52"/>
    <col min="5377" max="5377" width="2.7109375" style="52" customWidth="1"/>
    <col min="5378" max="5378" width="9.140625" style="52"/>
    <col min="5379" max="5379" width="40.28515625" style="52" bestFit="1" customWidth="1"/>
    <col min="5380" max="5380" width="12" style="52" customWidth="1"/>
    <col min="5381" max="5381" width="10" style="52" customWidth="1"/>
    <col min="5382" max="5382" width="14.85546875" style="52" customWidth="1"/>
    <col min="5383" max="5383" width="9.5703125" style="52" customWidth="1"/>
    <col min="5384" max="5385" width="12.28515625" style="52" customWidth="1"/>
    <col min="5386" max="5388" width="12.85546875" style="52" customWidth="1"/>
    <col min="5389" max="5389" width="12.7109375" style="52" customWidth="1"/>
    <col min="5390" max="5390" width="12.28515625" style="52" bestFit="1" customWidth="1"/>
    <col min="5391" max="5391" width="13.140625" style="52" customWidth="1"/>
    <col min="5392" max="5632" width="9.140625" style="52"/>
    <col min="5633" max="5633" width="2.7109375" style="52" customWidth="1"/>
    <col min="5634" max="5634" width="9.140625" style="52"/>
    <col min="5635" max="5635" width="40.28515625" style="52" bestFit="1" customWidth="1"/>
    <col min="5636" max="5636" width="12" style="52" customWidth="1"/>
    <col min="5637" max="5637" width="10" style="52" customWidth="1"/>
    <col min="5638" max="5638" width="14.85546875" style="52" customWidth="1"/>
    <col min="5639" max="5639" width="9.5703125" style="52" customWidth="1"/>
    <col min="5640" max="5641" width="12.28515625" style="52" customWidth="1"/>
    <col min="5642" max="5644" width="12.85546875" style="52" customWidth="1"/>
    <col min="5645" max="5645" width="12.7109375" style="52" customWidth="1"/>
    <col min="5646" max="5646" width="12.28515625" style="52" bestFit="1" customWidth="1"/>
    <col min="5647" max="5647" width="13.140625" style="52" customWidth="1"/>
    <col min="5648" max="5888" width="9.140625" style="52"/>
    <col min="5889" max="5889" width="2.7109375" style="52" customWidth="1"/>
    <col min="5890" max="5890" width="9.140625" style="52"/>
    <col min="5891" max="5891" width="40.28515625" style="52" bestFit="1" customWidth="1"/>
    <col min="5892" max="5892" width="12" style="52" customWidth="1"/>
    <col min="5893" max="5893" width="10" style="52" customWidth="1"/>
    <col min="5894" max="5894" width="14.85546875" style="52" customWidth="1"/>
    <col min="5895" max="5895" width="9.5703125" style="52" customWidth="1"/>
    <col min="5896" max="5897" width="12.28515625" style="52" customWidth="1"/>
    <col min="5898" max="5900" width="12.85546875" style="52" customWidth="1"/>
    <col min="5901" max="5901" width="12.7109375" style="52" customWidth="1"/>
    <col min="5902" max="5902" width="12.28515625" style="52" bestFit="1" customWidth="1"/>
    <col min="5903" max="5903" width="13.140625" style="52" customWidth="1"/>
    <col min="5904" max="6144" width="9.140625" style="52"/>
    <col min="6145" max="6145" width="2.7109375" style="52" customWidth="1"/>
    <col min="6146" max="6146" width="9.140625" style="52"/>
    <col min="6147" max="6147" width="40.28515625" style="52" bestFit="1" customWidth="1"/>
    <col min="6148" max="6148" width="12" style="52" customWidth="1"/>
    <col min="6149" max="6149" width="10" style="52" customWidth="1"/>
    <col min="6150" max="6150" width="14.85546875" style="52" customWidth="1"/>
    <col min="6151" max="6151" width="9.5703125" style="52" customWidth="1"/>
    <col min="6152" max="6153" width="12.28515625" style="52" customWidth="1"/>
    <col min="6154" max="6156" width="12.85546875" style="52" customWidth="1"/>
    <col min="6157" max="6157" width="12.7109375" style="52" customWidth="1"/>
    <col min="6158" max="6158" width="12.28515625" style="52" bestFit="1" customWidth="1"/>
    <col min="6159" max="6159" width="13.140625" style="52" customWidth="1"/>
    <col min="6160" max="6400" width="9.140625" style="52"/>
    <col min="6401" max="6401" width="2.7109375" style="52" customWidth="1"/>
    <col min="6402" max="6402" width="9.140625" style="52"/>
    <col min="6403" max="6403" width="40.28515625" style="52" bestFit="1" customWidth="1"/>
    <col min="6404" max="6404" width="12" style="52" customWidth="1"/>
    <col min="6405" max="6405" width="10" style="52" customWidth="1"/>
    <col min="6406" max="6406" width="14.85546875" style="52" customWidth="1"/>
    <col min="6407" max="6407" width="9.5703125" style="52" customWidth="1"/>
    <col min="6408" max="6409" width="12.28515625" style="52" customWidth="1"/>
    <col min="6410" max="6412" width="12.85546875" style="52" customWidth="1"/>
    <col min="6413" max="6413" width="12.7109375" style="52" customWidth="1"/>
    <col min="6414" max="6414" width="12.28515625" style="52" bestFit="1" customWidth="1"/>
    <col min="6415" max="6415" width="13.140625" style="52" customWidth="1"/>
    <col min="6416" max="6656" width="9.140625" style="52"/>
    <col min="6657" max="6657" width="2.7109375" style="52" customWidth="1"/>
    <col min="6658" max="6658" width="9.140625" style="52"/>
    <col min="6659" max="6659" width="40.28515625" style="52" bestFit="1" customWidth="1"/>
    <col min="6660" max="6660" width="12" style="52" customWidth="1"/>
    <col min="6661" max="6661" width="10" style="52" customWidth="1"/>
    <col min="6662" max="6662" width="14.85546875" style="52" customWidth="1"/>
    <col min="6663" max="6663" width="9.5703125" style="52" customWidth="1"/>
    <col min="6664" max="6665" width="12.28515625" style="52" customWidth="1"/>
    <col min="6666" max="6668" width="12.85546875" style="52" customWidth="1"/>
    <col min="6669" max="6669" width="12.7109375" style="52" customWidth="1"/>
    <col min="6670" max="6670" width="12.28515625" style="52" bestFit="1" customWidth="1"/>
    <col min="6671" max="6671" width="13.140625" style="52" customWidth="1"/>
    <col min="6672" max="6912" width="9.140625" style="52"/>
    <col min="6913" max="6913" width="2.7109375" style="52" customWidth="1"/>
    <col min="6914" max="6914" width="9.140625" style="52"/>
    <col min="6915" max="6915" width="40.28515625" style="52" bestFit="1" customWidth="1"/>
    <col min="6916" max="6916" width="12" style="52" customWidth="1"/>
    <col min="6917" max="6917" width="10" style="52" customWidth="1"/>
    <col min="6918" max="6918" width="14.85546875" style="52" customWidth="1"/>
    <col min="6919" max="6919" width="9.5703125" style="52" customWidth="1"/>
    <col min="6920" max="6921" width="12.28515625" style="52" customWidth="1"/>
    <col min="6922" max="6924" width="12.85546875" style="52" customWidth="1"/>
    <col min="6925" max="6925" width="12.7109375" style="52" customWidth="1"/>
    <col min="6926" max="6926" width="12.28515625" style="52" bestFit="1" customWidth="1"/>
    <col min="6927" max="6927" width="13.140625" style="52" customWidth="1"/>
    <col min="6928" max="7168" width="9.140625" style="52"/>
    <col min="7169" max="7169" width="2.7109375" style="52" customWidth="1"/>
    <col min="7170" max="7170" width="9.140625" style="52"/>
    <col min="7171" max="7171" width="40.28515625" style="52" bestFit="1" customWidth="1"/>
    <col min="7172" max="7172" width="12" style="52" customWidth="1"/>
    <col min="7173" max="7173" width="10" style="52" customWidth="1"/>
    <col min="7174" max="7174" width="14.85546875" style="52" customWidth="1"/>
    <col min="7175" max="7175" width="9.5703125" style="52" customWidth="1"/>
    <col min="7176" max="7177" width="12.28515625" style="52" customWidth="1"/>
    <col min="7178" max="7180" width="12.85546875" style="52" customWidth="1"/>
    <col min="7181" max="7181" width="12.7109375" style="52" customWidth="1"/>
    <col min="7182" max="7182" width="12.28515625" style="52" bestFit="1" customWidth="1"/>
    <col min="7183" max="7183" width="13.140625" style="52" customWidth="1"/>
    <col min="7184" max="7424" width="9.140625" style="52"/>
    <col min="7425" max="7425" width="2.7109375" style="52" customWidth="1"/>
    <col min="7426" max="7426" width="9.140625" style="52"/>
    <col min="7427" max="7427" width="40.28515625" style="52" bestFit="1" customWidth="1"/>
    <col min="7428" max="7428" width="12" style="52" customWidth="1"/>
    <col min="7429" max="7429" width="10" style="52" customWidth="1"/>
    <col min="7430" max="7430" width="14.85546875" style="52" customWidth="1"/>
    <col min="7431" max="7431" width="9.5703125" style="52" customWidth="1"/>
    <col min="7432" max="7433" width="12.28515625" style="52" customWidth="1"/>
    <col min="7434" max="7436" width="12.85546875" style="52" customWidth="1"/>
    <col min="7437" max="7437" width="12.7109375" style="52" customWidth="1"/>
    <col min="7438" max="7438" width="12.28515625" style="52" bestFit="1" customWidth="1"/>
    <col min="7439" max="7439" width="13.140625" style="52" customWidth="1"/>
    <col min="7440" max="7680" width="9.140625" style="52"/>
    <col min="7681" max="7681" width="2.7109375" style="52" customWidth="1"/>
    <col min="7682" max="7682" width="9.140625" style="52"/>
    <col min="7683" max="7683" width="40.28515625" style="52" bestFit="1" customWidth="1"/>
    <col min="7684" max="7684" width="12" style="52" customWidth="1"/>
    <col min="7685" max="7685" width="10" style="52" customWidth="1"/>
    <col min="7686" max="7686" width="14.85546875" style="52" customWidth="1"/>
    <col min="7687" max="7687" width="9.5703125" style="52" customWidth="1"/>
    <col min="7688" max="7689" width="12.28515625" style="52" customWidth="1"/>
    <col min="7690" max="7692" width="12.85546875" style="52" customWidth="1"/>
    <col min="7693" max="7693" width="12.7109375" style="52" customWidth="1"/>
    <col min="7694" max="7694" width="12.28515625" style="52" bestFit="1" customWidth="1"/>
    <col min="7695" max="7695" width="13.140625" style="52" customWidth="1"/>
    <col min="7696" max="7936" width="9.140625" style="52"/>
    <col min="7937" max="7937" width="2.7109375" style="52" customWidth="1"/>
    <col min="7938" max="7938" width="9.140625" style="52"/>
    <col min="7939" max="7939" width="40.28515625" style="52" bestFit="1" customWidth="1"/>
    <col min="7940" max="7940" width="12" style="52" customWidth="1"/>
    <col min="7941" max="7941" width="10" style="52" customWidth="1"/>
    <col min="7942" max="7942" width="14.85546875" style="52" customWidth="1"/>
    <col min="7943" max="7943" width="9.5703125" style="52" customWidth="1"/>
    <col min="7944" max="7945" width="12.28515625" style="52" customWidth="1"/>
    <col min="7946" max="7948" width="12.85546875" style="52" customWidth="1"/>
    <col min="7949" max="7949" width="12.7109375" style="52" customWidth="1"/>
    <col min="7950" max="7950" width="12.28515625" style="52" bestFit="1" customWidth="1"/>
    <col min="7951" max="7951" width="13.140625" style="52" customWidth="1"/>
    <col min="7952" max="8192" width="9.140625" style="52"/>
    <col min="8193" max="8193" width="2.7109375" style="52" customWidth="1"/>
    <col min="8194" max="8194" width="9.140625" style="52"/>
    <col min="8195" max="8195" width="40.28515625" style="52" bestFit="1" customWidth="1"/>
    <col min="8196" max="8196" width="12" style="52" customWidth="1"/>
    <col min="8197" max="8197" width="10" style="52" customWidth="1"/>
    <col min="8198" max="8198" width="14.85546875" style="52" customWidth="1"/>
    <col min="8199" max="8199" width="9.5703125" style="52" customWidth="1"/>
    <col min="8200" max="8201" width="12.28515625" style="52" customWidth="1"/>
    <col min="8202" max="8204" width="12.85546875" style="52" customWidth="1"/>
    <col min="8205" max="8205" width="12.7109375" style="52" customWidth="1"/>
    <col min="8206" max="8206" width="12.28515625" style="52" bestFit="1" customWidth="1"/>
    <col min="8207" max="8207" width="13.140625" style="52" customWidth="1"/>
    <col min="8208" max="8448" width="9.140625" style="52"/>
    <col min="8449" max="8449" width="2.7109375" style="52" customWidth="1"/>
    <col min="8450" max="8450" width="9.140625" style="52"/>
    <col min="8451" max="8451" width="40.28515625" style="52" bestFit="1" customWidth="1"/>
    <col min="8452" max="8452" width="12" style="52" customWidth="1"/>
    <col min="8453" max="8453" width="10" style="52" customWidth="1"/>
    <col min="8454" max="8454" width="14.85546875" style="52" customWidth="1"/>
    <col min="8455" max="8455" width="9.5703125" style="52" customWidth="1"/>
    <col min="8456" max="8457" width="12.28515625" style="52" customWidth="1"/>
    <col min="8458" max="8460" width="12.85546875" style="52" customWidth="1"/>
    <col min="8461" max="8461" width="12.7109375" style="52" customWidth="1"/>
    <col min="8462" max="8462" width="12.28515625" style="52" bestFit="1" customWidth="1"/>
    <col min="8463" max="8463" width="13.140625" style="52" customWidth="1"/>
    <col min="8464" max="8704" width="9.140625" style="52"/>
    <col min="8705" max="8705" width="2.7109375" style="52" customWidth="1"/>
    <col min="8706" max="8706" width="9.140625" style="52"/>
    <col min="8707" max="8707" width="40.28515625" style="52" bestFit="1" customWidth="1"/>
    <col min="8708" max="8708" width="12" style="52" customWidth="1"/>
    <col min="8709" max="8709" width="10" style="52" customWidth="1"/>
    <col min="8710" max="8710" width="14.85546875" style="52" customWidth="1"/>
    <col min="8711" max="8711" width="9.5703125" style="52" customWidth="1"/>
    <col min="8712" max="8713" width="12.28515625" style="52" customWidth="1"/>
    <col min="8714" max="8716" width="12.85546875" style="52" customWidth="1"/>
    <col min="8717" max="8717" width="12.7109375" style="52" customWidth="1"/>
    <col min="8718" max="8718" width="12.28515625" style="52" bestFit="1" customWidth="1"/>
    <col min="8719" max="8719" width="13.140625" style="52" customWidth="1"/>
    <col min="8720" max="8960" width="9.140625" style="52"/>
    <col min="8961" max="8961" width="2.7109375" style="52" customWidth="1"/>
    <col min="8962" max="8962" width="9.140625" style="52"/>
    <col min="8963" max="8963" width="40.28515625" style="52" bestFit="1" customWidth="1"/>
    <col min="8964" max="8964" width="12" style="52" customWidth="1"/>
    <col min="8965" max="8965" width="10" style="52" customWidth="1"/>
    <col min="8966" max="8966" width="14.85546875" style="52" customWidth="1"/>
    <col min="8967" max="8967" width="9.5703125" style="52" customWidth="1"/>
    <col min="8968" max="8969" width="12.28515625" style="52" customWidth="1"/>
    <col min="8970" max="8972" width="12.85546875" style="52" customWidth="1"/>
    <col min="8973" max="8973" width="12.7109375" style="52" customWidth="1"/>
    <col min="8974" max="8974" width="12.28515625" style="52" bestFit="1" customWidth="1"/>
    <col min="8975" max="8975" width="13.140625" style="52" customWidth="1"/>
    <col min="8976" max="9216" width="9.140625" style="52"/>
    <col min="9217" max="9217" width="2.7109375" style="52" customWidth="1"/>
    <col min="9218" max="9218" width="9.140625" style="52"/>
    <col min="9219" max="9219" width="40.28515625" style="52" bestFit="1" customWidth="1"/>
    <col min="9220" max="9220" width="12" style="52" customWidth="1"/>
    <col min="9221" max="9221" width="10" style="52" customWidth="1"/>
    <col min="9222" max="9222" width="14.85546875" style="52" customWidth="1"/>
    <col min="9223" max="9223" width="9.5703125" style="52" customWidth="1"/>
    <col min="9224" max="9225" width="12.28515625" style="52" customWidth="1"/>
    <col min="9226" max="9228" width="12.85546875" style="52" customWidth="1"/>
    <col min="9229" max="9229" width="12.7109375" style="52" customWidth="1"/>
    <col min="9230" max="9230" width="12.28515625" style="52" bestFit="1" customWidth="1"/>
    <col min="9231" max="9231" width="13.140625" style="52" customWidth="1"/>
    <col min="9232" max="9472" width="9.140625" style="52"/>
    <col min="9473" max="9473" width="2.7109375" style="52" customWidth="1"/>
    <col min="9474" max="9474" width="9.140625" style="52"/>
    <col min="9475" max="9475" width="40.28515625" style="52" bestFit="1" customWidth="1"/>
    <col min="9476" max="9476" width="12" style="52" customWidth="1"/>
    <col min="9477" max="9477" width="10" style="52" customWidth="1"/>
    <col min="9478" max="9478" width="14.85546875" style="52" customWidth="1"/>
    <col min="9479" max="9479" width="9.5703125" style="52" customWidth="1"/>
    <col min="9480" max="9481" width="12.28515625" style="52" customWidth="1"/>
    <col min="9482" max="9484" width="12.85546875" style="52" customWidth="1"/>
    <col min="9485" max="9485" width="12.7109375" style="52" customWidth="1"/>
    <col min="9486" max="9486" width="12.28515625" style="52" bestFit="1" customWidth="1"/>
    <col min="9487" max="9487" width="13.140625" style="52" customWidth="1"/>
    <col min="9488" max="9728" width="9.140625" style="52"/>
    <col min="9729" max="9729" width="2.7109375" style="52" customWidth="1"/>
    <col min="9730" max="9730" width="9.140625" style="52"/>
    <col min="9731" max="9731" width="40.28515625" style="52" bestFit="1" customWidth="1"/>
    <col min="9732" max="9732" width="12" style="52" customWidth="1"/>
    <col min="9733" max="9733" width="10" style="52" customWidth="1"/>
    <col min="9734" max="9734" width="14.85546875" style="52" customWidth="1"/>
    <col min="9735" max="9735" width="9.5703125" style="52" customWidth="1"/>
    <col min="9736" max="9737" width="12.28515625" style="52" customWidth="1"/>
    <col min="9738" max="9740" width="12.85546875" style="52" customWidth="1"/>
    <col min="9741" max="9741" width="12.7109375" style="52" customWidth="1"/>
    <col min="9742" max="9742" width="12.28515625" style="52" bestFit="1" customWidth="1"/>
    <col min="9743" max="9743" width="13.140625" style="52" customWidth="1"/>
    <col min="9744" max="9984" width="9.140625" style="52"/>
    <col min="9985" max="9985" width="2.7109375" style="52" customWidth="1"/>
    <col min="9986" max="9986" width="9.140625" style="52"/>
    <col min="9987" max="9987" width="40.28515625" style="52" bestFit="1" customWidth="1"/>
    <col min="9988" max="9988" width="12" style="52" customWidth="1"/>
    <col min="9989" max="9989" width="10" style="52" customWidth="1"/>
    <col min="9990" max="9990" width="14.85546875" style="52" customWidth="1"/>
    <col min="9991" max="9991" width="9.5703125" style="52" customWidth="1"/>
    <col min="9992" max="9993" width="12.28515625" style="52" customWidth="1"/>
    <col min="9994" max="9996" width="12.85546875" style="52" customWidth="1"/>
    <col min="9997" max="9997" width="12.7109375" style="52" customWidth="1"/>
    <col min="9998" max="9998" width="12.28515625" style="52" bestFit="1" customWidth="1"/>
    <col min="9999" max="9999" width="13.140625" style="52" customWidth="1"/>
    <col min="10000" max="10240" width="9.140625" style="52"/>
    <col min="10241" max="10241" width="2.7109375" style="52" customWidth="1"/>
    <col min="10242" max="10242" width="9.140625" style="52"/>
    <col min="10243" max="10243" width="40.28515625" style="52" bestFit="1" customWidth="1"/>
    <col min="10244" max="10244" width="12" style="52" customWidth="1"/>
    <col min="10245" max="10245" width="10" style="52" customWidth="1"/>
    <col min="10246" max="10246" width="14.85546875" style="52" customWidth="1"/>
    <col min="10247" max="10247" width="9.5703125" style="52" customWidth="1"/>
    <col min="10248" max="10249" width="12.28515625" style="52" customWidth="1"/>
    <col min="10250" max="10252" width="12.85546875" style="52" customWidth="1"/>
    <col min="10253" max="10253" width="12.7109375" style="52" customWidth="1"/>
    <col min="10254" max="10254" width="12.28515625" style="52" bestFit="1" customWidth="1"/>
    <col min="10255" max="10255" width="13.140625" style="52" customWidth="1"/>
    <col min="10256" max="10496" width="9.140625" style="52"/>
    <col min="10497" max="10497" width="2.7109375" style="52" customWidth="1"/>
    <col min="10498" max="10498" width="9.140625" style="52"/>
    <col min="10499" max="10499" width="40.28515625" style="52" bestFit="1" customWidth="1"/>
    <col min="10500" max="10500" width="12" style="52" customWidth="1"/>
    <col min="10501" max="10501" width="10" style="52" customWidth="1"/>
    <col min="10502" max="10502" width="14.85546875" style="52" customWidth="1"/>
    <col min="10503" max="10503" width="9.5703125" style="52" customWidth="1"/>
    <col min="10504" max="10505" width="12.28515625" style="52" customWidth="1"/>
    <col min="10506" max="10508" width="12.85546875" style="52" customWidth="1"/>
    <col min="10509" max="10509" width="12.7109375" style="52" customWidth="1"/>
    <col min="10510" max="10510" width="12.28515625" style="52" bestFit="1" customWidth="1"/>
    <col min="10511" max="10511" width="13.140625" style="52" customWidth="1"/>
    <col min="10512" max="10752" width="9.140625" style="52"/>
    <col min="10753" max="10753" width="2.7109375" style="52" customWidth="1"/>
    <col min="10754" max="10754" width="9.140625" style="52"/>
    <col min="10755" max="10755" width="40.28515625" style="52" bestFit="1" customWidth="1"/>
    <col min="10756" max="10756" width="12" style="52" customWidth="1"/>
    <col min="10757" max="10757" width="10" style="52" customWidth="1"/>
    <col min="10758" max="10758" width="14.85546875" style="52" customWidth="1"/>
    <col min="10759" max="10759" width="9.5703125" style="52" customWidth="1"/>
    <col min="10760" max="10761" width="12.28515625" style="52" customWidth="1"/>
    <col min="10762" max="10764" width="12.85546875" style="52" customWidth="1"/>
    <col min="10765" max="10765" width="12.7109375" style="52" customWidth="1"/>
    <col min="10766" max="10766" width="12.28515625" style="52" bestFit="1" customWidth="1"/>
    <col min="10767" max="10767" width="13.140625" style="52" customWidth="1"/>
    <col min="10768" max="11008" width="9.140625" style="52"/>
    <col min="11009" max="11009" width="2.7109375" style="52" customWidth="1"/>
    <col min="11010" max="11010" width="9.140625" style="52"/>
    <col min="11011" max="11011" width="40.28515625" style="52" bestFit="1" customWidth="1"/>
    <col min="11012" max="11012" width="12" style="52" customWidth="1"/>
    <col min="11013" max="11013" width="10" style="52" customWidth="1"/>
    <col min="11014" max="11014" width="14.85546875" style="52" customWidth="1"/>
    <col min="11015" max="11015" width="9.5703125" style="52" customWidth="1"/>
    <col min="11016" max="11017" width="12.28515625" style="52" customWidth="1"/>
    <col min="11018" max="11020" width="12.85546875" style="52" customWidth="1"/>
    <col min="11021" max="11021" width="12.7109375" style="52" customWidth="1"/>
    <col min="11022" max="11022" width="12.28515625" style="52" bestFit="1" customWidth="1"/>
    <col min="11023" max="11023" width="13.140625" style="52" customWidth="1"/>
    <col min="11024" max="11264" width="9.140625" style="52"/>
    <col min="11265" max="11265" width="2.7109375" style="52" customWidth="1"/>
    <col min="11266" max="11266" width="9.140625" style="52"/>
    <col min="11267" max="11267" width="40.28515625" style="52" bestFit="1" customWidth="1"/>
    <col min="11268" max="11268" width="12" style="52" customWidth="1"/>
    <col min="11269" max="11269" width="10" style="52" customWidth="1"/>
    <col min="11270" max="11270" width="14.85546875" style="52" customWidth="1"/>
    <col min="11271" max="11271" width="9.5703125" style="52" customWidth="1"/>
    <col min="11272" max="11273" width="12.28515625" style="52" customWidth="1"/>
    <col min="11274" max="11276" width="12.85546875" style="52" customWidth="1"/>
    <col min="11277" max="11277" width="12.7109375" style="52" customWidth="1"/>
    <col min="11278" max="11278" width="12.28515625" style="52" bestFit="1" customWidth="1"/>
    <col min="11279" max="11279" width="13.140625" style="52" customWidth="1"/>
    <col min="11280" max="11520" width="9.140625" style="52"/>
    <col min="11521" max="11521" width="2.7109375" style="52" customWidth="1"/>
    <col min="11522" max="11522" width="9.140625" style="52"/>
    <col min="11523" max="11523" width="40.28515625" style="52" bestFit="1" customWidth="1"/>
    <col min="11524" max="11524" width="12" style="52" customWidth="1"/>
    <col min="11525" max="11525" width="10" style="52" customWidth="1"/>
    <col min="11526" max="11526" width="14.85546875" style="52" customWidth="1"/>
    <col min="11527" max="11527" width="9.5703125" style="52" customWidth="1"/>
    <col min="11528" max="11529" width="12.28515625" style="52" customWidth="1"/>
    <col min="11530" max="11532" width="12.85546875" style="52" customWidth="1"/>
    <col min="11533" max="11533" width="12.7109375" style="52" customWidth="1"/>
    <col min="11534" max="11534" width="12.28515625" style="52" bestFit="1" customWidth="1"/>
    <col min="11535" max="11535" width="13.140625" style="52" customWidth="1"/>
    <col min="11536" max="11776" width="9.140625" style="52"/>
    <col min="11777" max="11777" width="2.7109375" style="52" customWidth="1"/>
    <col min="11778" max="11778" width="9.140625" style="52"/>
    <col min="11779" max="11779" width="40.28515625" style="52" bestFit="1" customWidth="1"/>
    <col min="11780" max="11780" width="12" style="52" customWidth="1"/>
    <col min="11781" max="11781" width="10" style="52" customWidth="1"/>
    <col min="11782" max="11782" width="14.85546875" style="52" customWidth="1"/>
    <col min="11783" max="11783" width="9.5703125" style="52" customWidth="1"/>
    <col min="11784" max="11785" width="12.28515625" style="52" customWidth="1"/>
    <col min="11786" max="11788" width="12.85546875" style="52" customWidth="1"/>
    <col min="11789" max="11789" width="12.7109375" style="52" customWidth="1"/>
    <col min="11790" max="11790" width="12.28515625" style="52" bestFit="1" customWidth="1"/>
    <col min="11791" max="11791" width="13.140625" style="52" customWidth="1"/>
    <col min="11792" max="12032" width="9.140625" style="52"/>
    <col min="12033" max="12033" width="2.7109375" style="52" customWidth="1"/>
    <col min="12034" max="12034" width="9.140625" style="52"/>
    <col min="12035" max="12035" width="40.28515625" style="52" bestFit="1" customWidth="1"/>
    <col min="12036" max="12036" width="12" style="52" customWidth="1"/>
    <col min="12037" max="12037" width="10" style="52" customWidth="1"/>
    <col min="12038" max="12038" width="14.85546875" style="52" customWidth="1"/>
    <col min="12039" max="12039" width="9.5703125" style="52" customWidth="1"/>
    <col min="12040" max="12041" width="12.28515625" style="52" customWidth="1"/>
    <col min="12042" max="12044" width="12.85546875" style="52" customWidth="1"/>
    <col min="12045" max="12045" width="12.7109375" style="52" customWidth="1"/>
    <col min="12046" max="12046" width="12.28515625" style="52" bestFit="1" customWidth="1"/>
    <col min="12047" max="12047" width="13.140625" style="52" customWidth="1"/>
    <col min="12048" max="12288" width="9.140625" style="52"/>
    <col min="12289" max="12289" width="2.7109375" style="52" customWidth="1"/>
    <col min="12290" max="12290" width="9.140625" style="52"/>
    <col min="12291" max="12291" width="40.28515625" style="52" bestFit="1" customWidth="1"/>
    <col min="12292" max="12292" width="12" style="52" customWidth="1"/>
    <col min="12293" max="12293" width="10" style="52" customWidth="1"/>
    <col min="12294" max="12294" width="14.85546875" style="52" customWidth="1"/>
    <col min="12295" max="12295" width="9.5703125" style="52" customWidth="1"/>
    <col min="12296" max="12297" width="12.28515625" style="52" customWidth="1"/>
    <col min="12298" max="12300" width="12.85546875" style="52" customWidth="1"/>
    <col min="12301" max="12301" width="12.7109375" style="52" customWidth="1"/>
    <col min="12302" max="12302" width="12.28515625" style="52" bestFit="1" customWidth="1"/>
    <col min="12303" max="12303" width="13.140625" style="52" customWidth="1"/>
    <col min="12304" max="12544" width="9.140625" style="52"/>
    <col min="12545" max="12545" width="2.7109375" style="52" customWidth="1"/>
    <col min="12546" max="12546" width="9.140625" style="52"/>
    <col min="12547" max="12547" width="40.28515625" style="52" bestFit="1" customWidth="1"/>
    <col min="12548" max="12548" width="12" style="52" customWidth="1"/>
    <col min="12549" max="12549" width="10" style="52" customWidth="1"/>
    <col min="12550" max="12550" width="14.85546875" style="52" customWidth="1"/>
    <col min="12551" max="12551" width="9.5703125" style="52" customWidth="1"/>
    <col min="12552" max="12553" width="12.28515625" style="52" customWidth="1"/>
    <col min="12554" max="12556" width="12.85546875" style="52" customWidth="1"/>
    <col min="12557" max="12557" width="12.7109375" style="52" customWidth="1"/>
    <col min="12558" max="12558" width="12.28515625" style="52" bestFit="1" customWidth="1"/>
    <col min="12559" max="12559" width="13.140625" style="52" customWidth="1"/>
    <col min="12560" max="12800" width="9.140625" style="52"/>
    <col min="12801" max="12801" width="2.7109375" style="52" customWidth="1"/>
    <col min="12802" max="12802" width="9.140625" style="52"/>
    <col min="12803" max="12803" width="40.28515625" style="52" bestFit="1" customWidth="1"/>
    <col min="12804" max="12804" width="12" style="52" customWidth="1"/>
    <col min="12805" max="12805" width="10" style="52" customWidth="1"/>
    <col min="12806" max="12806" width="14.85546875" style="52" customWidth="1"/>
    <col min="12807" max="12807" width="9.5703125" style="52" customWidth="1"/>
    <col min="12808" max="12809" width="12.28515625" style="52" customWidth="1"/>
    <col min="12810" max="12812" width="12.85546875" style="52" customWidth="1"/>
    <col min="12813" max="12813" width="12.7109375" style="52" customWidth="1"/>
    <col min="12814" max="12814" width="12.28515625" style="52" bestFit="1" customWidth="1"/>
    <col min="12815" max="12815" width="13.140625" style="52" customWidth="1"/>
    <col min="12816" max="13056" width="9.140625" style="52"/>
    <col min="13057" max="13057" width="2.7109375" style="52" customWidth="1"/>
    <col min="13058" max="13058" width="9.140625" style="52"/>
    <col min="13059" max="13059" width="40.28515625" style="52" bestFit="1" customWidth="1"/>
    <col min="13060" max="13060" width="12" style="52" customWidth="1"/>
    <col min="13061" max="13061" width="10" style="52" customWidth="1"/>
    <col min="13062" max="13062" width="14.85546875" style="52" customWidth="1"/>
    <col min="13063" max="13063" width="9.5703125" style="52" customWidth="1"/>
    <col min="13064" max="13065" width="12.28515625" style="52" customWidth="1"/>
    <col min="13066" max="13068" width="12.85546875" style="52" customWidth="1"/>
    <col min="13069" max="13069" width="12.7109375" style="52" customWidth="1"/>
    <col min="13070" max="13070" width="12.28515625" style="52" bestFit="1" customWidth="1"/>
    <col min="13071" max="13071" width="13.140625" style="52" customWidth="1"/>
    <col min="13072" max="13312" width="9.140625" style="52"/>
    <col min="13313" max="13313" width="2.7109375" style="52" customWidth="1"/>
    <col min="13314" max="13314" width="9.140625" style="52"/>
    <col min="13315" max="13315" width="40.28515625" style="52" bestFit="1" customWidth="1"/>
    <col min="13316" max="13316" width="12" style="52" customWidth="1"/>
    <col min="13317" max="13317" width="10" style="52" customWidth="1"/>
    <col min="13318" max="13318" width="14.85546875" style="52" customWidth="1"/>
    <col min="13319" max="13319" width="9.5703125" style="52" customWidth="1"/>
    <col min="13320" max="13321" width="12.28515625" style="52" customWidth="1"/>
    <col min="13322" max="13324" width="12.85546875" style="52" customWidth="1"/>
    <col min="13325" max="13325" width="12.7109375" style="52" customWidth="1"/>
    <col min="13326" max="13326" width="12.28515625" style="52" bestFit="1" customWidth="1"/>
    <col min="13327" max="13327" width="13.140625" style="52" customWidth="1"/>
    <col min="13328" max="13568" width="9.140625" style="52"/>
    <col min="13569" max="13569" width="2.7109375" style="52" customWidth="1"/>
    <col min="13570" max="13570" width="9.140625" style="52"/>
    <col min="13571" max="13571" width="40.28515625" style="52" bestFit="1" customWidth="1"/>
    <col min="13572" max="13572" width="12" style="52" customWidth="1"/>
    <col min="13573" max="13573" width="10" style="52" customWidth="1"/>
    <col min="13574" max="13574" width="14.85546875" style="52" customWidth="1"/>
    <col min="13575" max="13575" width="9.5703125" style="52" customWidth="1"/>
    <col min="13576" max="13577" width="12.28515625" style="52" customWidth="1"/>
    <col min="13578" max="13580" width="12.85546875" style="52" customWidth="1"/>
    <col min="13581" max="13581" width="12.7109375" style="52" customWidth="1"/>
    <col min="13582" max="13582" width="12.28515625" style="52" bestFit="1" customWidth="1"/>
    <col min="13583" max="13583" width="13.140625" style="52" customWidth="1"/>
    <col min="13584" max="13824" width="9.140625" style="52"/>
    <col min="13825" max="13825" width="2.7109375" style="52" customWidth="1"/>
    <col min="13826" max="13826" width="9.140625" style="52"/>
    <col min="13827" max="13827" width="40.28515625" style="52" bestFit="1" customWidth="1"/>
    <col min="13828" max="13828" width="12" style="52" customWidth="1"/>
    <col min="13829" max="13829" width="10" style="52" customWidth="1"/>
    <col min="13830" max="13830" width="14.85546875" style="52" customWidth="1"/>
    <col min="13831" max="13831" width="9.5703125" style="52" customWidth="1"/>
    <col min="13832" max="13833" width="12.28515625" style="52" customWidth="1"/>
    <col min="13834" max="13836" width="12.85546875" style="52" customWidth="1"/>
    <col min="13837" max="13837" width="12.7109375" style="52" customWidth="1"/>
    <col min="13838" max="13838" width="12.28515625" style="52" bestFit="1" customWidth="1"/>
    <col min="13839" max="13839" width="13.140625" style="52" customWidth="1"/>
    <col min="13840" max="14080" width="9.140625" style="52"/>
    <col min="14081" max="14081" width="2.7109375" style="52" customWidth="1"/>
    <col min="14082" max="14082" width="9.140625" style="52"/>
    <col min="14083" max="14083" width="40.28515625" style="52" bestFit="1" customWidth="1"/>
    <col min="14084" max="14084" width="12" style="52" customWidth="1"/>
    <col min="14085" max="14085" width="10" style="52" customWidth="1"/>
    <col min="14086" max="14086" width="14.85546875" style="52" customWidth="1"/>
    <col min="14087" max="14087" width="9.5703125" style="52" customWidth="1"/>
    <col min="14088" max="14089" width="12.28515625" style="52" customWidth="1"/>
    <col min="14090" max="14092" width="12.85546875" style="52" customWidth="1"/>
    <col min="14093" max="14093" width="12.7109375" style="52" customWidth="1"/>
    <col min="14094" max="14094" width="12.28515625" style="52" bestFit="1" customWidth="1"/>
    <col min="14095" max="14095" width="13.140625" style="52" customWidth="1"/>
    <col min="14096" max="14336" width="9.140625" style="52"/>
    <col min="14337" max="14337" width="2.7109375" style="52" customWidth="1"/>
    <col min="14338" max="14338" width="9.140625" style="52"/>
    <col min="14339" max="14339" width="40.28515625" style="52" bestFit="1" customWidth="1"/>
    <col min="14340" max="14340" width="12" style="52" customWidth="1"/>
    <col min="14341" max="14341" width="10" style="52" customWidth="1"/>
    <col min="14342" max="14342" width="14.85546875" style="52" customWidth="1"/>
    <col min="14343" max="14343" width="9.5703125" style="52" customWidth="1"/>
    <col min="14344" max="14345" width="12.28515625" style="52" customWidth="1"/>
    <col min="14346" max="14348" width="12.85546875" style="52" customWidth="1"/>
    <col min="14349" max="14349" width="12.7109375" style="52" customWidth="1"/>
    <col min="14350" max="14350" width="12.28515625" style="52" bestFit="1" customWidth="1"/>
    <col min="14351" max="14351" width="13.140625" style="52" customWidth="1"/>
    <col min="14352" max="14592" width="9.140625" style="52"/>
    <col min="14593" max="14593" width="2.7109375" style="52" customWidth="1"/>
    <col min="14594" max="14594" width="9.140625" style="52"/>
    <col min="14595" max="14595" width="40.28515625" style="52" bestFit="1" customWidth="1"/>
    <col min="14596" max="14596" width="12" style="52" customWidth="1"/>
    <col min="14597" max="14597" width="10" style="52" customWidth="1"/>
    <col min="14598" max="14598" width="14.85546875" style="52" customWidth="1"/>
    <col min="14599" max="14599" width="9.5703125" style="52" customWidth="1"/>
    <col min="14600" max="14601" width="12.28515625" style="52" customWidth="1"/>
    <col min="14602" max="14604" width="12.85546875" style="52" customWidth="1"/>
    <col min="14605" max="14605" width="12.7109375" style="52" customWidth="1"/>
    <col min="14606" max="14606" width="12.28515625" style="52" bestFit="1" customWidth="1"/>
    <col min="14607" max="14607" width="13.140625" style="52" customWidth="1"/>
    <col min="14608" max="14848" width="9.140625" style="52"/>
    <col min="14849" max="14849" width="2.7109375" style="52" customWidth="1"/>
    <col min="14850" max="14850" width="9.140625" style="52"/>
    <col min="14851" max="14851" width="40.28515625" style="52" bestFit="1" customWidth="1"/>
    <col min="14852" max="14852" width="12" style="52" customWidth="1"/>
    <col min="14853" max="14853" width="10" style="52" customWidth="1"/>
    <col min="14854" max="14854" width="14.85546875" style="52" customWidth="1"/>
    <col min="14855" max="14855" width="9.5703125" style="52" customWidth="1"/>
    <col min="14856" max="14857" width="12.28515625" style="52" customWidth="1"/>
    <col min="14858" max="14860" width="12.85546875" style="52" customWidth="1"/>
    <col min="14861" max="14861" width="12.7109375" style="52" customWidth="1"/>
    <col min="14862" max="14862" width="12.28515625" style="52" bestFit="1" customWidth="1"/>
    <col min="14863" max="14863" width="13.140625" style="52" customWidth="1"/>
    <col min="14864" max="15104" width="9.140625" style="52"/>
    <col min="15105" max="15105" width="2.7109375" style="52" customWidth="1"/>
    <col min="15106" max="15106" width="9.140625" style="52"/>
    <col min="15107" max="15107" width="40.28515625" style="52" bestFit="1" customWidth="1"/>
    <col min="15108" max="15108" width="12" style="52" customWidth="1"/>
    <col min="15109" max="15109" width="10" style="52" customWidth="1"/>
    <col min="15110" max="15110" width="14.85546875" style="52" customWidth="1"/>
    <col min="15111" max="15111" width="9.5703125" style="52" customWidth="1"/>
    <col min="15112" max="15113" width="12.28515625" style="52" customWidth="1"/>
    <col min="15114" max="15116" width="12.85546875" style="52" customWidth="1"/>
    <col min="15117" max="15117" width="12.7109375" style="52" customWidth="1"/>
    <col min="15118" max="15118" width="12.28515625" style="52" bestFit="1" customWidth="1"/>
    <col min="15119" max="15119" width="13.140625" style="52" customWidth="1"/>
    <col min="15120" max="15360" width="9.140625" style="52"/>
    <col min="15361" max="15361" width="2.7109375" style="52" customWidth="1"/>
    <col min="15362" max="15362" width="9.140625" style="52"/>
    <col min="15363" max="15363" width="40.28515625" style="52" bestFit="1" customWidth="1"/>
    <col min="15364" max="15364" width="12" style="52" customWidth="1"/>
    <col min="15365" max="15365" width="10" style="52" customWidth="1"/>
    <col min="15366" max="15366" width="14.85546875" style="52" customWidth="1"/>
    <col min="15367" max="15367" width="9.5703125" style="52" customWidth="1"/>
    <col min="15368" max="15369" width="12.28515625" style="52" customWidth="1"/>
    <col min="15370" max="15372" width="12.85546875" style="52" customWidth="1"/>
    <col min="15373" max="15373" width="12.7109375" style="52" customWidth="1"/>
    <col min="15374" max="15374" width="12.28515625" style="52" bestFit="1" customWidth="1"/>
    <col min="15375" max="15375" width="13.140625" style="52" customWidth="1"/>
    <col min="15376" max="15616" width="9.140625" style="52"/>
    <col min="15617" max="15617" width="2.7109375" style="52" customWidth="1"/>
    <col min="15618" max="15618" width="9.140625" style="52"/>
    <col min="15619" max="15619" width="40.28515625" style="52" bestFit="1" customWidth="1"/>
    <col min="15620" max="15620" width="12" style="52" customWidth="1"/>
    <col min="15621" max="15621" width="10" style="52" customWidth="1"/>
    <col min="15622" max="15622" width="14.85546875" style="52" customWidth="1"/>
    <col min="15623" max="15623" width="9.5703125" style="52" customWidth="1"/>
    <col min="15624" max="15625" width="12.28515625" style="52" customWidth="1"/>
    <col min="15626" max="15628" width="12.85546875" style="52" customWidth="1"/>
    <col min="15629" max="15629" width="12.7109375" style="52" customWidth="1"/>
    <col min="15630" max="15630" width="12.28515625" style="52" bestFit="1" customWidth="1"/>
    <col min="15631" max="15631" width="13.140625" style="52" customWidth="1"/>
    <col min="15632" max="15872" width="9.140625" style="52"/>
    <col min="15873" max="15873" width="2.7109375" style="52" customWidth="1"/>
    <col min="15874" max="15874" width="9.140625" style="52"/>
    <col min="15875" max="15875" width="40.28515625" style="52" bestFit="1" customWidth="1"/>
    <col min="15876" max="15876" width="12" style="52" customWidth="1"/>
    <col min="15877" max="15877" width="10" style="52" customWidth="1"/>
    <col min="15878" max="15878" width="14.85546875" style="52" customWidth="1"/>
    <col min="15879" max="15879" width="9.5703125" style="52" customWidth="1"/>
    <col min="15880" max="15881" width="12.28515625" style="52" customWidth="1"/>
    <col min="15882" max="15884" width="12.85546875" style="52" customWidth="1"/>
    <col min="15885" max="15885" width="12.7109375" style="52" customWidth="1"/>
    <col min="15886" max="15886" width="12.28515625" style="52" bestFit="1" customWidth="1"/>
    <col min="15887" max="15887" width="13.140625" style="52" customWidth="1"/>
    <col min="15888" max="16128" width="9.140625" style="52"/>
    <col min="16129" max="16129" width="2.7109375" style="52" customWidth="1"/>
    <col min="16130" max="16130" width="9.140625" style="52"/>
    <col min="16131" max="16131" width="40.28515625" style="52" bestFit="1" customWidth="1"/>
    <col min="16132" max="16132" width="12" style="52" customWidth="1"/>
    <col min="16133" max="16133" width="10" style="52" customWidth="1"/>
    <col min="16134" max="16134" width="14.85546875" style="52" customWidth="1"/>
    <col min="16135" max="16135" width="9.5703125" style="52" customWidth="1"/>
    <col min="16136" max="16137" width="12.28515625" style="52" customWidth="1"/>
    <col min="16138" max="16140" width="12.85546875" style="52" customWidth="1"/>
    <col min="16141" max="16141" width="12.7109375" style="52" customWidth="1"/>
    <col min="16142" max="16142" width="12.28515625" style="52" bestFit="1" customWidth="1"/>
    <col min="16143" max="16143" width="13.140625" style="52" customWidth="1"/>
    <col min="16144" max="16384" width="9.140625" style="52"/>
  </cols>
  <sheetData>
    <row r="1" spans="1:16" x14ac:dyDescent="0.2">
      <c r="F1" s="154"/>
      <c r="G1" s="155"/>
      <c r="H1" s="155"/>
      <c r="I1" s="155"/>
      <c r="J1" s="155"/>
      <c r="K1" s="155"/>
      <c r="L1" s="155"/>
      <c r="N1" s="152" t="s">
        <v>301</v>
      </c>
      <c r="O1" s="1092" t="str">
        <f>EBNUMBER</f>
        <v>EB-2016-0066</v>
      </c>
      <c r="P1" s="155"/>
    </row>
    <row r="2" spans="1:16" x14ac:dyDescent="0.2">
      <c r="F2" s="154"/>
      <c r="G2" s="155"/>
      <c r="H2" s="155"/>
      <c r="I2" s="155"/>
      <c r="J2" s="155"/>
      <c r="K2" s="155"/>
      <c r="L2" s="155"/>
      <c r="N2" s="152" t="s">
        <v>302</v>
      </c>
      <c r="O2" s="51"/>
      <c r="P2" s="155"/>
    </row>
    <row r="3" spans="1:16" x14ac:dyDescent="0.2">
      <c r="F3" s="154"/>
      <c r="G3" s="155"/>
      <c r="H3" s="155"/>
      <c r="I3" s="155"/>
      <c r="J3" s="155"/>
      <c r="K3" s="155"/>
      <c r="L3" s="155"/>
      <c r="N3" s="152" t="s">
        <v>303</v>
      </c>
      <c r="O3" s="51"/>
      <c r="P3" s="155"/>
    </row>
    <row r="4" spans="1:16" x14ac:dyDescent="0.2">
      <c r="F4" s="154"/>
      <c r="G4" s="155"/>
      <c r="H4" s="155"/>
      <c r="I4" s="155"/>
      <c r="J4" s="155"/>
      <c r="K4" s="155"/>
      <c r="L4" s="155"/>
      <c r="N4" s="152" t="s">
        <v>304</v>
      </c>
      <c r="O4" s="51"/>
      <c r="P4" s="155"/>
    </row>
    <row r="5" spans="1:16" x14ac:dyDescent="0.2">
      <c r="F5" s="154"/>
      <c r="G5" s="155"/>
      <c r="H5" s="155"/>
      <c r="I5" s="155"/>
      <c r="J5" s="155"/>
      <c r="K5" s="155"/>
      <c r="L5" s="155"/>
      <c r="N5" s="152" t="s">
        <v>305</v>
      </c>
      <c r="O5" s="1093"/>
      <c r="P5" s="155"/>
    </row>
    <row r="6" spans="1:16" x14ac:dyDescent="0.2">
      <c r="F6" s="154"/>
      <c r="G6" s="155"/>
      <c r="H6" s="155"/>
      <c r="I6" s="155"/>
      <c r="J6" s="155"/>
      <c r="K6" s="155"/>
      <c r="L6" s="155"/>
      <c r="N6" s="152"/>
      <c r="O6" s="1092"/>
      <c r="P6" s="155"/>
    </row>
    <row r="7" spans="1:16" x14ac:dyDescent="0.2">
      <c r="F7" s="154"/>
      <c r="G7" s="155"/>
      <c r="H7" s="155"/>
      <c r="I7" s="155"/>
      <c r="J7" s="155"/>
      <c r="K7" s="155"/>
      <c r="L7" s="239"/>
      <c r="N7" s="152" t="s">
        <v>306</v>
      </c>
      <c r="O7" s="1093"/>
      <c r="P7" s="239"/>
    </row>
    <row r="9" spans="1:16" ht="18" x14ac:dyDescent="0.25">
      <c r="A9" s="1591" t="s">
        <v>1441</v>
      </c>
      <c r="B9" s="1591"/>
      <c r="C9" s="1591"/>
      <c r="D9" s="1591"/>
      <c r="E9" s="1591"/>
      <c r="F9" s="1591"/>
      <c r="G9" s="1591"/>
      <c r="H9" s="1591"/>
      <c r="I9" s="1591"/>
      <c r="J9" s="1591"/>
      <c r="K9" s="1591"/>
      <c r="L9" s="1591"/>
      <c r="M9" s="1591"/>
      <c r="N9" s="1591"/>
      <c r="O9" s="1591"/>
    </row>
    <row r="10" spans="1:16" ht="18" x14ac:dyDescent="0.25">
      <c r="A10" s="1591" t="s">
        <v>2</v>
      </c>
      <c r="B10" s="1591"/>
      <c r="C10" s="1591"/>
      <c r="D10" s="1591"/>
      <c r="E10" s="1591"/>
      <c r="F10" s="1591"/>
      <c r="G10" s="1591"/>
      <c r="H10" s="1591"/>
      <c r="I10" s="1591"/>
      <c r="J10" s="1591"/>
      <c r="K10" s="1591"/>
      <c r="L10" s="1591"/>
      <c r="M10" s="1591"/>
      <c r="N10" s="1591"/>
      <c r="O10" s="1591"/>
    </row>
    <row r="11" spans="1:16" ht="18" x14ac:dyDescent="0.25">
      <c r="A11" s="1591" t="s">
        <v>1045</v>
      </c>
      <c r="B11" s="1591"/>
      <c r="C11" s="1591"/>
      <c r="D11" s="1591"/>
      <c r="E11" s="1591"/>
      <c r="F11" s="1591"/>
      <c r="G11" s="1591"/>
      <c r="H11" s="1591"/>
      <c r="I11" s="1591"/>
      <c r="J11" s="1591"/>
      <c r="K11" s="1591"/>
      <c r="L11" s="1591"/>
      <c r="M11" s="1591"/>
      <c r="N11" s="1591"/>
      <c r="O11" s="1591"/>
    </row>
    <row r="12" spans="1:16" ht="18" x14ac:dyDescent="0.25">
      <c r="A12" s="1102"/>
      <c r="B12" s="1102"/>
      <c r="C12" s="1102"/>
      <c r="D12" s="1102"/>
      <c r="E12" s="1102"/>
      <c r="F12" s="1102"/>
      <c r="G12" s="1102"/>
      <c r="H12" s="1102"/>
      <c r="I12" s="1102"/>
      <c r="J12" s="1102"/>
      <c r="K12" s="1102"/>
      <c r="L12" s="1102"/>
      <c r="M12" s="1102"/>
      <c r="N12" s="1102"/>
      <c r="O12" s="1102"/>
    </row>
    <row r="13" spans="1:16" ht="23.25" customHeight="1" x14ac:dyDescent="0.25">
      <c r="A13" s="1700" t="s">
        <v>1042</v>
      </c>
      <c r="B13" s="1701"/>
      <c r="C13" s="878"/>
      <c r="D13" s="1115"/>
      <c r="E13" s="1110"/>
      <c r="F13" s="1110"/>
      <c r="G13" s="1110"/>
      <c r="H13" s="1109"/>
      <c r="I13" s="1109"/>
      <c r="J13" s="1109"/>
      <c r="K13" s="1109"/>
      <c r="L13" s="1702" t="s">
        <v>1057</v>
      </c>
      <c r="M13" s="1703"/>
      <c r="N13" s="1116" t="s">
        <v>882</v>
      </c>
      <c r="O13" s="1120"/>
    </row>
    <row r="14" spans="1:16" ht="43.5" customHeight="1" x14ac:dyDescent="0.25">
      <c r="A14" s="1693" t="s">
        <v>1101</v>
      </c>
      <c r="B14" s="1694"/>
      <c r="C14" s="1682" t="s">
        <v>1076</v>
      </c>
      <c r="D14" s="1652"/>
      <c r="E14" s="1652"/>
      <c r="F14" s="1652"/>
      <c r="G14" s="1652"/>
      <c r="H14" s="1652"/>
      <c r="I14" s="1652"/>
      <c r="J14" s="1652"/>
      <c r="K14" s="1653"/>
      <c r="L14" s="1704">
        <v>2012</v>
      </c>
      <c r="M14" s="1705"/>
      <c r="N14" s="185" t="s">
        <v>891</v>
      </c>
      <c r="O14" s="1102"/>
    </row>
    <row r="15" spans="1:16" ht="42.75" customHeight="1" x14ac:dyDescent="0.2">
      <c r="A15" s="1693" t="s">
        <v>1102</v>
      </c>
      <c r="B15" s="1694"/>
      <c r="C15" s="1682" t="s">
        <v>1077</v>
      </c>
      <c r="D15" s="1652"/>
      <c r="E15" s="1652"/>
      <c r="F15" s="1652"/>
      <c r="G15" s="1652"/>
      <c r="H15" s="1652"/>
      <c r="I15" s="1652"/>
      <c r="J15" s="1652"/>
      <c r="K15" s="1653"/>
      <c r="L15" s="1704">
        <v>2013</v>
      </c>
      <c r="M15" s="1705"/>
      <c r="N15" s="185" t="s">
        <v>891</v>
      </c>
      <c r="O15" s="331"/>
    </row>
    <row r="16" spans="1:16" ht="23.25" customHeight="1" x14ac:dyDescent="0.2">
      <c r="A16" s="1067"/>
      <c r="B16" s="1067"/>
      <c r="C16" s="1067"/>
      <c r="D16" s="1067"/>
      <c r="E16" s="1067"/>
      <c r="F16" s="1067"/>
      <c r="G16" s="1067"/>
      <c r="H16" s="1067"/>
      <c r="I16" s="1067"/>
      <c r="J16" s="1067"/>
      <c r="K16" s="1067"/>
      <c r="L16" s="1067"/>
      <c r="M16" s="1067"/>
      <c r="N16" s="1067"/>
      <c r="O16" s="1067"/>
    </row>
    <row r="17" spans="1:15" ht="13.5" customHeight="1" thickBot="1" x14ac:dyDescent="0.3">
      <c r="A17" s="1046"/>
      <c r="B17" s="1046"/>
      <c r="C17" s="274"/>
      <c r="D17" s="241"/>
      <c r="E17" s="275"/>
      <c r="F17" s="1046"/>
      <c r="G17" s="1046"/>
      <c r="H17" s="1046"/>
      <c r="I17" s="1046"/>
      <c r="J17" s="1046"/>
      <c r="K17" s="1046"/>
      <c r="L17" s="1046"/>
    </row>
    <row r="18" spans="1:15" ht="61.5" customHeight="1" x14ac:dyDescent="0.2">
      <c r="A18" s="1685" t="s">
        <v>3</v>
      </c>
      <c r="B18" s="1687" t="s">
        <v>235</v>
      </c>
      <c r="C18" s="245" t="s">
        <v>1046</v>
      </c>
      <c r="D18" s="245" t="s">
        <v>237</v>
      </c>
      <c r="E18" s="245" t="s">
        <v>383</v>
      </c>
      <c r="F18" s="245" t="s">
        <v>384</v>
      </c>
      <c r="G18" s="245" t="s">
        <v>385</v>
      </c>
      <c r="H18" s="276" t="s">
        <v>386</v>
      </c>
      <c r="I18" s="277" t="s">
        <v>387</v>
      </c>
      <c r="J18" s="277" t="s">
        <v>1083</v>
      </c>
      <c r="K18" s="1697" t="s">
        <v>1044</v>
      </c>
      <c r="L18" s="277" t="s">
        <v>388</v>
      </c>
      <c r="M18" s="277" t="s">
        <v>1047</v>
      </c>
      <c r="N18" s="1697" t="s">
        <v>1088</v>
      </c>
      <c r="O18" s="277" t="s">
        <v>1048</v>
      </c>
    </row>
    <row r="19" spans="1:15" ht="19.5" customHeight="1" thickBot="1" x14ac:dyDescent="0.25">
      <c r="A19" s="1695"/>
      <c r="B19" s="1696"/>
      <c r="C19" s="278" t="s">
        <v>4</v>
      </c>
      <c r="D19" s="278" t="s">
        <v>5</v>
      </c>
      <c r="E19" s="279" t="s">
        <v>389</v>
      </c>
      <c r="F19" s="278" t="s">
        <v>7</v>
      </c>
      <c r="G19" s="278" t="s">
        <v>8</v>
      </c>
      <c r="H19" s="280" t="s">
        <v>390</v>
      </c>
      <c r="I19" s="281" t="s">
        <v>391</v>
      </c>
      <c r="J19" s="282" t="s">
        <v>392</v>
      </c>
      <c r="K19" s="1698"/>
      <c r="L19" s="281" t="s">
        <v>393</v>
      </c>
      <c r="M19" s="281" t="s">
        <v>394</v>
      </c>
      <c r="N19" s="1699"/>
      <c r="O19" s="282" t="s">
        <v>480</v>
      </c>
    </row>
    <row r="20" spans="1:15" ht="25.5" x14ac:dyDescent="0.2">
      <c r="A20" s="1063">
        <v>1611</v>
      </c>
      <c r="B20" s="283" t="s">
        <v>381</v>
      </c>
      <c r="C20" s="173"/>
      <c r="D20" s="173"/>
      <c r="E20" s="250"/>
      <c r="F20" s="250"/>
      <c r="G20" s="284">
        <f t="shared" ref="G20:G57" si="0">IF(F20=0,0,1/F20)</f>
        <v>0</v>
      </c>
      <c r="H20" s="191">
        <f t="shared" ref="H20:H57" si="1">IF(E20=0,0,+C20/E20)</f>
        <v>0</v>
      </c>
      <c r="I20" s="191">
        <f t="shared" ref="I20:I57" si="2">IF(F20=0,0,+(D20*0.5)/F20)</f>
        <v>0</v>
      </c>
      <c r="J20" s="191">
        <f t="shared" ref="J20:J57" si="3">IF(ISERROR(+H20+I20), 0, +H20+I20)</f>
        <v>0</v>
      </c>
      <c r="K20" s="173"/>
      <c r="L20" s="191">
        <f t="shared" ref="L20:L57" si="4">IF(ISERROR(+J20-K20), 0, +J20-K20)</f>
        <v>0</v>
      </c>
      <c r="M20" s="191">
        <f t="shared" ref="M20:M57" si="5">IF(F20=0,0,+(D20)/F20)</f>
        <v>0</v>
      </c>
      <c r="N20" s="173"/>
      <c r="O20" s="191">
        <f>IF(ISERROR(+M20+H20-N20), 0, +M20+H20-N20)</f>
        <v>0</v>
      </c>
    </row>
    <row r="21" spans="1:15" ht="25.5" x14ac:dyDescent="0.2">
      <c r="A21" s="1058">
        <v>1612</v>
      </c>
      <c r="B21" s="172" t="s">
        <v>442</v>
      </c>
      <c r="C21" s="173"/>
      <c r="D21" s="173"/>
      <c r="E21" s="250"/>
      <c r="F21" s="250"/>
      <c r="G21" s="252">
        <f t="shared" si="0"/>
        <v>0</v>
      </c>
      <c r="H21" s="191">
        <f t="shared" si="1"/>
        <v>0</v>
      </c>
      <c r="I21" s="191">
        <f t="shared" si="2"/>
        <v>0</v>
      </c>
      <c r="J21" s="191">
        <f t="shared" si="3"/>
        <v>0</v>
      </c>
      <c r="K21" s="173"/>
      <c r="L21" s="191">
        <f t="shared" si="4"/>
        <v>0</v>
      </c>
      <c r="M21" s="191">
        <f t="shared" si="5"/>
        <v>0</v>
      </c>
      <c r="N21" s="173"/>
      <c r="O21" s="191">
        <f t="shared" ref="O21:O57" si="6">IF(ISERROR(+M21+H21-N21), 0, +M21+H21-N21)</f>
        <v>0</v>
      </c>
    </row>
    <row r="22" spans="1:15" x14ac:dyDescent="0.2">
      <c r="A22" s="178">
        <v>1805</v>
      </c>
      <c r="B22" s="179" t="s">
        <v>267</v>
      </c>
      <c r="C22" s="173"/>
      <c r="D22" s="173"/>
      <c r="E22" s="250"/>
      <c r="F22" s="250"/>
      <c r="G22" s="252">
        <f t="shared" si="0"/>
        <v>0</v>
      </c>
      <c r="H22" s="191">
        <f t="shared" si="1"/>
        <v>0</v>
      </c>
      <c r="I22" s="191">
        <f t="shared" si="2"/>
        <v>0</v>
      </c>
      <c r="J22" s="191">
        <f t="shared" si="3"/>
        <v>0</v>
      </c>
      <c r="K22" s="173"/>
      <c r="L22" s="191">
        <f t="shared" si="4"/>
        <v>0</v>
      </c>
      <c r="M22" s="191">
        <f t="shared" si="5"/>
        <v>0</v>
      </c>
      <c r="N22" s="173"/>
      <c r="O22" s="191">
        <f t="shared" si="6"/>
        <v>0</v>
      </c>
    </row>
    <row r="23" spans="1:15" x14ac:dyDescent="0.2">
      <c r="A23" s="1058">
        <v>1808</v>
      </c>
      <c r="B23" s="180" t="s">
        <v>268</v>
      </c>
      <c r="C23" s="173"/>
      <c r="D23" s="173"/>
      <c r="E23" s="250"/>
      <c r="F23" s="250"/>
      <c r="G23" s="252">
        <f t="shared" si="0"/>
        <v>0</v>
      </c>
      <c r="H23" s="191">
        <f t="shared" si="1"/>
        <v>0</v>
      </c>
      <c r="I23" s="191">
        <f t="shared" si="2"/>
        <v>0</v>
      </c>
      <c r="J23" s="191">
        <f t="shared" si="3"/>
        <v>0</v>
      </c>
      <c r="K23" s="173"/>
      <c r="L23" s="191">
        <f t="shared" si="4"/>
        <v>0</v>
      </c>
      <c r="M23" s="191">
        <f t="shared" si="5"/>
        <v>0</v>
      </c>
      <c r="N23" s="173"/>
      <c r="O23" s="191">
        <f t="shared" si="6"/>
        <v>0</v>
      </c>
    </row>
    <row r="24" spans="1:15" x14ac:dyDescent="0.2">
      <c r="A24" s="1058">
        <v>1810</v>
      </c>
      <c r="B24" s="180" t="s">
        <v>299</v>
      </c>
      <c r="C24" s="173"/>
      <c r="D24" s="173"/>
      <c r="E24" s="250"/>
      <c r="F24" s="250"/>
      <c r="G24" s="252">
        <f t="shared" si="0"/>
        <v>0</v>
      </c>
      <c r="H24" s="191">
        <f t="shared" si="1"/>
        <v>0</v>
      </c>
      <c r="I24" s="191">
        <f t="shared" si="2"/>
        <v>0</v>
      </c>
      <c r="J24" s="191">
        <f t="shared" si="3"/>
        <v>0</v>
      </c>
      <c r="K24" s="173"/>
      <c r="L24" s="191">
        <f t="shared" si="4"/>
        <v>0</v>
      </c>
      <c r="M24" s="191">
        <f t="shared" si="5"/>
        <v>0</v>
      </c>
      <c r="N24" s="173"/>
      <c r="O24" s="191">
        <f t="shared" si="6"/>
        <v>0</v>
      </c>
    </row>
    <row r="25" spans="1:15" x14ac:dyDescent="0.2">
      <c r="A25" s="1058">
        <v>1815</v>
      </c>
      <c r="B25" s="180" t="s">
        <v>269</v>
      </c>
      <c r="C25" s="173"/>
      <c r="D25" s="173"/>
      <c r="E25" s="250"/>
      <c r="F25" s="250"/>
      <c r="G25" s="252">
        <f t="shared" si="0"/>
        <v>0</v>
      </c>
      <c r="H25" s="191">
        <f t="shared" si="1"/>
        <v>0</v>
      </c>
      <c r="I25" s="191">
        <f t="shared" si="2"/>
        <v>0</v>
      </c>
      <c r="J25" s="191">
        <f t="shared" si="3"/>
        <v>0</v>
      </c>
      <c r="K25" s="173"/>
      <c r="L25" s="191">
        <f t="shared" si="4"/>
        <v>0</v>
      </c>
      <c r="M25" s="191">
        <f t="shared" si="5"/>
        <v>0</v>
      </c>
      <c r="N25" s="173"/>
      <c r="O25" s="191">
        <f t="shared" si="6"/>
        <v>0</v>
      </c>
    </row>
    <row r="26" spans="1:15" x14ac:dyDescent="0.2">
      <c r="A26" s="1058">
        <v>1820</v>
      </c>
      <c r="B26" s="172" t="s">
        <v>207</v>
      </c>
      <c r="C26" s="173"/>
      <c r="D26" s="173"/>
      <c r="E26" s="250"/>
      <c r="F26" s="250"/>
      <c r="G26" s="252">
        <f t="shared" si="0"/>
        <v>0</v>
      </c>
      <c r="H26" s="191">
        <f t="shared" si="1"/>
        <v>0</v>
      </c>
      <c r="I26" s="191">
        <f t="shared" si="2"/>
        <v>0</v>
      </c>
      <c r="J26" s="191">
        <f t="shared" si="3"/>
        <v>0</v>
      </c>
      <c r="K26" s="173"/>
      <c r="L26" s="191">
        <f t="shared" si="4"/>
        <v>0</v>
      </c>
      <c r="M26" s="191">
        <f t="shared" si="5"/>
        <v>0</v>
      </c>
      <c r="N26" s="173"/>
      <c r="O26" s="191">
        <f t="shared" si="6"/>
        <v>0</v>
      </c>
    </row>
    <row r="27" spans="1:15" x14ac:dyDescent="0.2">
      <c r="A27" s="1058">
        <v>1825</v>
      </c>
      <c r="B27" s="180" t="s">
        <v>270</v>
      </c>
      <c r="C27" s="173"/>
      <c r="D27" s="173"/>
      <c r="E27" s="250"/>
      <c r="F27" s="250"/>
      <c r="G27" s="252">
        <f t="shared" si="0"/>
        <v>0</v>
      </c>
      <c r="H27" s="191">
        <f t="shared" si="1"/>
        <v>0</v>
      </c>
      <c r="I27" s="191">
        <f t="shared" si="2"/>
        <v>0</v>
      </c>
      <c r="J27" s="191">
        <f t="shared" si="3"/>
        <v>0</v>
      </c>
      <c r="K27" s="173"/>
      <c r="L27" s="191">
        <f t="shared" si="4"/>
        <v>0</v>
      </c>
      <c r="M27" s="191">
        <f t="shared" si="5"/>
        <v>0</v>
      </c>
      <c r="N27" s="173"/>
      <c r="O27" s="191">
        <f t="shared" si="6"/>
        <v>0</v>
      </c>
    </row>
    <row r="28" spans="1:15" x14ac:dyDescent="0.2">
      <c r="A28" s="1058">
        <v>1830</v>
      </c>
      <c r="B28" s="180" t="s">
        <v>271</v>
      </c>
      <c r="C28" s="173"/>
      <c r="D28" s="173"/>
      <c r="E28" s="250"/>
      <c r="F28" s="250"/>
      <c r="G28" s="252">
        <f t="shared" si="0"/>
        <v>0</v>
      </c>
      <c r="H28" s="191">
        <f t="shared" si="1"/>
        <v>0</v>
      </c>
      <c r="I28" s="191">
        <f t="shared" si="2"/>
        <v>0</v>
      </c>
      <c r="J28" s="191">
        <f t="shared" si="3"/>
        <v>0</v>
      </c>
      <c r="K28" s="173"/>
      <c r="L28" s="191">
        <f t="shared" si="4"/>
        <v>0</v>
      </c>
      <c r="M28" s="191">
        <f t="shared" si="5"/>
        <v>0</v>
      </c>
      <c r="N28" s="173"/>
      <c r="O28" s="191">
        <f t="shared" si="6"/>
        <v>0</v>
      </c>
    </row>
    <row r="29" spans="1:15" x14ac:dyDescent="0.2">
      <c r="A29" s="1058">
        <v>1835</v>
      </c>
      <c r="B29" s="180" t="s">
        <v>208</v>
      </c>
      <c r="C29" s="173"/>
      <c r="D29" s="173"/>
      <c r="E29" s="250"/>
      <c r="F29" s="250"/>
      <c r="G29" s="252">
        <f t="shared" si="0"/>
        <v>0</v>
      </c>
      <c r="H29" s="191">
        <f t="shared" si="1"/>
        <v>0</v>
      </c>
      <c r="I29" s="191">
        <f t="shared" si="2"/>
        <v>0</v>
      </c>
      <c r="J29" s="191">
        <f t="shared" si="3"/>
        <v>0</v>
      </c>
      <c r="K29" s="173"/>
      <c r="L29" s="191">
        <f t="shared" si="4"/>
        <v>0</v>
      </c>
      <c r="M29" s="191">
        <f t="shared" si="5"/>
        <v>0</v>
      </c>
      <c r="N29" s="173"/>
      <c r="O29" s="191">
        <f t="shared" si="6"/>
        <v>0</v>
      </c>
    </row>
    <row r="30" spans="1:15" x14ac:dyDescent="0.2">
      <c r="A30" s="1058">
        <v>1840</v>
      </c>
      <c r="B30" s="180" t="s">
        <v>209</v>
      </c>
      <c r="C30" s="173"/>
      <c r="D30" s="173"/>
      <c r="E30" s="250"/>
      <c r="F30" s="250"/>
      <c r="G30" s="252">
        <f t="shared" si="0"/>
        <v>0</v>
      </c>
      <c r="H30" s="191">
        <f t="shared" si="1"/>
        <v>0</v>
      </c>
      <c r="I30" s="191">
        <f t="shared" si="2"/>
        <v>0</v>
      </c>
      <c r="J30" s="191">
        <f t="shared" si="3"/>
        <v>0</v>
      </c>
      <c r="K30" s="173"/>
      <c r="L30" s="191">
        <f t="shared" si="4"/>
        <v>0</v>
      </c>
      <c r="M30" s="191">
        <f t="shared" si="5"/>
        <v>0</v>
      </c>
      <c r="N30" s="173"/>
      <c r="O30" s="191">
        <f t="shared" si="6"/>
        <v>0</v>
      </c>
    </row>
    <row r="31" spans="1:15" x14ac:dyDescent="0.2">
      <c r="A31" s="1058">
        <v>1845</v>
      </c>
      <c r="B31" s="180" t="s">
        <v>210</v>
      </c>
      <c r="C31" s="173"/>
      <c r="D31" s="173"/>
      <c r="E31" s="250"/>
      <c r="F31" s="250"/>
      <c r="G31" s="252">
        <f t="shared" si="0"/>
        <v>0</v>
      </c>
      <c r="H31" s="191">
        <f t="shared" si="1"/>
        <v>0</v>
      </c>
      <c r="I31" s="191">
        <f t="shared" si="2"/>
        <v>0</v>
      </c>
      <c r="J31" s="191">
        <f t="shared" si="3"/>
        <v>0</v>
      </c>
      <c r="K31" s="173"/>
      <c r="L31" s="191">
        <f t="shared" si="4"/>
        <v>0</v>
      </c>
      <c r="M31" s="191">
        <f t="shared" si="5"/>
        <v>0</v>
      </c>
      <c r="N31" s="173"/>
      <c r="O31" s="191">
        <f t="shared" si="6"/>
        <v>0</v>
      </c>
    </row>
    <row r="32" spans="1:15" x14ac:dyDescent="0.2">
      <c r="A32" s="1058">
        <v>1850</v>
      </c>
      <c r="B32" s="180" t="s">
        <v>272</v>
      </c>
      <c r="C32" s="173"/>
      <c r="D32" s="173"/>
      <c r="E32" s="250"/>
      <c r="F32" s="250"/>
      <c r="G32" s="252">
        <f t="shared" si="0"/>
        <v>0</v>
      </c>
      <c r="H32" s="191">
        <f t="shared" si="1"/>
        <v>0</v>
      </c>
      <c r="I32" s="191">
        <f t="shared" si="2"/>
        <v>0</v>
      </c>
      <c r="J32" s="191">
        <f t="shared" si="3"/>
        <v>0</v>
      </c>
      <c r="K32" s="173"/>
      <c r="L32" s="191">
        <f t="shared" si="4"/>
        <v>0</v>
      </c>
      <c r="M32" s="191">
        <f t="shared" si="5"/>
        <v>0</v>
      </c>
      <c r="N32" s="173"/>
      <c r="O32" s="191">
        <f t="shared" si="6"/>
        <v>0</v>
      </c>
    </row>
    <row r="33" spans="1:15" x14ac:dyDescent="0.2">
      <c r="A33" s="1058">
        <v>1855</v>
      </c>
      <c r="B33" s="180" t="s">
        <v>211</v>
      </c>
      <c r="C33" s="173"/>
      <c r="D33" s="173"/>
      <c r="E33" s="250"/>
      <c r="F33" s="250"/>
      <c r="G33" s="252">
        <f t="shared" si="0"/>
        <v>0</v>
      </c>
      <c r="H33" s="191">
        <f t="shared" si="1"/>
        <v>0</v>
      </c>
      <c r="I33" s="191">
        <f t="shared" si="2"/>
        <v>0</v>
      </c>
      <c r="J33" s="191">
        <f t="shared" si="3"/>
        <v>0</v>
      </c>
      <c r="K33" s="173"/>
      <c r="L33" s="191">
        <f t="shared" si="4"/>
        <v>0</v>
      </c>
      <c r="M33" s="191">
        <f t="shared" si="5"/>
        <v>0</v>
      </c>
      <c r="N33" s="173"/>
      <c r="O33" s="191">
        <f t="shared" si="6"/>
        <v>0</v>
      </c>
    </row>
    <row r="34" spans="1:15" x14ac:dyDescent="0.2">
      <c r="A34" s="1058">
        <v>1860</v>
      </c>
      <c r="B34" s="180" t="s">
        <v>273</v>
      </c>
      <c r="C34" s="173"/>
      <c r="D34" s="173"/>
      <c r="E34" s="250"/>
      <c r="F34" s="250"/>
      <c r="G34" s="252">
        <f t="shared" si="0"/>
        <v>0</v>
      </c>
      <c r="H34" s="191">
        <f t="shared" si="1"/>
        <v>0</v>
      </c>
      <c r="I34" s="191">
        <f t="shared" si="2"/>
        <v>0</v>
      </c>
      <c r="J34" s="191">
        <f t="shared" si="3"/>
        <v>0</v>
      </c>
      <c r="K34" s="173"/>
      <c r="L34" s="191">
        <f t="shared" si="4"/>
        <v>0</v>
      </c>
      <c r="M34" s="191">
        <f t="shared" si="5"/>
        <v>0</v>
      </c>
      <c r="N34" s="173"/>
      <c r="O34" s="191">
        <f t="shared" si="6"/>
        <v>0</v>
      </c>
    </row>
    <row r="35" spans="1:15" x14ac:dyDescent="0.2">
      <c r="A35" s="178">
        <v>1860</v>
      </c>
      <c r="B35" s="179" t="s">
        <v>212</v>
      </c>
      <c r="C35" s="173"/>
      <c r="D35" s="173"/>
      <c r="E35" s="250"/>
      <c r="F35" s="250"/>
      <c r="G35" s="252">
        <f t="shared" si="0"/>
        <v>0</v>
      </c>
      <c r="H35" s="191">
        <f t="shared" si="1"/>
        <v>0</v>
      </c>
      <c r="I35" s="191">
        <f t="shared" si="2"/>
        <v>0</v>
      </c>
      <c r="J35" s="191">
        <f t="shared" si="3"/>
        <v>0</v>
      </c>
      <c r="K35" s="173"/>
      <c r="L35" s="191">
        <f t="shared" si="4"/>
        <v>0</v>
      </c>
      <c r="M35" s="191">
        <f t="shared" si="5"/>
        <v>0</v>
      </c>
      <c r="N35" s="173"/>
      <c r="O35" s="191">
        <f t="shared" si="6"/>
        <v>0</v>
      </c>
    </row>
    <row r="36" spans="1:15" x14ac:dyDescent="0.2">
      <c r="A36" s="178">
        <v>1905</v>
      </c>
      <c r="B36" s="179" t="s">
        <v>267</v>
      </c>
      <c r="C36" s="173"/>
      <c r="D36" s="173"/>
      <c r="E36" s="250"/>
      <c r="F36" s="250"/>
      <c r="G36" s="252">
        <f t="shared" si="0"/>
        <v>0</v>
      </c>
      <c r="H36" s="191">
        <f t="shared" si="1"/>
        <v>0</v>
      </c>
      <c r="I36" s="191">
        <f t="shared" si="2"/>
        <v>0</v>
      </c>
      <c r="J36" s="191">
        <f t="shared" si="3"/>
        <v>0</v>
      </c>
      <c r="K36" s="173"/>
      <c r="L36" s="191">
        <f t="shared" si="4"/>
        <v>0</v>
      </c>
      <c r="M36" s="191">
        <f t="shared" si="5"/>
        <v>0</v>
      </c>
      <c r="N36" s="173"/>
      <c r="O36" s="191">
        <f t="shared" si="6"/>
        <v>0</v>
      </c>
    </row>
    <row r="37" spans="1:15" x14ac:dyDescent="0.2">
      <c r="A37" s="1058">
        <v>1908</v>
      </c>
      <c r="B37" s="180" t="s">
        <v>275</v>
      </c>
      <c r="C37" s="173"/>
      <c r="D37" s="173"/>
      <c r="E37" s="250"/>
      <c r="F37" s="250"/>
      <c r="G37" s="252">
        <f t="shared" si="0"/>
        <v>0</v>
      </c>
      <c r="H37" s="191">
        <f t="shared" si="1"/>
        <v>0</v>
      </c>
      <c r="I37" s="191">
        <f t="shared" si="2"/>
        <v>0</v>
      </c>
      <c r="J37" s="191">
        <f t="shared" si="3"/>
        <v>0</v>
      </c>
      <c r="K37" s="173"/>
      <c r="L37" s="191">
        <f t="shared" si="4"/>
        <v>0</v>
      </c>
      <c r="M37" s="191">
        <f t="shared" si="5"/>
        <v>0</v>
      </c>
      <c r="N37" s="173"/>
      <c r="O37" s="191">
        <f t="shared" si="6"/>
        <v>0</v>
      </c>
    </row>
    <row r="38" spans="1:15" x14ac:dyDescent="0.2">
      <c r="A38" s="1058">
        <v>1910</v>
      </c>
      <c r="B38" s="180" t="s">
        <v>299</v>
      </c>
      <c r="C38" s="173"/>
      <c r="D38" s="173"/>
      <c r="E38" s="250"/>
      <c r="F38" s="250"/>
      <c r="G38" s="252">
        <f t="shared" si="0"/>
        <v>0</v>
      </c>
      <c r="H38" s="191">
        <f t="shared" si="1"/>
        <v>0</v>
      </c>
      <c r="I38" s="191">
        <f t="shared" si="2"/>
        <v>0</v>
      </c>
      <c r="J38" s="191">
        <f t="shared" si="3"/>
        <v>0</v>
      </c>
      <c r="K38" s="173"/>
      <c r="L38" s="191">
        <f t="shared" si="4"/>
        <v>0</v>
      </c>
      <c r="M38" s="191">
        <f t="shared" si="5"/>
        <v>0</v>
      </c>
      <c r="N38" s="173"/>
      <c r="O38" s="191">
        <f t="shared" si="6"/>
        <v>0</v>
      </c>
    </row>
    <row r="39" spans="1:15" x14ac:dyDescent="0.2">
      <c r="A39" s="1058">
        <v>1915</v>
      </c>
      <c r="B39" s="180" t="s">
        <v>213</v>
      </c>
      <c r="C39" s="173"/>
      <c r="D39" s="173"/>
      <c r="E39" s="250"/>
      <c r="F39" s="250"/>
      <c r="G39" s="252">
        <f t="shared" si="0"/>
        <v>0</v>
      </c>
      <c r="H39" s="191">
        <f t="shared" si="1"/>
        <v>0</v>
      </c>
      <c r="I39" s="191">
        <f t="shared" si="2"/>
        <v>0</v>
      </c>
      <c r="J39" s="191">
        <f t="shared" si="3"/>
        <v>0</v>
      </c>
      <c r="K39" s="173"/>
      <c r="L39" s="191">
        <f t="shared" si="4"/>
        <v>0</v>
      </c>
      <c r="M39" s="191">
        <f t="shared" si="5"/>
        <v>0</v>
      </c>
      <c r="N39" s="173"/>
      <c r="O39" s="191">
        <f t="shared" si="6"/>
        <v>0</v>
      </c>
    </row>
    <row r="40" spans="1:15" x14ac:dyDescent="0.2">
      <c r="A40" s="1058">
        <v>1915</v>
      </c>
      <c r="B40" s="180" t="s">
        <v>214</v>
      </c>
      <c r="C40" s="173"/>
      <c r="D40" s="173"/>
      <c r="E40" s="250"/>
      <c r="F40" s="250"/>
      <c r="G40" s="252">
        <f t="shared" si="0"/>
        <v>0</v>
      </c>
      <c r="H40" s="191">
        <f t="shared" si="1"/>
        <v>0</v>
      </c>
      <c r="I40" s="191">
        <f t="shared" si="2"/>
        <v>0</v>
      </c>
      <c r="J40" s="191">
        <f t="shared" si="3"/>
        <v>0</v>
      </c>
      <c r="K40" s="173"/>
      <c r="L40" s="191">
        <f t="shared" si="4"/>
        <v>0</v>
      </c>
      <c r="M40" s="191">
        <f t="shared" si="5"/>
        <v>0</v>
      </c>
      <c r="N40" s="173"/>
      <c r="O40" s="191">
        <f t="shared" si="6"/>
        <v>0</v>
      </c>
    </row>
    <row r="41" spans="1:15" x14ac:dyDescent="0.2">
      <c r="A41" s="1058">
        <v>1920</v>
      </c>
      <c r="B41" s="180" t="s">
        <v>215</v>
      </c>
      <c r="C41" s="173"/>
      <c r="D41" s="173"/>
      <c r="E41" s="250"/>
      <c r="F41" s="250"/>
      <c r="G41" s="252">
        <f t="shared" si="0"/>
        <v>0</v>
      </c>
      <c r="H41" s="191">
        <f t="shared" si="1"/>
        <v>0</v>
      </c>
      <c r="I41" s="191">
        <f t="shared" si="2"/>
        <v>0</v>
      </c>
      <c r="J41" s="191">
        <f t="shared" si="3"/>
        <v>0</v>
      </c>
      <c r="K41" s="173"/>
      <c r="L41" s="191">
        <f t="shared" si="4"/>
        <v>0</v>
      </c>
      <c r="M41" s="191">
        <f t="shared" si="5"/>
        <v>0</v>
      </c>
      <c r="N41" s="173"/>
      <c r="O41" s="191">
        <f t="shared" si="6"/>
        <v>0</v>
      </c>
    </row>
    <row r="42" spans="1:15" x14ac:dyDescent="0.2">
      <c r="A42" s="185">
        <v>1920</v>
      </c>
      <c r="B42" s="172" t="s">
        <v>217</v>
      </c>
      <c r="C42" s="173"/>
      <c r="D42" s="173"/>
      <c r="E42" s="250"/>
      <c r="F42" s="250"/>
      <c r="G42" s="252">
        <f t="shared" si="0"/>
        <v>0</v>
      </c>
      <c r="H42" s="191">
        <f t="shared" si="1"/>
        <v>0</v>
      </c>
      <c r="I42" s="191">
        <f t="shared" si="2"/>
        <v>0</v>
      </c>
      <c r="J42" s="191">
        <f t="shared" si="3"/>
        <v>0</v>
      </c>
      <c r="K42" s="173"/>
      <c r="L42" s="191">
        <f t="shared" si="4"/>
        <v>0</v>
      </c>
      <c r="M42" s="191">
        <f t="shared" si="5"/>
        <v>0</v>
      </c>
      <c r="N42" s="173"/>
      <c r="O42" s="191">
        <f t="shared" si="6"/>
        <v>0</v>
      </c>
    </row>
    <row r="43" spans="1:15" x14ac:dyDescent="0.2">
      <c r="A43" s="185">
        <v>1920</v>
      </c>
      <c r="B43" s="172" t="s">
        <v>216</v>
      </c>
      <c r="C43" s="173"/>
      <c r="D43" s="173"/>
      <c r="E43" s="250"/>
      <c r="F43" s="250"/>
      <c r="G43" s="252">
        <f t="shared" si="0"/>
        <v>0</v>
      </c>
      <c r="H43" s="191">
        <f t="shared" si="1"/>
        <v>0</v>
      </c>
      <c r="I43" s="191">
        <f t="shared" si="2"/>
        <v>0</v>
      </c>
      <c r="J43" s="191">
        <f t="shared" si="3"/>
        <v>0</v>
      </c>
      <c r="K43" s="173"/>
      <c r="L43" s="191">
        <f t="shared" si="4"/>
        <v>0</v>
      </c>
      <c r="M43" s="191">
        <f t="shared" si="5"/>
        <v>0</v>
      </c>
      <c r="N43" s="173"/>
      <c r="O43" s="191">
        <f t="shared" si="6"/>
        <v>0</v>
      </c>
    </row>
    <row r="44" spans="1:15" x14ac:dyDescent="0.2">
      <c r="A44" s="1058">
        <v>1930</v>
      </c>
      <c r="B44" s="180" t="s">
        <v>286</v>
      </c>
      <c r="C44" s="173"/>
      <c r="D44" s="173"/>
      <c r="E44" s="250"/>
      <c r="F44" s="250"/>
      <c r="G44" s="252">
        <f t="shared" si="0"/>
        <v>0</v>
      </c>
      <c r="H44" s="191">
        <f t="shared" si="1"/>
        <v>0</v>
      </c>
      <c r="I44" s="191">
        <f t="shared" si="2"/>
        <v>0</v>
      </c>
      <c r="J44" s="191">
        <f t="shared" si="3"/>
        <v>0</v>
      </c>
      <c r="K44" s="173"/>
      <c r="L44" s="191">
        <f t="shared" si="4"/>
        <v>0</v>
      </c>
      <c r="M44" s="191">
        <f t="shared" si="5"/>
        <v>0</v>
      </c>
      <c r="N44" s="173"/>
      <c r="O44" s="191">
        <f t="shared" si="6"/>
        <v>0</v>
      </c>
    </row>
    <row r="45" spans="1:15" x14ac:dyDescent="0.2">
      <c r="A45" s="1058">
        <v>1935</v>
      </c>
      <c r="B45" s="180" t="s">
        <v>287</v>
      </c>
      <c r="C45" s="173"/>
      <c r="D45" s="173"/>
      <c r="E45" s="250"/>
      <c r="F45" s="250"/>
      <c r="G45" s="252">
        <f t="shared" si="0"/>
        <v>0</v>
      </c>
      <c r="H45" s="191">
        <f t="shared" si="1"/>
        <v>0</v>
      </c>
      <c r="I45" s="191">
        <f t="shared" si="2"/>
        <v>0</v>
      </c>
      <c r="J45" s="191">
        <f t="shared" si="3"/>
        <v>0</v>
      </c>
      <c r="K45" s="173"/>
      <c r="L45" s="191">
        <f t="shared" si="4"/>
        <v>0</v>
      </c>
      <c r="M45" s="191">
        <f t="shared" si="5"/>
        <v>0</v>
      </c>
      <c r="N45" s="173"/>
      <c r="O45" s="191">
        <f t="shared" si="6"/>
        <v>0</v>
      </c>
    </row>
    <row r="46" spans="1:15" x14ac:dyDescent="0.2">
      <c r="A46" s="1058">
        <v>1940</v>
      </c>
      <c r="B46" s="180" t="s">
        <v>288</v>
      </c>
      <c r="C46" s="173"/>
      <c r="D46" s="173"/>
      <c r="E46" s="250"/>
      <c r="F46" s="250"/>
      <c r="G46" s="252">
        <f t="shared" si="0"/>
        <v>0</v>
      </c>
      <c r="H46" s="191">
        <f t="shared" si="1"/>
        <v>0</v>
      </c>
      <c r="I46" s="191">
        <f t="shared" si="2"/>
        <v>0</v>
      </c>
      <c r="J46" s="191">
        <f t="shared" si="3"/>
        <v>0</v>
      </c>
      <c r="K46" s="173"/>
      <c r="L46" s="191">
        <f t="shared" si="4"/>
        <v>0</v>
      </c>
      <c r="M46" s="191">
        <f t="shared" si="5"/>
        <v>0</v>
      </c>
      <c r="N46" s="173"/>
      <c r="O46" s="191">
        <f t="shared" si="6"/>
        <v>0</v>
      </c>
    </row>
    <row r="47" spans="1:15" x14ac:dyDescent="0.2">
      <c r="A47" s="1058">
        <v>1945</v>
      </c>
      <c r="B47" s="180" t="s">
        <v>289</v>
      </c>
      <c r="C47" s="173"/>
      <c r="D47" s="173"/>
      <c r="E47" s="250"/>
      <c r="F47" s="250"/>
      <c r="G47" s="252">
        <f t="shared" si="0"/>
        <v>0</v>
      </c>
      <c r="H47" s="191">
        <f t="shared" si="1"/>
        <v>0</v>
      </c>
      <c r="I47" s="191">
        <f t="shared" si="2"/>
        <v>0</v>
      </c>
      <c r="J47" s="191">
        <f t="shared" si="3"/>
        <v>0</v>
      </c>
      <c r="K47" s="173"/>
      <c r="L47" s="191">
        <f t="shared" si="4"/>
        <v>0</v>
      </c>
      <c r="M47" s="191">
        <f t="shared" si="5"/>
        <v>0</v>
      </c>
      <c r="N47" s="173"/>
      <c r="O47" s="191">
        <f t="shared" si="6"/>
        <v>0</v>
      </c>
    </row>
    <row r="48" spans="1:15" x14ac:dyDescent="0.2">
      <c r="A48" s="1058">
        <v>1950</v>
      </c>
      <c r="B48" s="180" t="s">
        <v>218</v>
      </c>
      <c r="C48" s="173"/>
      <c r="D48" s="173"/>
      <c r="E48" s="250"/>
      <c r="F48" s="250"/>
      <c r="G48" s="252">
        <f t="shared" si="0"/>
        <v>0</v>
      </c>
      <c r="H48" s="191">
        <f t="shared" si="1"/>
        <v>0</v>
      </c>
      <c r="I48" s="191">
        <f t="shared" si="2"/>
        <v>0</v>
      </c>
      <c r="J48" s="191">
        <f t="shared" si="3"/>
        <v>0</v>
      </c>
      <c r="K48" s="173"/>
      <c r="L48" s="191">
        <f t="shared" si="4"/>
        <v>0</v>
      </c>
      <c r="M48" s="191">
        <f t="shared" si="5"/>
        <v>0</v>
      </c>
      <c r="N48" s="173"/>
      <c r="O48" s="191">
        <f t="shared" si="6"/>
        <v>0</v>
      </c>
    </row>
    <row r="49" spans="1:15" x14ac:dyDescent="0.2">
      <c r="A49" s="1058">
        <v>1955</v>
      </c>
      <c r="B49" s="180" t="s">
        <v>290</v>
      </c>
      <c r="C49" s="173"/>
      <c r="D49" s="173"/>
      <c r="E49" s="250"/>
      <c r="F49" s="250"/>
      <c r="G49" s="252">
        <f t="shared" si="0"/>
        <v>0</v>
      </c>
      <c r="H49" s="191">
        <f t="shared" si="1"/>
        <v>0</v>
      </c>
      <c r="I49" s="191">
        <f t="shared" si="2"/>
        <v>0</v>
      </c>
      <c r="J49" s="191">
        <f t="shared" si="3"/>
        <v>0</v>
      </c>
      <c r="K49" s="173"/>
      <c r="L49" s="191">
        <f t="shared" si="4"/>
        <v>0</v>
      </c>
      <c r="M49" s="191">
        <f t="shared" si="5"/>
        <v>0</v>
      </c>
      <c r="N49" s="173"/>
      <c r="O49" s="191">
        <f t="shared" si="6"/>
        <v>0</v>
      </c>
    </row>
    <row r="50" spans="1:15" x14ac:dyDescent="0.2">
      <c r="A50" s="181">
        <v>1955</v>
      </c>
      <c r="B50" s="184" t="s">
        <v>219</v>
      </c>
      <c r="C50" s="173"/>
      <c r="D50" s="173"/>
      <c r="E50" s="250"/>
      <c r="F50" s="250"/>
      <c r="G50" s="252">
        <f t="shared" si="0"/>
        <v>0</v>
      </c>
      <c r="H50" s="191">
        <f t="shared" si="1"/>
        <v>0</v>
      </c>
      <c r="I50" s="191">
        <f t="shared" si="2"/>
        <v>0</v>
      </c>
      <c r="J50" s="191">
        <f t="shared" si="3"/>
        <v>0</v>
      </c>
      <c r="K50" s="173"/>
      <c r="L50" s="191">
        <f t="shared" si="4"/>
        <v>0</v>
      </c>
      <c r="M50" s="191">
        <f t="shared" si="5"/>
        <v>0</v>
      </c>
      <c r="N50" s="173"/>
      <c r="O50" s="191">
        <f t="shared" si="6"/>
        <v>0</v>
      </c>
    </row>
    <row r="51" spans="1:15" x14ac:dyDescent="0.2">
      <c r="A51" s="185">
        <v>1960</v>
      </c>
      <c r="B51" s="172" t="s">
        <v>220</v>
      </c>
      <c r="C51" s="173"/>
      <c r="D51" s="173"/>
      <c r="E51" s="250"/>
      <c r="F51" s="250"/>
      <c r="G51" s="252">
        <f t="shared" si="0"/>
        <v>0</v>
      </c>
      <c r="H51" s="191">
        <f t="shared" si="1"/>
        <v>0</v>
      </c>
      <c r="I51" s="191">
        <f t="shared" si="2"/>
        <v>0</v>
      </c>
      <c r="J51" s="191">
        <f t="shared" si="3"/>
        <v>0</v>
      </c>
      <c r="K51" s="173"/>
      <c r="L51" s="191">
        <f t="shared" si="4"/>
        <v>0</v>
      </c>
      <c r="M51" s="191">
        <f t="shared" si="5"/>
        <v>0</v>
      </c>
      <c r="N51" s="173"/>
      <c r="O51" s="191">
        <f t="shared" si="6"/>
        <v>0</v>
      </c>
    </row>
    <row r="52" spans="1:15" x14ac:dyDescent="0.2">
      <c r="A52" s="181">
        <v>1970</v>
      </c>
      <c r="B52" s="256" t="s">
        <v>501</v>
      </c>
      <c r="C52" s="173"/>
      <c r="D52" s="173"/>
      <c r="E52" s="250"/>
      <c r="F52" s="250"/>
      <c r="G52" s="252">
        <f t="shared" si="0"/>
        <v>0</v>
      </c>
      <c r="H52" s="191">
        <f t="shared" si="1"/>
        <v>0</v>
      </c>
      <c r="I52" s="191">
        <f t="shared" si="2"/>
        <v>0</v>
      </c>
      <c r="J52" s="191">
        <f t="shared" si="3"/>
        <v>0</v>
      </c>
      <c r="K52" s="173"/>
      <c r="L52" s="191">
        <f t="shared" si="4"/>
        <v>0</v>
      </c>
      <c r="M52" s="191">
        <f t="shared" si="5"/>
        <v>0</v>
      </c>
      <c r="N52" s="173"/>
      <c r="O52" s="191">
        <f t="shared" si="6"/>
        <v>0</v>
      </c>
    </row>
    <row r="53" spans="1:15" x14ac:dyDescent="0.2">
      <c r="A53" s="1058">
        <v>1975</v>
      </c>
      <c r="B53" s="180" t="s">
        <v>291</v>
      </c>
      <c r="C53" s="173"/>
      <c r="D53" s="173"/>
      <c r="E53" s="250"/>
      <c r="F53" s="250"/>
      <c r="G53" s="252">
        <f t="shared" si="0"/>
        <v>0</v>
      </c>
      <c r="H53" s="191">
        <f t="shared" si="1"/>
        <v>0</v>
      </c>
      <c r="I53" s="191">
        <f t="shared" si="2"/>
        <v>0</v>
      </c>
      <c r="J53" s="191">
        <f t="shared" si="3"/>
        <v>0</v>
      </c>
      <c r="K53" s="173"/>
      <c r="L53" s="191">
        <f t="shared" si="4"/>
        <v>0</v>
      </c>
      <c r="M53" s="191">
        <f t="shared" si="5"/>
        <v>0</v>
      </c>
      <c r="N53" s="173"/>
      <c r="O53" s="191">
        <f t="shared" si="6"/>
        <v>0</v>
      </c>
    </row>
    <row r="54" spans="1:15" x14ac:dyDescent="0.2">
      <c r="A54" s="1058">
        <v>1980</v>
      </c>
      <c r="B54" s="180" t="s">
        <v>292</v>
      </c>
      <c r="C54" s="173"/>
      <c r="D54" s="173"/>
      <c r="E54" s="250"/>
      <c r="F54" s="250"/>
      <c r="G54" s="252">
        <f t="shared" si="0"/>
        <v>0</v>
      </c>
      <c r="H54" s="191">
        <f t="shared" si="1"/>
        <v>0</v>
      </c>
      <c r="I54" s="191">
        <f t="shared" si="2"/>
        <v>0</v>
      </c>
      <c r="J54" s="191">
        <f t="shared" si="3"/>
        <v>0</v>
      </c>
      <c r="K54" s="173"/>
      <c r="L54" s="191">
        <f t="shared" si="4"/>
        <v>0</v>
      </c>
      <c r="M54" s="191">
        <f t="shared" si="5"/>
        <v>0</v>
      </c>
      <c r="N54" s="173"/>
      <c r="O54" s="191">
        <f t="shared" si="6"/>
        <v>0</v>
      </c>
    </row>
    <row r="55" spans="1:15" x14ac:dyDescent="0.2">
      <c r="A55" s="1058">
        <v>1985</v>
      </c>
      <c r="B55" s="180" t="s">
        <v>293</v>
      </c>
      <c r="C55" s="173"/>
      <c r="D55" s="173"/>
      <c r="E55" s="250"/>
      <c r="F55" s="250"/>
      <c r="G55" s="252">
        <f t="shared" si="0"/>
        <v>0</v>
      </c>
      <c r="H55" s="191">
        <f t="shared" si="1"/>
        <v>0</v>
      </c>
      <c r="I55" s="191">
        <f t="shared" si="2"/>
        <v>0</v>
      </c>
      <c r="J55" s="191">
        <f t="shared" si="3"/>
        <v>0</v>
      </c>
      <c r="K55" s="173"/>
      <c r="L55" s="191">
        <f t="shared" si="4"/>
        <v>0</v>
      </c>
      <c r="M55" s="191">
        <f t="shared" si="5"/>
        <v>0</v>
      </c>
      <c r="N55" s="173"/>
      <c r="O55" s="191">
        <f t="shared" si="6"/>
        <v>0</v>
      </c>
    </row>
    <row r="56" spans="1:15" x14ac:dyDescent="0.2">
      <c r="A56" s="1058">
        <v>1990</v>
      </c>
      <c r="B56" s="1061" t="s">
        <v>502</v>
      </c>
      <c r="C56" s="173"/>
      <c r="D56" s="173"/>
      <c r="E56" s="250"/>
      <c r="F56" s="250"/>
      <c r="G56" s="252">
        <f t="shared" si="0"/>
        <v>0</v>
      </c>
      <c r="H56" s="191">
        <f t="shared" si="1"/>
        <v>0</v>
      </c>
      <c r="I56" s="191">
        <f t="shared" si="2"/>
        <v>0</v>
      </c>
      <c r="J56" s="191">
        <f t="shared" si="3"/>
        <v>0</v>
      </c>
      <c r="K56" s="173"/>
      <c r="L56" s="191">
        <f t="shared" si="4"/>
        <v>0</v>
      </c>
      <c r="M56" s="191">
        <f t="shared" si="5"/>
        <v>0</v>
      </c>
      <c r="N56" s="173"/>
      <c r="O56" s="191">
        <f t="shared" si="6"/>
        <v>0</v>
      </c>
    </row>
    <row r="57" spans="1:15" ht="13.5" thickBot="1" x14ac:dyDescent="0.25">
      <c r="A57" s="1058">
        <v>1995</v>
      </c>
      <c r="B57" s="180" t="s">
        <v>294</v>
      </c>
      <c r="C57" s="257"/>
      <c r="D57" s="257"/>
      <c r="E57" s="259"/>
      <c r="F57" s="259"/>
      <c r="G57" s="260">
        <f t="shared" si="0"/>
        <v>0</v>
      </c>
      <c r="H57" s="285">
        <f t="shared" si="1"/>
        <v>0</v>
      </c>
      <c r="I57" s="285">
        <f t="shared" si="2"/>
        <v>0</v>
      </c>
      <c r="J57" s="285">
        <f t="shared" si="3"/>
        <v>0</v>
      </c>
      <c r="K57" s="257"/>
      <c r="L57" s="285">
        <f t="shared" si="4"/>
        <v>0</v>
      </c>
      <c r="M57" s="285">
        <f t="shared" si="5"/>
        <v>0</v>
      </c>
      <c r="N57" s="257"/>
      <c r="O57" s="285">
        <f t="shared" si="6"/>
        <v>0</v>
      </c>
    </row>
    <row r="58" spans="1:15" ht="14.25" thickTop="1" thickBot="1" x14ac:dyDescent="0.25">
      <c r="A58" s="261"/>
      <c r="B58" s="262" t="s">
        <v>295</v>
      </c>
      <c r="C58" s="286">
        <f>SUM(C20:C57)</f>
        <v>0</v>
      </c>
      <c r="D58" s="286">
        <f>SUM(D20:D57)</f>
        <v>0</v>
      </c>
      <c r="E58" s="286"/>
      <c r="F58" s="287"/>
      <c r="G58" s="288"/>
      <c r="H58" s="286">
        <f t="shared" ref="H58:O58" si="7">SUM(H20:H57)</f>
        <v>0</v>
      </c>
      <c r="I58" s="286">
        <f t="shared" si="7"/>
        <v>0</v>
      </c>
      <c r="J58" s="286">
        <f t="shared" si="7"/>
        <v>0</v>
      </c>
      <c r="K58" s="286">
        <f t="shared" si="7"/>
        <v>0</v>
      </c>
      <c r="L58" s="286">
        <f t="shared" si="7"/>
        <v>0</v>
      </c>
      <c r="M58" s="286">
        <f t="shared" si="7"/>
        <v>0</v>
      </c>
      <c r="N58" s="286">
        <f t="shared" si="7"/>
        <v>0</v>
      </c>
      <c r="O58" s="286">
        <f t="shared" si="7"/>
        <v>0</v>
      </c>
    </row>
    <row r="59" spans="1:15" x14ac:dyDescent="0.2">
      <c r="A59" s="289"/>
      <c r="B59" s="290"/>
      <c r="C59" s="291"/>
      <c r="D59" s="291"/>
      <c r="E59" s="291"/>
      <c r="F59" s="292"/>
      <c r="G59" s="293"/>
      <c r="H59" s="291"/>
      <c r="I59" s="291"/>
      <c r="J59" s="291"/>
      <c r="K59" s="291"/>
      <c r="L59" s="291"/>
      <c r="M59" s="291"/>
      <c r="N59" s="291"/>
      <c r="O59" s="291"/>
    </row>
    <row r="60" spans="1:15" x14ac:dyDescent="0.2">
      <c r="A60" s="152" t="s">
        <v>11</v>
      </c>
      <c r="B60" s="56"/>
      <c r="C60" s="56"/>
      <c r="D60" s="56"/>
      <c r="E60" s="56"/>
      <c r="F60" s="56"/>
      <c r="G60" s="56"/>
      <c r="H60" s="56"/>
      <c r="I60" s="56"/>
      <c r="J60" s="56"/>
      <c r="K60" s="56"/>
      <c r="L60" s="56"/>
    </row>
    <row r="61" spans="1:15" ht="7.5" customHeight="1" x14ac:dyDescent="0.2">
      <c r="A61" s="56"/>
      <c r="B61" s="56"/>
      <c r="C61" s="56"/>
      <c r="D61" s="56"/>
      <c r="E61" s="56"/>
      <c r="F61" s="56"/>
      <c r="G61" s="56"/>
      <c r="H61" s="56"/>
      <c r="I61" s="56"/>
      <c r="J61" s="56"/>
      <c r="K61" s="56"/>
      <c r="L61" s="56"/>
    </row>
    <row r="62" spans="1:15" x14ac:dyDescent="0.2">
      <c r="A62" s="294">
        <v>1</v>
      </c>
      <c r="B62" s="1590" t="s">
        <v>424</v>
      </c>
      <c r="C62" s="1590"/>
      <c r="D62" s="1590"/>
      <c r="E62" s="1590"/>
      <c r="F62" s="1590"/>
      <c r="G62" s="1590"/>
      <c r="H62" s="1590"/>
      <c r="I62" s="1590"/>
      <c r="J62" s="1590"/>
      <c r="K62" s="1590"/>
      <c r="L62" s="1590"/>
      <c r="M62" s="1590"/>
      <c r="N62" s="1590"/>
      <c r="O62" s="1590"/>
    </row>
    <row r="63" spans="1:15" x14ac:dyDescent="0.2">
      <c r="A63" s="294">
        <v>2</v>
      </c>
      <c r="B63" s="1590" t="s">
        <v>865</v>
      </c>
      <c r="C63" s="1590"/>
      <c r="D63" s="1590"/>
      <c r="E63" s="1590"/>
      <c r="F63" s="1590"/>
      <c r="G63" s="1590"/>
      <c r="H63" s="1590"/>
      <c r="I63" s="1590"/>
      <c r="J63" s="1590"/>
      <c r="K63" s="1590"/>
      <c r="L63" s="1590"/>
      <c r="M63" s="1590"/>
      <c r="N63" s="1590"/>
      <c r="O63" s="1590"/>
    </row>
    <row r="64" spans="1:15" ht="42.75" customHeight="1" x14ac:dyDescent="0.2">
      <c r="A64" s="294">
        <v>3</v>
      </c>
      <c r="B64" s="1590" t="s">
        <v>536</v>
      </c>
      <c r="C64" s="1590"/>
      <c r="D64" s="1590"/>
      <c r="E64" s="1590"/>
      <c r="F64" s="1590"/>
      <c r="G64" s="1590"/>
      <c r="H64" s="1590"/>
      <c r="I64" s="1590"/>
      <c r="J64" s="1590"/>
      <c r="K64" s="1590"/>
      <c r="L64" s="1590"/>
      <c r="M64" s="1590"/>
      <c r="N64" s="1590"/>
      <c r="O64" s="1590"/>
    </row>
    <row r="65" spans="1:15" ht="54" customHeight="1" x14ac:dyDescent="0.2">
      <c r="A65" s="270">
        <v>4</v>
      </c>
      <c r="B65" s="1590" t="s">
        <v>1049</v>
      </c>
      <c r="C65" s="1590"/>
      <c r="D65" s="1590"/>
      <c r="E65" s="1590"/>
      <c r="F65" s="1590"/>
      <c r="G65" s="1590"/>
      <c r="H65" s="1590"/>
      <c r="I65" s="1590"/>
      <c r="J65" s="1590"/>
      <c r="K65" s="1590"/>
      <c r="L65" s="1590"/>
      <c r="M65" s="1590"/>
      <c r="N65" s="1590"/>
      <c r="O65" s="1590"/>
    </row>
    <row r="66" spans="1:15" ht="16.5" customHeight="1" x14ac:dyDescent="0.2">
      <c r="A66" s="270">
        <v>5</v>
      </c>
      <c r="B66" s="1706" t="s">
        <v>425</v>
      </c>
      <c r="C66" s="1706"/>
      <c r="D66" s="1706"/>
      <c r="E66" s="1706"/>
      <c r="F66" s="1706"/>
      <c r="G66" s="1706"/>
      <c r="H66" s="1706"/>
      <c r="I66" s="1706"/>
      <c r="J66" s="1706"/>
      <c r="K66" s="1706"/>
      <c r="L66" s="1706"/>
      <c r="M66" s="1706"/>
      <c r="N66" s="1706"/>
      <c r="O66" s="1706"/>
    </row>
    <row r="67" spans="1:15" ht="14.25" customHeight="1" x14ac:dyDescent="0.2">
      <c r="A67" s="270">
        <v>6</v>
      </c>
      <c r="B67" s="1590" t="s">
        <v>481</v>
      </c>
      <c r="C67" s="1590"/>
      <c r="D67" s="1590"/>
      <c r="E67" s="1590"/>
      <c r="F67" s="1590"/>
      <c r="G67" s="1590"/>
      <c r="H67" s="1590"/>
      <c r="I67" s="1590"/>
      <c r="J67" s="1590"/>
      <c r="K67" s="1590"/>
      <c r="L67" s="1590"/>
      <c r="M67" s="1590"/>
      <c r="N67" s="1590"/>
      <c r="O67" s="1590"/>
    </row>
    <row r="68" spans="1:15" ht="14.25" customHeight="1" x14ac:dyDescent="0.2">
      <c r="A68" s="270"/>
      <c r="B68" s="1051"/>
      <c r="C68" s="1051"/>
      <c r="D68" s="1051"/>
      <c r="E68" s="1051"/>
      <c r="F68" s="1051"/>
      <c r="G68" s="1051"/>
      <c r="H68" s="1051"/>
      <c r="I68" s="1051"/>
      <c r="J68" s="1051"/>
      <c r="K68" s="1051"/>
      <c r="L68" s="1051"/>
      <c r="M68" s="1051"/>
      <c r="N68" s="1051"/>
      <c r="O68" s="1051"/>
    </row>
    <row r="69" spans="1:15" ht="12.75" customHeight="1" x14ac:dyDescent="0.2">
      <c r="A69" s="152" t="s">
        <v>226</v>
      </c>
      <c r="B69" s="1684" t="s">
        <v>190</v>
      </c>
      <c r="C69" s="1684"/>
      <c r="D69" s="1684"/>
      <c r="E69" s="1684"/>
      <c r="F69" s="1684"/>
      <c r="G69" s="1684"/>
      <c r="H69" s="1684"/>
      <c r="I69" s="1684"/>
      <c r="J69" s="1684"/>
      <c r="K69" s="1684"/>
      <c r="L69" s="1684"/>
      <c r="M69" s="1684"/>
      <c r="N69" s="1684"/>
      <c r="O69" s="1684"/>
    </row>
    <row r="70" spans="1:15" x14ac:dyDescent="0.2">
      <c r="B70" s="1684"/>
      <c r="C70" s="1684"/>
      <c r="D70" s="1684"/>
      <c r="E70" s="1684"/>
      <c r="F70" s="1684"/>
      <c r="G70" s="1684"/>
      <c r="H70" s="1684"/>
      <c r="I70" s="1684"/>
      <c r="J70" s="1684"/>
      <c r="K70" s="1684"/>
      <c r="L70" s="1684"/>
      <c r="M70" s="1684"/>
      <c r="N70" s="1684"/>
      <c r="O70" s="1684"/>
    </row>
    <row r="71" spans="1:15" x14ac:dyDescent="0.2">
      <c r="B71" s="271"/>
      <c r="C71" s="271"/>
      <c r="D71" s="271"/>
      <c r="E71" s="271"/>
      <c r="F71" s="271"/>
      <c r="G71" s="271"/>
      <c r="H71" s="271"/>
      <c r="I71" s="271"/>
      <c r="J71" s="271"/>
      <c r="K71" s="271"/>
      <c r="L71" s="271"/>
      <c r="M71" s="56"/>
      <c r="N71" s="56"/>
    </row>
    <row r="73" spans="1:15" x14ac:dyDescent="0.2">
      <c r="B73" s="56"/>
    </row>
    <row r="74" spans="1:15" x14ac:dyDescent="0.2">
      <c r="B74" s="56"/>
    </row>
  </sheetData>
  <mergeCells count="22">
    <mergeCell ref="B69:O70"/>
    <mergeCell ref="B62:O62"/>
    <mergeCell ref="B63:O63"/>
    <mergeCell ref="B64:O64"/>
    <mergeCell ref="B65:O65"/>
    <mergeCell ref="B66:O66"/>
    <mergeCell ref="B67:O67"/>
    <mergeCell ref="A9:O9"/>
    <mergeCell ref="A10:O10"/>
    <mergeCell ref="A18:A19"/>
    <mergeCell ref="B18:B19"/>
    <mergeCell ref="K18:K19"/>
    <mergeCell ref="N18:N19"/>
    <mergeCell ref="A11:O11"/>
    <mergeCell ref="A13:B13"/>
    <mergeCell ref="L13:M13"/>
    <mergeCell ref="A14:B14"/>
    <mergeCell ref="C14:K14"/>
    <mergeCell ref="L14:M14"/>
    <mergeCell ref="A15:B15"/>
    <mergeCell ref="C15:K15"/>
    <mergeCell ref="L15:M15"/>
  </mergeCells>
  <dataValidations count="1">
    <dataValidation allowBlank="1" showInputMessage="1" showErrorMessage="1" promptTitle="Date Format" prompt="E.g:  &quot;August 1, 2011&quot;" sqref="L7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L65548 JI65548 TE65548 ADA65548 AMW65548 AWS65548 BGO65548 BQK65548 CAG65548 CKC65548 CTY65548 DDU65548 DNQ65548 DXM65548 EHI65548 ERE65548 FBA65548 FKW65548 FUS65548 GEO65548 GOK65548 GYG65548 HIC65548 HRY65548 IBU65548 ILQ65548 IVM65548 JFI65548 JPE65548 JZA65548 KIW65548 KSS65548 LCO65548 LMK65548 LWG65548 MGC65548 MPY65548 MZU65548 NJQ65548 NTM65548 ODI65548 ONE65548 OXA65548 PGW65548 PQS65548 QAO65548 QKK65548 QUG65548 REC65548 RNY65548 RXU65548 SHQ65548 SRM65548 TBI65548 TLE65548 TVA65548 UEW65548 UOS65548 UYO65548 VIK65548 VSG65548 WCC65548 WLY65548 WVU65548 L131084 JI131084 TE131084 ADA131084 AMW131084 AWS131084 BGO131084 BQK131084 CAG131084 CKC131084 CTY131084 DDU131084 DNQ131084 DXM131084 EHI131084 ERE131084 FBA131084 FKW131084 FUS131084 GEO131084 GOK131084 GYG131084 HIC131084 HRY131084 IBU131084 ILQ131084 IVM131084 JFI131084 JPE131084 JZA131084 KIW131084 KSS131084 LCO131084 LMK131084 LWG131084 MGC131084 MPY131084 MZU131084 NJQ131084 NTM131084 ODI131084 ONE131084 OXA131084 PGW131084 PQS131084 QAO131084 QKK131084 QUG131084 REC131084 RNY131084 RXU131084 SHQ131084 SRM131084 TBI131084 TLE131084 TVA131084 UEW131084 UOS131084 UYO131084 VIK131084 VSG131084 WCC131084 WLY131084 WVU131084 L196620 JI196620 TE196620 ADA196620 AMW196620 AWS196620 BGO196620 BQK196620 CAG196620 CKC196620 CTY196620 DDU196620 DNQ196620 DXM196620 EHI196620 ERE196620 FBA196620 FKW196620 FUS196620 GEO196620 GOK196620 GYG196620 HIC196620 HRY196620 IBU196620 ILQ196620 IVM196620 JFI196620 JPE196620 JZA196620 KIW196620 KSS196620 LCO196620 LMK196620 LWG196620 MGC196620 MPY196620 MZU196620 NJQ196620 NTM196620 ODI196620 ONE196620 OXA196620 PGW196620 PQS196620 QAO196620 QKK196620 QUG196620 REC196620 RNY196620 RXU196620 SHQ196620 SRM196620 TBI196620 TLE196620 TVA196620 UEW196620 UOS196620 UYO196620 VIK196620 VSG196620 WCC196620 WLY196620 WVU196620 L262156 JI262156 TE262156 ADA262156 AMW262156 AWS262156 BGO262156 BQK262156 CAG262156 CKC262156 CTY262156 DDU262156 DNQ262156 DXM262156 EHI262156 ERE262156 FBA262156 FKW262156 FUS262156 GEO262156 GOK262156 GYG262156 HIC262156 HRY262156 IBU262156 ILQ262156 IVM262156 JFI262156 JPE262156 JZA262156 KIW262156 KSS262156 LCO262156 LMK262156 LWG262156 MGC262156 MPY262156 MZU262156 NJQ262156 NTM262156 ODI262156 ONE262156 OXA262156 PGW262156 PQS262156 QAO262156 QKK262156 QUG262156 REC262156 RNY262156 RXU262156 SHQ262156 SRM262156 TBI262156 TLE262156 TVA262156 UEW262156 UOS262156 UYO262156 VIK262156 VSG262156 WCC262156 WLY262156 WVU262156 L327692 JI327692 TE327692 ADA327692 AMW327692 AWS327692 BGO327692 BQK327692 CAG327692 CKC327692 CTY327692 DDU327692 DNQ327692 DXM327692 EHI327692 ERE327692 FBA327692 FKW327692 FUS327692 GEO327692 GOK327692 GYG327692 HIC327692 HRY327692 IBU327692 ILQ327692 IVM327692 JFI327692 JPE327692 JZA327692 KIW327692 KSS327692 LCO327692 LMK327692 LWG327692 MGC327692 MPY327692 MZU327692 NJQ327692 NTM327692 ODI327692 ONE327692 OXA327692 PGW327692 PQS327692 QAO327692 QKK327692 QUG327692 REC327692 RNY327692 RXU327692 SHQ327692 SRM327692 TBI327692 TLE327692 TVA327692 UEW327692 UOS327692 UYO327692 VIK327692 VSG327692 WCC327692 WLY327692 WVU327692 L393228 JI393228 TE393228 ADA393228 AMW393228 AWS393228 BGO393228 BQK393228 CAG393228 CKC393228 CTY393228 DDU393228 DNQ393228 DXM393228 EHI393228 ERE393228 FBA393228 FKW393228 FUS393228 GEO393228 GOK393228 GYG393228 HIC393228 HRY393228 IBU393228 ILQ393228 IVM393228 JFI393228 JPE393228 JZA393228 KIW393228 KSS393228 LCO393228 LMK393228 LWG393228 MGC393228 MPY393228 MZU393228 NJQ393228 NTM393228 ODI393228 ONE393228 OXA393228 PGW393228 PQS393228 QAO393228 QKK393228 QUG393228 REC393228 RNY393228 RXU393228 SHQ393228 SRM393228 TBI393228 TLE393228 TVA393228 UEW393228 UOS393228 UYO393228 VIK393228 VSG393228 WCC393228 WLY393228 WVU393228 L458764 JI458764 TE458764 ADA458764 AMW458764 AWS458764 BGO458764 BQK458764 CAG458764 CKC458764 CTY458764 DDU458764 DNQ458764 DXM458764 EHI458764 ERE458764 FBA458764 FKW458764 FUS458764 GEO458764 GOK458764 GYG458764 HIC458764 HRY458764 IBU458764 ILQ458764 IVM458764 JFI458764 JPE458764 JZA458764 KIW458764 KSS458764 LCO458764 LMK458764 LWG458764 MGC458764 MPY458764 MZU458764 NJQ458764 NTM458764 ODI458764 ONE458764 OXA458764 PGW458764 PQS458764 QAO458764 QKK458764 QUG458764 REC458764 RNY458764 RXU458764 SHQ458764 SRM458764 TBI458764 TLE458764 TVA458764 UEW458764 UOS458764 UYO458764 VIK458764 VSG458764 WCC458764 WLY458764 WVU458764 L524300 JI524300 TE524300 ADA524300 AMW524300 AWS524300 BGO524300 BQK524300 CAG524300 CKC524300 CTY524300 DDU524300 DNQ524300 DXM524300 EHI524300 ERE524300 FBA524300 FKW524300 FUS524300 GEO524300 GOK524300 GYG524300 HIC524300 HRY524300 IBU524300 ILQ524300 IVM524300 JFI524300 JPE524300 JZA524300 KIW524300 KSS524300 LCO524300 LMK524300 LWG524300 MGC524300 MPY524300 MZU524300 NJQ524300 NTM524300 ODI524300 ONE524300 OXA524300 PGW524300 PQS524300 QAO524300 QKK524300 QUG524300 REC524300 RNY524300 RXU524300 SHQ524300 SRM524300 TBI524300 TLE524300 TVA524300 UEW524300 UOS524300 UYO524300 VIK524300 VSG524300 WCC524300 WLY524300 WVU524300 L589836 JI589836 TE589836 ADA589836 AMW589836 AWS589836 BGO589836 BQK589836 CAG589836 CKC589836 CTY589836 DDU589836 DNQ589836 DXM589836 EHI589836 ERE589836 FBA589836 FKW589836 FUS589836 GEO589836 GOK589836 GYG589836 HIC589836 HRY589836 IBU589836 ILQ589836 IVM589836 JFI589836 JPE589836 JZA589836 KIW589836 KSS589836 LCO589836 LMK589836 LWG589836 MGC589836 MPY589836 MZU589836 NJQ589836 NTM589836 ODI589836 ONE589836 OXA589836 PGW589836 PQS589836 QAO589836 QKK589836 QUG589836 REC589836 RNY589836 RXU589836 SHQ589836 SRM589836 TBI589836 TLE589836 TVA589836 UEW589836 UOS589836 UYO589836 VIK589836 VSG589836 WCC589836 WLY589836 WVU589836 L655372 JI655372 TE655372 ADA655372 AMW655372 AWS655372 BGO655372 BQK655372 CAG655372 CKC655372 CTY655372 DDU655372 DNQ655372 DXM655372 EHI655372 ERE655372 FBA655372 FKW655372 FUS655372 GEO655372 GOK655372 GYG655372 HIC655372 HRY655372 IBU655372 ILQ655372 IVM655372 JFI655372 JPE655372 JZA655372 KIW655372 KSS655372 LCO655372 LMK655372 LWG655372 MGC655372 MPY655372 MZU655372 NJQ655372 NTM655372 ODI655372 ONE655372 OXA655372 PGW655372 PQS655372 QAO655372 QKK655372 QUG655372 REC655372 RNY655372 RXU655372 SHQ655372 SRM655372 TBI655372 TLE655372 TVA655372 UEW655372 UOS655372 UYO655372 VIK655372 VSG655372 WCC655372 WLY655372 WVU655372 L720908 JI720908 TE720908 ADA720908 AMW720908 AWS720908 BGO720908 BQK720908 CAG720908 CKC720908 CTY720908 DDU720908 DNQ720908 DXM720908 EHI720908 ERE720908 FBA720908 FKW720908 FUS720908 GEO720908 GOK720908 GYG720908 HIC720908 HRY720908 IBU720908 ILQ720908 IVM720908 JFI720908 JPE720908 JZA720908 KIW720908 KSS720908 LCO720908 LMK720908 LWG720908 MGC720908 MPY720908 MZU720908 NJQ720908 NTM720908 ODI720908 ONE720908 OXA720908 PGW720908 PQS720908 QAO720908 QKK720908 QUG720908 REC720908 RNY720908 RXU720908 SHQ720908 SRM720908 TBI720908 TLE720908 TVA720908 UEW720908 UOS720908 UYO720908 VIK720908 VSG720908 WCC720908 WLY720908 WVU720908 L786444 JI786444 TE786444 ADA786444 AMW786444 AWS786444 BGO786444 BQK786444 CAG786444 CKC786444 CTY786444 DDU786444 DNQ786444 DXM786444 EHI786444 ERE786444 FBA786444 FKW786444 FUS786444 GEO786444 GOK786444 GYG786444 HIC786444 HRY786444 IBU786444 ILQ786444 IVM786444 JFI786444 JPE786444 JZA786444 KIW786444 KSS786444 LCO786444 LMK786444 LWG786444 MGC786444 MPY786444 MZU786444 NJQ786444 NTM786444 ODI786444 ONE786444 OXA786444 PGW786444 PQS786444 QAO786444 QKK786444 QUG786444 REC786444 RNY786444 RXU786444 SHQ786444 SRM786444 TBI786444 TLE786444 TVA786444 UEW786444 UOS786444 UYO786444 VIK786444 VSG786444 WCC786444 WLY786444 WVU786444 L851980 JI851980 TE851980 ADA851980 AMW851980 AWS851980 BGO851980 BQK851980 CAG851980 CKC851980 CTY851980 DDU851980 DNQ851980 DXM851980 EHI851980 ERE851980 FBA851980 FKW851980 FUS851980 GEO851980 GOK851980 GYG851980 HIC851980 HRY851980 IBU851980 ILQ851980 IVM851980 JFI851980 JPE851980 JZA851980 KIW851980 KSS851980 LCO851980 LMK851980 LWG851980 MGC851980 MPY851980 MZU851980 NJQ851980 NTM851980 ODI851980 ONE851980 OXA851980 PGW851980 PQS851980 QAO851980 QKK851980 QUG851980 REC851980 RNY851980 RXU851980 SHQ851980 SRM851980 TBI851980 TLE851980 TVA851980 UEW851980 UOS851980 UYO851980 VIK851980 VSG851980 WCC851980 WLY851980 WVU851980 L917516 JI917516 TE917516 ADA917516 AMW917516 AWS917516 BGO917516 BQK917516 CAG917516 CKC917516 CTY917516 DDU917516 DNQ917516 DXM917516 EHI917516 ERE917516 FBA917516 FKW917516 FUS917516 GEO917516 GOK917516 GYG917516 HIC917516 HRY917516 IBU917516 ILQ917516 IVM917516 JFI917516 JPE917516 JZA917516 KIW917516 KSS917516 LCO917516 LMK917516 LWG917516 MGC917516 MPY917516 MZU917516 NJQ917516 NTM917516 ODI917516 ONE917516 OXA917516 PGW917516 PQS917516 QAO917516 QKK917516 QUG917516 REC917516 RNY917516 RXU917516 SHQ917516 SRM917516 TBI917516 TLE917516 TVA917516 UEW917516 UOS917516 UYO917516 VIK917516 VSG917516 WCC917516 WLY917516 WVU917516 L983052 JI983052 TE983052 ADA983052 AMW983052 AWS983052 BGO983052 BQK983052 CAG983052 CKC983052 CTY983052 DDU983052 DNQ983052 DXM983052 EHI983052 ERE983052 FBA983052 FKW983052 FUS983052 GEO983052 GOK983052 GYG983052 HIC983052 HRY983052 IBU983052 ILQ983052 IVM983052 JFI983052 JPE983052 JZA983052 KIW983052 KSS983052 LCO983052 LMK983052 LWG983052 MGC983052 MPY983052 MZU983052 NJQ983052 NTM983052 ODI983052 ONE983052 OXA983052 PGW983052 PQS983052 QAO983052 QKK983052 QUG983052 REC983052 RNY983052 RXU983052 SHQ983052 SRM983052 TBI983052 TLE983052 TVA983052 UEW983052 UOS983052 UYO983052 VIK983052 VSG983052 WCC983052 WLY983052 WVU983052"/>
  </dataValidations>
  <printOptions horizontalCentered="1"/>
  <pageMargins left="0.74803149606299213" right="0.74803149606299213" top="0.70866141732283472" bottom="0.39370078740157483" header="0.39370078740157483" footer="0.27559055118110237"/>
  <pageSetup scale="4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0711" r:id="rId4" name="Check Box 7">
              <controlPr defaultSize="0" autoFill="0" autoLine="0" autoPict="0">
                <anchor moveWithCells="1">
                  <from>
                    <xdr:col>0</xdr:col>
                    <xdr:colOff>323850</xdr:colOff>
                    <xdr:row>13</xdr:row>
                    <xdr:rowOff>76200</xdr:rowOff>
                  </from>
                  <to>
                    <xdr:col>0</xdr:col>
                    <xdr:colOff>590550</xdr:colOff>
                    <xdr:row>13</xdr:row>
                    <xdr:rowOff>495300</xdr:rowOff>
                  </to>
                </anchor>
              </controlPr>
            </control>
          </mc:Choice>
        </mc:AlternateContent>
        <mc:AlternateContent xmlns:mc="http://schemas.openxmlformats.org/markup-compatibility/2006">
          <mc:Choice Requires="x14">
            <control shapeId="200712" r:id="rId5" name="Check Box 8">
              <controlPr defaultSize="0" autoFill="0" autoLine="0" autoPict="0">
                <anchor moveWithCells="1">
                  <from>
                    <xdr:col>0</xdr:col>
                    <xdr:colOff>304800</xdr:colOff>
                    <xdr:row>14</xdr:row>
                    <xdr:rowOff>47625</xdr:rowOff>
                  </from>
                  <to>
                    <xdr:col>0</xdr:col>
                    <xdr:colOff>571500</xdr:colOff>
                    <xdr:row>14</xdr:row>
                    <xdr:rowOff>466725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1">
    <tabColor rgb="FF00B0F0"/>
    <pageSetUpPr fitToPage="1"/>
  </sheetPr>
  <dimension ref="A1:O81"/>
  <sheetViews>
    <sheetView showGridLines="0" view="pageBreakPreview" zoomScale="60" zoomScaleNormal="100" workbookViewId="0">
      <selection activeCell="A9" sqref="A9:K9"/>
    </sheetView>
  </sheetViews>
  <sheetFormatPr defaultRowHeight="12.75" x14ac:dyDescent="0.2"/>
  <cols>
    <col min="1" max="1" width="9.140625" style="52"/>
    <col min="2" max="2" width="40.28515625" style="52" bestFit="1" customWidth="1"/>
    <col min="3" max="3" width="10" style="52" customWidth="1"/>
    <col min="4" max="4" width="10.140625" style="52" customWidth="1"/>
    <col min="5" max="5" width="12.28515625" style="52" customWidth="1"/>
    <col min="6" max="6" width="16.28515625" style="52" customWidth="1"/>
    <col min="7" max="7" width="16.140625" style="52" customWidth="1"/>
    <col min="8" max="8" width="12.7109375" style="52" customWidth="1"/>
    <col min="9" max="10" width="14.42578125" style="52" customWidth="1"/>
    <col min="11" max="11" width="15.5703125" style="52" customWidth="1"/>
    <col min="12" max="12" width="9.140625" style="52"/>
    <col min="13" max="13" width="18.5703125" style="52" customWidth="1"/>
    <col min="14" max="256" width="9.140625" style="52"/>
    <col min="257" max="257" width="2.7109375" style="52" customWidth="1"/>
    <col min="258" max="258" width="9.140625" style="52"/>
    <col min="259" max="259" width="40.28515625" style="52" bestFit="1" customWidth="1"/>
    <col min="260" max="260" width="10" style="52" customWidth="1"/>
    <col min="261" max="261" width="10.140625" style="52" customWidth="1"/>
    <col min="262" max="262" width="12.28515625" style="52" customWidth="1"/>
    <col min="263" max="263" width="16.28515625" style="52" customWidth="1"/>
    <col min="264" max="264" width="12.85546875" style="52" customWidth="1"/>
    <col min="265" max="265" width="12.7109375" style="52" customWidth="1"/>
    <col min="266" max="266" width="14.42578125" style="52" customWidth="1"/>
    <col min="267" max="267" width="13.5703125" style="52" customWidth="1"/>
    <col min="268" max="512" width="9.140625" style="52"/>
    <col min="513" max="513" width="2.7109375" style="52" customWidth="1"/>
    <col min="514" max="514" width="9.140625" style="52"/>
    <col min="515" max="515" width="40.28515625" style="52" bestFit="1" customWidth="1"/>
    <col min="516" max="516" width="10" style="52" customWidth="1"/>
    <col min="517" max="517" width="10.140625" style="52" customWidth="1"/>
    <col min="518" max="518" width="12.28515625" style="52" customWidth="1"/>
    <col min="519" max="519" width="16.28515625" style="52" customWidth="1"/>
    <col min="520" max="520" width="12.85546875" style="52" customWidth="1"/>
    <col min="521" max="521" width="12.7109375" style="52" customWidth="1"/>
    <col min="522" max="522" width="14.42578125" style="52" customWidth="1"/>
    <col min="523" max="523" width="13.5703125" style="52" customWidth="1"/>
    <col min="524" max="768" width="9.140625" style="52"/>
    <col min="769" max="769" width="2.7109375" style="52" customWidth="1"/>
    <col min="770" max="770" width="9.140625" style="52"/>
    <col min="771" max="771" width="40.28515625" style="52" bestFit="1" customWidth="1"/>
    <col min="772" max="772" width="10" style="52" customWidth="1"/>
    <col min="773" max="773" width="10.140625" style="52" customWidth="1"/>
    <col min="774" max="774" width="12.28515625" style="52" customWidth="1"/>
    <col min="775" max="775" width="16.28515625" style="52" customWidth="1"/>
    <col min="776" max="776" width="12.85546875" style="52" customWidth="1"/>
    <col min="777" max="777" width="12.7109375" style="52" customWidth="1"/>
    <col min="778" max="778" width="14.42578125" style="52" customWidth="1"/>
    <col min="779" max="779" width="13.5703125" style="52" customWidth="1"/>
    <col min="780" max="1024" width="9.140625" style="52"/>
    <col min="1025" max="1025" width="2.7109375" style="52" customWidth="1"/>
    <col min="1026" max="1026" width="9.140625" style="52"/>
    <col min="1027" max="1027" width="40.28515625" style="52" bestFit="1" customWidth="1"/>
    <col min="1028" max="1028" width="10" style="52" customWidth="1"/>
    <col min="1029" max="1029" width="10.140625" style="52" customWidth="1"/>
    <col min="1030" max="1030" width="12.28515625" style="52" customWidth="1"/>
    <col min="1031" max="1031" width="16.28515625" style="52" customWidth="1"/>
    <col min="1032" max="1032" width="12.85546875" style="52" customWidth="1"/>
    <col min="1033" max="1033" width="12.7109375" style="52" customWidth="1"/>
    <col min="1034" max="1034" width="14.42578125" style="52" customWidth="1"/>
    <col min="1035" max="1035" width="13.5703125" style="52" customWidth="1"/>
    <col min="1036" max="1280" width="9.140625" style="52"/>
    <col min="1281" max="1281" width="2.7109375" style="52" customWidth="1"/>
    <col min="1282" max="1282" width="9.140625" style="52"/>
    <col min="1283" max="1283" width="40.28515625" style="52" bestFit="1" customWidth="1"/>
    <col min="1284" max="1284" width="10" style="52" customWidth="1"/>
    <col min="1285" max="1285" width="10.140625" style="52" customWidth="1"/>
    <col min="1286" max="1286" width="12.28515625" style="52" customWidth="1"/>
    <col min="1287" max="1287" width="16.28515625" style="52" customWidth="1"/>
    <col min="1288" max="1288" width="12.85546875" style="52" customWidth="1"/>
    <col min="1289" max="1289" width="12.7109375" style="52" customWidth="1"/>
    <col min="1290" max="1290" width="14.42578125" style="52" customWidth="1"/>
    <col min="1291" max="1291" width="13.5703125" style="52" customWidth="1"/>
    <col min="1292" max="1536" width="9.140625" style="52"/>
    <col min="1537" max="1537" width="2.7109375" style="52" customWidth="1"/>
    <col min="1538" max="1538" width="9.140625" style="52"/>
    <col min="1539" max="1539" width="40.28515625" style="52" bestFit="1" customWidth="1"/>
    <col min="1540" max="1540" width="10" style="52" customWidth="1"/>
    <col min="1541" max="1541" width="10.140625" style="52" customWidth="1"/>
    <col min="1542" max="1542" width="12.28515625" style="52" customWidth="1"/>
    <col min="1543" max="1543" width="16.28515625" style="52" customWidth="1"/>
    <col min="1544" max="1544" width="12.85546875" style="52" customWidth="1"/>
    <col min="1545" max="1545" width="12.7109375" style="52" customWidth="1"/>
    <col min="1546" max="1546" width="14.42578125" style="52" customWidth="1"/>
    <col min="1547" max="1547" width="13.5703125" style="52" customWidth="1"/>
    <col min="1548" max="1792" width="9.140625" style="52"/>
    <col min="1793" max="1793" width="2.7109375" style="52" customWidth="1"/>
    <col min="1794" max="1794" width="9.140625" style="52"/>
    <col min="1795" max="1795" width="40.28515625" style="52" bestFit="1" customWidth="1"/>
    <col min="1796" max="1796" width="10" style="52" customWidth="1"/>
    <col min="1797" max="1797" width="10.140625" style="52" customWidth="1"/>
    <col min="1798" max="1798" width="12.28515625" style="52" customWidth="1"/>
    <col min="1799" max="1799" width="16.28515625" style="52" customWidth="1"/>
    <col min="1800" max="1800" width="12.85546875" style="52" customWidth="1"/>
    <col min="1801" max="1801" width="12.7109375" style="52" customWidth="1"/>
    <col min="1802" max="1802" width="14.42578125" style="52" customWidth="1"/>
    <col min="1803" max="1803" width="13.5703125" style="52" customWidth="1"/>
    <col min="1804" max="2048" width="9.140625" style="52"/>
    <col min="2049" max="2049" width="2.7109375" style="52" customWidth="1"/>
    <col min="2050" max="2050" width="9.140625" style="52"/>
    <col min="2051" max="2051" width="40.28515625" style="52" bestFit="1" customWidth="1"/>
    <col min="2052" max="2052" width="10" style="52" customWidth="1"/>
    <col min="2053" max="2053" width="10.140625" style="52" customWidth="1"/>
    <col min="2054" max="2054" width="12.28515625" style="52" customWidth="1"/>
    <col min="2055" max="2055" width="16.28515625" style="52" customWidth="1"/>
    <col min="2056" max="2056" width="12.85546875" style="52" customWidth="1"/>
    <col min="2057" max="2057" width="12.7109375" style="52" customWidth="1"/>
    <col min="2058" max="2058" width="14.42578125" style="52" customWidth="1"/>
    <col min="2059" max="2059" width="13.5703125" style="52" customWidth="1"/>
    <col min="2060" max="2304" width="9.140625" style="52"/>
    <col min="2305" max="2305" width="2.7109375" style="52" customWidth="1"/>
    <col min="2306" max="2306" width="9.140625" style="52"/>
    <col min="2307" max="2307" width="40.28515625" style="52" bestFit="1" customWidth="1"/>
    <col min="2308" max="2308" width="10" style="52" customWidth="1"/>
    <col min="2309" max="2309" width="10.140625" style="52" customWidth="1"/>
    <col min="2310" max="2310" width="12.28515625" style="52" customWidth="1"/>
    <col min="2311" max="2311" width="16.28515625" style="52" customWidth="1"/>
    <col min="2312" max="2312" width="12.85546875" style="52" customWidth="1"/>
    <col min="2313" max="2313" width="12.7109375" style="52" customWidth="1"/>
    <col min="2314" max="2314" width="14.42578125" style="52" customWidth="1"/>
    <col min="2315" max="2315" width="13.5703125" style="52" customWidth="1"/>
    <col min="2316" max="2560" width="9.140625" style="52"/>
    <col min="2561" max="2561" width="2.7109375" style="52" customWidth="1"/>
    <col min="2562" max="2562" width="9.140625" style="52"/>
    <col min="2563" max="2563" width="40.28515625" style="52" bestFit="1" customWidth="1"/>
    <col min="2564" max="2564" width="10" style="52" customWidth="1"/>
    <col min="2565" max="2565" width="10.140625" style="52" customWidth="1"/>
    <col min="2566" max="2566" width="12.28515625" style="52" customWidth="1"/>
    <col min="2567" max="2567" width="16.28515625" style="52" customWidth="1"/>
    <col min="2568" max="2568" width="12.85546875" style="52" customWidth="1"/>
    <col min="2569" max="2569" width="12.7109375" style="52" customWidth="1"/>
    <col min="2570" max="2570" width="14.42578125" style="52" customWidth="1"/>
    <col min="2571" max="2571" width="13.5703125" style="52" customWidth="1"/>
    <col min="2572" max="2816" width="9.140625" style="52"/>
    <col min="2817" max="2817" width="2.7109375" style="52" customWidth="1"/>
    <col min="2818" max="2818" width="9.140625" style="52"/>
    <col min="2819" max="2819" width="40.28515625" style="52" bestFit="1" customWidth="1"/>
    <col min="2820" max="2820" width="10" style="52" customWidth="1"/>
    <col min="2821" max="2821" width="10.140625" style="52" customWidth="1"/>
    <col min="2822" max="2822" width="12.28515625" style="52" customWidth="1"/>
    <col min="2823" max="2823" width="16.28515625" style="52" customWidth="1"/>
    <col min="2824" max="2824" width="12.85546875" style="52" customWidth="1"/>
    <col min="2825" max="2825" width="12.7109375" style="52" customWidth="1"/>
    <col min="2826" max="2826" width="14.42578125" style="52" customWidth="1"/>
    <col min="2827" max="2827" width="13.5703125" style="52" customWidth="1"/>
    <col min="2828" max="3072" width="9.140625" style="52"/>
    <col min="3073" max="3073" width="2.7109375" style="52" customWidth="1"/>
    <col min="3074" max="3074" width="9.140625" style="52"/>
    <col min="3075" max="3075" width="40.28515625" style="52" bestFit="1" customWidth="1"/>
    <col min="3076" max="3076" width="10" style="52" customWidth="1"/>
    <col min="3077" max="3077" width="10.140625" style="52" customWidth="1"/>
    <col min="3078" max="3078" width="12.28515625" style="52" customWidth="1"/>
    <col min="3079" max="3079" width="16.28515625" style="52" customWidth="1"/>
    <col min="3080" max="3080" width="12.85546875" style="52" customWidth="1"/>
    <col min="3081" max="3081" width="12.7109375" style="52" customWidth="1"/>
    <col min="3082" max="3082" width="14.42578125" style="52" customWidth="1"/>
    <col min="3083" max="3083" width="13.5703125" style="52" customWidth="1"/>
    <col min="3084" max="3328" width="9.140625" style="52"/>
    <col min="3329" max="3329" width="2.7109375" style="52" customWidth="1"/>
    <col min="3330" max="3330" width="9.140625" style="52"/>
    <col min="3331" max="3331" width="40.28515625" style="52" bestFit="1" customWidth="1"/>
    <col min="3332" max="3332" width="10" style="52" customWidth="1"/>
    <col min="3333" max="3333" width="10.140625" style="52" customWidth="1"/>
    <col min="3334" max="3334" width="12.28515625" style="52" customWidth="1"/>
    <col min="3335" max="3335" width="16.28515625" style="52" customWidth="1"/>
    <col min="3336" max="3336" width="12.85546875" style="52" customWidth="1"/>
    <col min="3337" max="3337" width="12.7109375" style="52" customWidth="1"/>
    <col min="3338" max="3338" width="14.42578125" style="52" customWidth="1"/>
    <col min="3339" max="3339" width="13.5703125" style="52" customWidth="1"/>
    <col min="3340" max="3584" width="9.140625" style="52"/>
    <col min="3585" max="3585" width="2.7109375" style="52" customWidth="1"/>
    <col min="3586" max="3586" width="9.140625" style="52"/>
    <col min="3587" max="3587" width="40.28515625" style="52" bestFit="1" customWidth="1"/>
    <col min="3588" max="3588" width="10" style="52" customWidth="1"/>
    <col min="3589" max="3589" width="10.140625" style="52" customWidth="1"/>
    <col min="3590" max="3590" width="12.28515625" style="52" customWidth="1"/>
    <col min="3591" max="3591" width="16.28515625" style="52" customWidth="1"/>
    <col min="3592" max="3592" width="12.85546875" style="52" customWidth="1"/>
    <col min="3593" max="3593" width="12.7109375" style="52" customWidth="1"/>
    <col min="3594" max="3594" width="14.42578125" style="52" customWidth="1"/>
    <col min="3595" max="3595" width="13.5703125" style="52" customWidth="1"/>
    <col min="3596" max="3840" width="9.140625" style="52"/>
    <col min="3841" max="3841" width="2.7109375" style="52" customWidth="1"/>
    <col min="3842" max="3842" width="9.140625" style="52"/>
    <col min="3843" max="3843" width="40.28515625" style="52" bestFit="1" customWidth="1"/>
    <col min="3844" max="3844" width="10" style="52" customWidth="1"/>
    <col min="3845" max="3845" width="10.140625" style="52" customWidth="1"/>
    <col min="3846" max="3846" width="12.28515625" style="52" customWidth="1"/>
    <col min="3847" max="3847" width="16.28515625" style="52" customWidth="1"/>
    <col min="3848" max="3848" width="12.85546875" style="52" customWidth="1"/>
    <col min="3849" max="3849" width="12.7109375" style="52" customWidth="1"/>
    <col min="3850" max="3850" width="14.42578125" style="52" customWidth="1"/>
    <col min="3851" max="3851" width="13.5703125" style="52" customWidth="1"/>
    <col min="3852" max="4096" width="9.140625" style="52"/>
    <col min="4097" max="4097" width="2.7109375" style="52" customWidth="1"/>
    <col min="4098" max="4098" width="9.140625" style="52"/>
    <col min="4099" max="4099" width="40.28515625" style="52" bestFit="1" customWidth="1"/>
    <col min="4100" max="4100" width="10" style="52" customWidth="1"/>
    <col min="4101" max="4101" width="10.140625" style="52" customWidth="1"/>
    <col min="4102" max="4102" width="12.28515625" style="52" customWidth="1"/>
    <col min="4103" max="4103" width="16.28515625" style="52" customWidth="1"/>
    <col min="4104" max="4104" width="12.85546875" style="52" customWidth="1"/>
    <col min="4105" max="4105" width="12.7109375" style="52" customWidth="1"/>
    <col min="4106" max="4106" width="14.42578125" style="52" customWidth="1"/>
    <col min="4107" max="4107" width="13.5703125" style="52" customWidth="1"/>
    <col min="4108" max="4352" width="9.140625" style="52"/>
    <col min="4353" max="4353" width="2.7109375" style="52" customWidth="1"/>
    <col min="4354" max="4354" width="9.140625" style="52"/>
    <col min="4355" max="4355" width="40.28515625" style="52" bestFit="1" customWidth="1"/>
    <col min="4356" max="4356" width="10" style="52" customWidth="1"/>
    <col min="4357" max="4357" width="10.140625" style="52" customWidth="1"/>
    <col min="4358" max="4358" width="12.28515625" style="52" customWidth="1"/>
    <col min="4359" max="4359" width="16.28515625" style="52" customWidth="1"/>
    <col min="4360" max="4360" width="12.85546875" style="52" customWidth="1"/>
    <col min="4361" max="4361" width="12.7109375" style="52" customWidth="1"/>
    <col min="4362" max="4362" width="14.42578125" style="52" customWidth="1"/>
    <col min="4363" max="4363" width="13.5703125" style="52" customWidth="1"/>
    <col min="4364" max="4608" width="9.140625" style="52"/>
    <col min="4609" max="4609" width="2.7109375" style="52" customWidth="1"/>
    <col min="4610" max="4610" width="9.140625" style="52"/>
    <col min="4611" max="4611" width="40.28515625" style="52" bestFit="1" customWidth="1"/>
    <col min="4612" max="4612" width="10" style="52" customWidth="1"/>
    <col min="4613" max="4613" width="10.140625" style="52" customWidth="1"/>
    <col min="4614" max="4614" width="12.28515625" style="52" customWidth="1"/>
    <col min="4615" max="4615" width="16.28515625" style="52" customWidth="1"/>
    <col min="4616" max="4616" width="12.85546875" style="52" customWidth="1"/>
    <col min="4617" max="4617" width="12.7109375" style="52" customWidth="1"/>
    <col min="4618" max="4618" width="14.42578125" style="52" customWidth="1"/>
    <col min="4619" max="4619" width="13.5703125" style="52" customWidth="1"/>
    <col min="4620" max="4864" width="9.140625" style="52"/>
    <col min="4865" max="4865" width="2.7109375" style="52" customWidth="1"/>
    <col min="4866" max="4866" width="9.140625" style="52"/>
    <col min="4867" max="4867" width="40.28515625" style="52" bestFit="1" customWidth="1"/>
    <col min="4868" max="4868" width="10" style="52" customWidth="1"/>
    <col min="4869" max="4869" width="10.140625" style="52" customWidth="1"/>
    <col min="4870" max="4870" width="12.28515625" style="52" customWidth="1"/>
    <col min="4871" max="4871" width="16.28515625" style="52" customWidth="1"/>
    <col min="4872" max="4872" width="12.85546875" style="52" customWidth="1"/>
    <col min="4873" max="4873" width="12.7109375" style="52" customWidth="1"/>
    <col min="4874" max="4874" width="14.42578125" style="52" customWidth="1"/>
    <col min="4875" max="4875" width="13.5703125" style="52" customWidth="1"/>
    <col min="4876" max="5120" width="9.140625" style="52"/>
    <col min="5121" max="5121" width="2.7109375" style="52" customWidth="1"/>
    <col min="5122" max="5122" width="9.140625" style="52"/>
    <col min="5123" max="5123" width="40.28515625" style="52" bestFit="1" customWidth="1"/>
    <col min="5124" max="5124" width="10" style="52" customWidth="1"/>
    <col min="5125" max="5125" width="10.140625" style="52" customWidth="1"/>
    <col min="5126" max="5126" width="12.28515625" style="52" customWidth="1"/>
    <col min="5127" max="5127" width="16.28515625" style="52" customWidth="1"/>
    <col min="5128" max="5128" width="12.85546875" style="52" customWidth="1"/>
    <col min="5129" max="5129" width="12.7109375" style="52" customWidth="1"/>
    <col min="5130" max="5130" width="14.42578125" style="52" customWidth="1"/>
    <col min="5131" max="5131" width="13.5703125" style="52" customWidth="1"/>
    <col min="5132" max="5376" width="9.140625" style="52"/>
    <col min="5377" max="5377" width="2.7109375" style="52" customWidth="1"/>
    <col min="5378" max="5378" width="9.140625" style="52"/>
    <col min="5379" max="5379" width="40.28515625" style="52" bestFit="1" customWidth="1"/>
    <col min="5380" max="5380" width="10" style="52" customWidth="1"/>
    <col min="5381" max="5381" width="10.140625" style="52" customWidth="1"/>
    <col min="5382" max="5382" width="12.28515625" style="52" customWidth="1"/>
    <col min="5383" max="5383" width="16.28515625" style="52" customWidth="1"/>
    <col min="5384" max="5384" width="12.85546875" style="52" customWidth="1"/>
    <col min="5385" max="5385" width="12.7109375" style="52" customWidth="1"/>
    <col min="5386" max="5386" width="14.42578125" style="52" customWidth="1"/>
    <col min="5387" max="5387" width="13.5703125" style="52" customWidth="1"/>
    <col min="5388" max="5632" width="9.140625" style="52"/>
    <col min="5633" max="5633" width="2.7109375" style="52" customWidth="1"/>
    <col min="5634" max="5634" width="9.140625" style="52"/>
    <col min="5635" max="5635" width="40.28515625" style="52" bestFit="1" customWidth="1"/>
    <col min="5636" max="5636" width="10" style="52" customWidth="1"/>
    <col min="5637" max="5637" width="10.140625" style="52" customWidth="1"/>
    <col min="5638" max="5638" width="12.28515625" style="52" customWidth="1"/>
    <col min="5639" max="5639" width="16.28515625" style="52" customWidth="1"/>
    <col min="5640" max="5640" width="12.85546875" style="52" customWidth="1"/>
    <col min="5641" max="5641" width="12.7109375" style="52" customWidth="1"/>
    <col min="5642" max="5642" width="14.42578125" style="52" customWidth="1"/>
    <col min="5643" max="5643" width="13.5703125" style="52" customWidth="1"/>
    <col min="5644" max="5888" width="9.140625" style="52"/>
    <col min="5889" max="5889" width="2.7109375" style="52" customWidth="1"/>
    <col min="5890" max="5890" width="9.140625" style="52"/>
    <col min="5891" max="5891" width="40.28515625" style="52" bestFit="1" customWidth="1"/>
    <col min="5892" max="5892" width="10" style="52" customWidth="1"/>
    <col min="5893" max="5893" width="10.140625" style="52" customWidth="1"/>
    <col min="5894" max="5894" width="12.28515625" style="52" customWidth="1"/>
    <col min="5895" max="5895" width="16.28515625" style="52" customWidth="1"/>
    <col min="5896" max="5896" width="12.85546875" style="52" customWidth="1"/>
    <col min="5897" max="5897" width="12.7109375" style="52" customWidth="1"/>
    <col min="5898" max="5898" width="14.42578125" style="52" customWidth="1"/>
    <col min="5899" max="5899" width="13.5703125" style="52" customWidth="1"/>
    <col min="5900" max="6144" width="9.140625" style="52"/>
    <col min="6145" max="6145" width="2.7109375" style="52" customWidth="1"/>
    <col min="6146" max="6146" width="9.140625" style="52"/>
    <col min="6147" max="6147" width="40.28515625" style="52" bestFit="1" customWidth="1"/>
    <col min="6148" max="6148" width="10" style="52" customWidth="1"/>
    <col min="6149" max="6149" width="10.140625" style="52" customWidth="1"/>
    <col min="6150" max="6150" width="12.28515625" style="52" customWidth="1"/>
    <col min="6151" max="6151" width="16.28515625" style="52" customWidth="1"/>
    <col min="6152" max="6152" width="12.85546875" style="52" customWidth="1"/>
    <col min="6153" max="6153" width="12.7109375" style="52" customWidth="1"/>
    <col min="6154" max="6154" width="14.42578125" style="52" customWidth="1"/>
    <col min="6155" max="6155" width="13.5703125" style="52" customWidth="1"/>
    <col min="6156" max="6400" width="9.140625" style="52"/>
    <col min="6401" max="6401" width="2.7109375" style="52" customWidth="1"/>
    <col min="6402" max="6402" width="9.140625" style="52"/>
    <col min="6403" max="6403" width="40.28515625" style="52" bestFit="1" customWidth="1"/>
    <col min="6404" max="6404" width="10" style="52" customWidth="1"/>
    <col min="6405" max="6405" width="10.140625" style="52" customWidth="1"/>
    <col min="6406" max="6406" width="12.28515625" style="52" customWidth="1"/>
    <col min="6407" max="6407" width="16.28515625" style="52" customWidth="1"/>
    <col min="6408" max="6408" width="12.85546875" style="52" customWidth="1"/>
    <col min="6409" max="6409" width="12.7109375" style="52" customWidth="1"/>
    <col min="6410" max="6410" width="14.42578125" style="52" customWidth="1"/>
    <col min="6411" max="6411" width="13.5703125" style="52" customWidth="1"/>
    <col min="6412" max="6656" width="9.140625" style="52"/>
    <col min="6657" max="6657" width="2.7109375" style="52" customWidth="1"/>
    <col min="6658" max="6658" width="9.140625" style="52"/>
    <col min="6659" max="6659" width="40.28515625" style="52" bestFit="1" customWidth="1"/>
    <col min="6660" max="6660" width="10" style="52" customWidth="1"/>
    <col min="6661" max="6661" width="10.140625" style="52" customWidth="1"/>
    <col min="6662" max="6662" width="12.28515625" style="52" customWidth="1"/>
    <col min="6663" max="6663" width="16.28515625" style="52" customWidth="1"/>
    <col min="6664" max="6664" width="12.85546875" style="52" customWidth="1"/>
    <col min="6665" max="6665" width="12.7109375" style="52" customWidth="1"/>
    <col min="6666" max="6666" width="14.42578125" style="52" customWidth="1"/>
    <col min="6667" max="6667" width="13.5703125" style="52" customWidth="1"/>
    <col min="6668" max="6912" width="9.140625" style="52"/>
    <col min="6913" max="6913" width="2.7109375" style="52" customWidth="1"/>
    <col min="6914" max="6914" width="9.140625" style="52"/>
    <col min="6915" max="6915" width="40.28515625" style="52" bestFit="1" customWidth="1"/>
    <col min="6916" max="6916" width="10" style="52" customWidth="1"/>
    <col min="6917" max="6917" width="10.140625" style="52" customWidth="1"/>
    <col min="6918" max="6918" width="12.28515625" style="52" customWidth="1"/>
    <col min="6919" max="6919" width="16.28515625" style="52" customWidth="1"/>
    <col min="6920" max="6920" width="12.85546875" style="52" customWidth="1"/>
    <col min="6921" max="6921" width="12.7109375" style="52" customWidth="1"/>
    <col min="6922" max="6922" width="14.42578125" style="52" customWidth="1"/>
    <col min="6923" max="6923" width="13.5703125" style="52" customWidth="1"/>
    <col min="6924" max="7168" width="9.140625" style="52"/>
    <col min="7169" max="7169" width="2.7109375" style="52" customWidth="1"/>
    <col min="7170" max="7170" width="9.140625" style="52"/>
    <col min="7171" max="7171" width="40.28515625" style="52" bestFit="1" customWidth="1"/>
    <col min="7172" max="7172" width="10" style="52" customWidth="1"/>
    <col min="7173" max="7173" width="10.140625" style="52" customWidth="1"/>
    <col min="7174" max="7174" width="12.28515625" style="52" customWidth="1"/>
    <col min="7175" max="7175" width="16.28515625" style="52" customWidth="1"/>
    <col min="7176" max="7176" width="12.85546875" style="52" customWidth="1"/>
    <col min="7177" max="7177" width="12.7109375" style="52" customWidth="1"/>
    <col min="7178" max="7178" width="14.42578125" style="52" customWidth="1"/>
    <col min="7179" max="7179" width="13.5703125" style="52" customWidth="1"/>
    <col min="7180" max="7424" width="9.140625" style="52"/>
    <col min="7425" max="7425" width="2.7109375" style="52" customWidth="1"/>
    <col min="7426" max="7426" width="9.140625" style="52"/>
    <col min="7427" max="7427" width="40.28515625" style="52" bestFit="1" customWidth="1"/>
    <col min="7428" max="7428" width="10" style="52" customWidth="1"/>
    <col min="7429" max="7429" width="10.140625" style="52" customWidth="1"/>
    <col min="7430" max="7430" width="12.28515625" style="52" customWidth="1"/>
    <col min="7431" max="7431" width="16.28515625" style="52" customWidth="1"/>
    <col min="7432" max="7432" width="12.85546875" style="52" customWidth="1"/>
    <col min="7433" max="7433" width="12.7109375" style="52" customWidth="1"/>
    <col min="7434" max="7434" width="14.42578125" style="52" customWidth="1"/>
    <col min="7435" max="7435" width="13.5703125" style="52" customWidth="1"/>
    <col min="7436" max="7680" width="9.140625" style="52"/>
    <col min="7681" max="7681" width="2.7109375" style="52" customWidth="1"/>
    <col min="7682" max="7682" width="9.140625" style="52"/>
    <col min="7683" max="7683" width="40.28515625" style="52" bestFit="1" customWidth="1"/>
    <col min="7684" max="7684" width="10" style="52" customWidth="1"/>
    <col min="7685" max="7685" width="10.140625" style="52" customWidth="1"/>
    <col min="7686" max="7686" width="12.28515625" style="52" customWidth="1"/>
    <col min="7687" max="7687" width="16.28515625" style="52" customWidth="1"/>
    <col min="7688" max="7688" width="12.85546875" style="52" customWidth="1"/>
    <col min="7689" max="7689" width="12.7109375" style="52" customWidth="1"/>
    <col min="7690" max="7690" width="14.42578125" style="52" customWidth="1"/>
    <col min="7691" max="7691" width="13.5703125" style="52" customWidth="1"/>
    <col min="7692" max="7936" width="9.140625" style="52"/>
    <col min="7937" max="7937" width="2.7109375" style="52" customWidth="1"/>
    <col min="7938" max="7938" width="9.140625" style="52"/>
    <col min="7939" max="7939" width="40.28515625" style="52" bestFit="1" customWidth="1"/>
    <col min="7940" max="7940" width="10" style="52" customWidth="1"/>
    <col min="7941" max="7941" width="10.140625" style="52" customWidth="1"/>
    <col min="7942" max="7942" width="12.28515625" style="52" customWidth="1"/>
    <col min="7943" max="7943" width="16.28515625" style="52" customWidth="1"/>
    <col min="7944" max="7944" width="12.85546875" style="52" customWidth="1"/>
    <col min="7945" max="7945" width="12.7109375" style="52" customWidth="1"/>
    <col min="7946" max="7946" width="14.42578125" style="52" customWidth="1"/>
    <col min="7947" max="7947" width="13.5703125" style="52" customWidth="1"/>
    <col min="7948" max="8192" width="9.140625" style="52"/>
    <col min="8193" max="8193" width="2.7109375" style="52" customWidth="1"/>
    <col min="8194" max="8194" width="9.140625" style="52"/>
    <col min="8195" max="8195" width="40.28515625" style="52" bestFit="1" customWidth="1"/>
    <col min="8196" max="8196" width="10" style="52" customWidth="1"/>
    <col min="8197" max="8197" width="10.140625" style="52" customWidth="1"/>
    <col min="8198" max="8198" width="12.28515625" style="52" customWidth="1"/>
    <col min="8199" max="8199" width="16.28515625" style="52" customWidth="1"/>
    <col min="8200" max="8200" width="12.85546875" style="52" customWidth="1"/>
    <col min="8201" max="8201" width="12.7109375" style="52" customWidth="1"/>
    <col min="8202" max="8202" width="14.42578125" style="52" customWidth="1"/>
    <col min="8203" max="8203" width="13.5703125" style="52" customWidth="1"/>
    <col min="8204" max="8448" width="9.140625" style="52"/>
    <col min="8449" max="8449" width="2.7109375" style="52" customWidth="1"/>
    <col min="8450" max="8450" width="9.140625" style="52"/>
    <col min="8451" max="8451" width="40.28515625" style="52" bestFit="1" customWidth="1"/>
    <col min="8452" max="8452" width="10" style="52" customWidth="1"/>
    <col min="8453" max="8453" width="10.140625" style="52" customWidth="1"/>
    <col min="8454" max="8454" width="12.28515625" style="52" customWidth="1"/>
    <col min="8455" max="8455" width="16.28515625" style="52" customWidth="1"/>
    <col min="8456" max="8456" width="12.85546875" style="52" customWidth="1"/>
    <col min="8457" max="8457" width="12.7109375" style="52" customWidth="1"/>
    <col min="8458" max="8458" width="14.42578125" style="52" customWidth="1"/>
    <col min="8459" max="8459" width="13.5703125" style="52" customWidth="1"/>
    <col min="8460" max="8704" width="9.140625" style="52"/>
    <col min="8705" max="8705" width="2.7109375" style="52" customWidth="1"/>
    <col min="8706" max="8706" width="9.140625" style="52"/>
    <col min="8707" max="8707" width="40.28515625" style="52" bestFit="1" customWidth="1"/>
    <col min="8708" max="8708" width="10" style="52" customWidth="1"/>
    <col min="8709" max="8709" width="10.140625" style="52" customWidth="1"/>
    <col min="8710" max="8710" width="12.28515625" style="52" customWidth="1"/>
    <col min="8711" max="8711" width="16.28515625" style="52" customWidth="1"/>
    <col min="8712" max="8712" width="12.85546875" style="52" customWidth="1"/>
    <col min="8713" max="8713" width="12.7109375" style="52" customWidth="1"/>
    <col min="8714" max="8714" width="14.42578125" style="52" customWidth="1"/>
    <col min="8715" max="8715" width="13.5703125" style="52" customWidth="1"/>
    <col min="8716" max="8960" width="9.140625" style="52"/>
    <col min="8961" max="8961" width="2.7109375" style="52" customWidth="1"/>
    <col min="8962" max="8962" width="9.140625" style="52"/>
    <col min="8963" max="8963" width="40.28515625" style="52" bestFit="1" customWidth="1"/>
    <col min="8964" max="8964" width="10" style="52" customWidth="1"/>
    <col min="8965" max="8965" width="10.140625" style="52" customWidth="1"/>
    <col min="8966" max="8966" width="12.28515625" style="52" customWidth="1"/>
    <col min="8967" max="8967" width="16.28515625" style="52" customWidth="1"/>
    <col min="8968" max="8968" width="12.85546875" style="52" customWidth="1"/>
    <col min="8969" max="8969" width="12.7109375" style="52" customWidth="1"/>
    <col min="8970" max="8970" width="14.42578125" style="52" customWidth="1"/>
    <col min="8971" max="8971" width="13.5703125" style="52" customWidth="1"/>
    <col min="8972" max="9216" width="9.140625" style="52"/>
    <col min="9217" max="9217" width="2.7109375" style="52" customWidth="1"/>
    <col min="9218" max="9218" width="9.140625" style="52"/>
    <col min="9219" max="9219" width="40.28515625" style="52" bestFit="1" customWidth="1"/>
    <col min="9220" max="9220" width="10" style="52" customWidth="1"/>
    <col min="9221" max="9221" width="10.140625" style="52" customWidth="1"/>
    <col min="9222" max="9222" width="12.28515625" style="52" customWidth="1"/>
    <col min="9223" max="9223" width="16.28515625" style="52" customWidth="1"/>
    <col min="9224" max="9224" width="12.85546875" style="52" customWidth="1"/>
    <col min="9225" max="9225" width="12.7109375" style="52" customWidth="1"/>
    <col min="9226" max="9226" width="14.42578125" style="52" customWidth="1"/>
    <col min="9227" max="9227" width="13.5703125" style="52" customWidth="1"/>
    <col min="9228" max="9472" width="9.140625" style="52"/>
    <col min="9473" max="9473" width="2.7109375" style="52" customWidth="1"/>
    <col min="9474" max="9474" width="9.140625" style="52"/>
    <col min="9475" max="9475" width="40.28515625" style="52" bestFit="1" customWidth="1"/>
    <col min="9476" max="9476" width="10" style="52" customWidth="1"/>
    <col min="9477" max="9477" width="10.140625" style="52" customWidth="1"/>
    <col min="9478" max="9478" width="12.28515625" style="52" customWidth="1"/>
    <col min="9479" max="9479" width="16.28515625" style="52" customWidth="1"/>
    <col min="9480" max="9480" width="12.85546875" style="52" customWidth="1"/>
    <col min="9481" max="9481" width="12.7109375" style="52" customWidth="1"/>
    <col min="9482" max="9482" width="14.42578125" style="52" customWidth="1"/>
    <col min="9483" max="9483" width="13.5703125" style="52" customWidth="1"/>
    <col min="9484" max="9728" width="9.140625" style="52"/>
    <col min="9729" max="9729" width="2.7109375" style="52" customWidth="1"/>
    <col min="9730" max="9730" width="9.140625" style="52"/>
    <col min="9731" max="9731" width="40.28515625" style="52" bestFit="1" customWidth="1"/>
    <col min="9732" max="9732" width="10" style="52" customWidth="1"/>
    <col min="9733" max="9733" width="10.140625" style="52" customWidth="1"/>
    <col min="9734" max="9734" width="12.28515625" style="52" customWidth="1"/>
    <col min="9735" max="9735" width="16.28515625" style="52" customWidth="1"/>
    <col min="9736" max="9736" width="12.85546875" style="52" customWidth="1"/>
    <col min="9737" max="9737" width="12.7109375" style="52" customWidth="1"/>
    <col min="9738" max="9738" width="14.42578125" style="52" customWidth="1"/>
    <col min="9739" max="9739" width="13.5703125" style="52" customWidth="1"/>
    <col min="9740" max="9984" width="9.140625" style="52"/>
    <col min="9985" max="9985" width="2.7109375" style="52" customWidth="1"/>
    <col min="9986" max="9986" width="9.140625" style="52"/>
    <col min="9987" max="9987" width="40.28515625" style="52" bestFit="1" customWidth="1"/>
    <col min="9988" max="9988" width="10" style="52" customWidth="1"/>
    <col min="9989" max="9989" width="10.140625" style="52" customWidth="1"/>
    <col min="9990" max="9990" width="12.28515625" style="52" customWidth="1"/>
    <col min="9991" max="9991" width="16.28515625" style="52" customWidth="1"/>
    <col min="9992" max="9992" width="12.85546875" style="52" customWidth="1"/>
    <col min="9993" max="9993" width="12.7109375" style="52" customWidth="1"/>
    <col min="9994" max="9994" width="14.42578125" style="52" customWidth="1"/>
    <col min="9995" max="9995" width="13.5703125" style="52" customWidth="1"/>
    <col min="9996" max="10240" width="9.140625" style="52"/>
    <col min="10241" max="10241" width="2.7109375" style="52" customWidth="1"/>
    <col min="10242" max="10242" width="9.140625" style="52"/>
    <col min="10243" max="10243" width="40.28515625" style="52" bestFit="1" customWidth="1"/>
    <col min="10244" max="10244" width="10" style="52" customWidth="1"/>
    <col min="10245" max="10245" width="10.140625" style="52" customWidth="1"/>
    <col min="10246" max="10246" width="12.28515625" style="52" customWidth="1"/>
    <col min="10247" max="10247" width="16.28515625" style="52" customWidth="1"/>
    <col min="10248" max="10248" width="12.85546875" style="52" customWidth="1"/>
    <col min="10249" max="10249" width="12.7109375" style="52" customWidth="1"/>
    <col min="10250" max="10250" width="14.42578125" style="52" customWidth="1"/>
    <col min="10251" max="10251" width="13.5703125" style="52" customWidth="1"/>
    <col min="10252" max="10496" width="9.140625" style="52"/>
    <col min="10497" max="10497" width="2.7109375" style="52" customWidth="1"/>
    <col min="10498" max="10498" width="9.140625" style="52"/>
    <col min="10499" max="10499" width="40.28515625" style="52" bestFit="1" customWidth="1"/>
    <col min="10500" max="10500" width="10" style="52" customWidth="1"/>
    <col min="10501" max="10501" width="10.140625" style="52" customWidth="1"/>
    <col min="10502" max="10502" width="12.28515625" style="52" customWidth="1"/>
    <col min="10503" max="10503" width="16.28515625" style="52" customWidth="1"/>
    <col min="10504" max="10504" width="12.85546875" style="52" customWidth="1"/>
    <col min="10505" max="10505" width="12.7109375" style="52" customWidth="1"/>
    <col min="10506" max="10506" width="14.42578125" style="52" customWidth="1"/>
    <col min="10507" max="10507" width="13.5703125" style="52" customWidth="1"/>
    <col min="10508" max="10752" width="9.140625" style="52"/>
    <col min="10753" max="10753" width="2.7109375" style="52" customWidth="1"/>
    <col min="10754" max="10754" width="9.140625" style="52"/>
    <col min="10755" max="10755" width="40.28515625" style="52" bestFit="1" customWidth="1"/>
    <col min="10756" max="10756" width="10" style="52" customWidth="1"/>
    <col min="10757" max="10757" width="10.140625" style="52" customWidth="1"/>
    <col min="10758" max="10758" width="12.28515625" style="52" customWidth="1"/>
    <col min="10759" max="10759" width="16.28515625" style="52" customWidth="1"/>
    <col min="10760" max="10760" width="12.85546875" style="52" customWidth="1"/>
    <col min="10761" max="10761" width="12.7109375" style="52" customWidth="1"/>
    <col min="10762" max="10762" width="14.42578125" style="52" customWidth="1"/>
    <col min="10763" max="10763" width="13.5703125" style="52" customWidth="1"/>
    <col min="10764" max="11008" width="9.140625" style="52"/>
    <col min="11009" max="11009" width="2.7109375" style="52" customWidth="1"/>
    <col min="11010" max="11010" width="9.140625" style="52"/>
    <col min="11011" max="11011" width="40.28515625" style="52" bestFit="1" customWidth="1"/>
    <col min="11012" max="11012" width="10" style="52" customWidth="1"/>
    <col min="11013" max="11013" width="10.140625" style="52" customWidth="1"/>
    <col min="11014" max="11014" width="12.28515625" style="52" customWidth="1"/>
    <col min="11015" max="11015" width="16.28515625" style="52" customWidth="1"/>
    <col min="11016" max="11016" width="12.85546875" style="52" customWidth="1"/>
    <col min="11017" max="11017" width="12.7109375" style="52" customWidth="1"/>
    <col min="11018" max="11018" width="14.42578125" style="52" customWidth="1"/>
    <col min="11019" max="11019" width="13.5703125" style="52" customWidth="1"/>
    <col min="11020" max="11264" width="9.140625" style="52"/>
    <col min="11265" max="11265" width="2.7109375" style="52" customWidth="1"/>
    <col min="11266" max="11266" width="9.140625" style="52"/>
    <col min="11267" max="11267" width="40.28515625" style="52" bestFit="1" customWidth="1"/>
    <col min="11268" max="11268" width="10" style="52" customWidth="1"/>
    <col min="11269" max="11269" width="10.140625" style="52" customWidth="1"/>
    <col min="11270" max="11270" width="12.28515625" style="52" customWidth="1"/>
    <col min="11271" max="11271" width="16.28515625" style="52" customWidth="1"/>
    <col min="11272" max="11272" width="12.85546875" style="52" customWidth="1"/>
    <col min="11273" max="11273" width="12.7109375" style="52" customWidth="1"/>
    <col min="11274" max="11274" width="14.42578125" style="52" customWidth="1"/>
    <col min="11275" max="11275" width="13.5703125" style="52" customWidth="1"/>
    <col min="11276" max="11520" width="9.140625" style="52"/>
    <col min="11521" max="11521" width="2.7109375" style="52" customWidth="1"/>
    <col min="11522" max="11522" width="9.140625" style="52"/>
    <col min="11523" max="11523" width="40.28515625" style="52" bestFit="1" customWidth="1"/>
    <col min="11524" max="11524" width="10" style="52" customWidth="1"/>
    <col min="11525" max="11525" width="10.140625" style="52" customWidth="1"/>
    <col min="11526" max="11526" width="12.28515625" style="52" customWidth="1"/>
    <col min="11527" max="11527" width="16.28515625" style="52" customWidth="1"/>
    <col min="11528" max="11528" width="12.85546875" style="52" customWidth="1"/>
    <col min="11529" max="11529" width="12.7109375" style="52" customWidth="1"/>
    <col min="11530" max="11530" width="14.42578125" style="52" customWidth="1"/>
    <col min="11531" max="11531" width="13.5703125" style="52" customWidth="1"/>
    <col min="11532" max="11776" width="9.140625" style="52"/>
    <col min="11777" max="11777" width="2.7109375" style="52" customWidth="1"/>
    <col min="11778" max="11778" width="9.140625" style="52"/>
    <col min="11779" max="11779" width="40.28515625" style="52" bestFit="1" customWidth="1"/>
    <col min="11780" max="11780" width="10" style="52" customWidth="1"/>
    <col min="11781" max="11781" width="10.140625" style="52" customWidth="1"/>
    <col min="11782" max="11782" width="12.28515625" style="52" customWidth="1"/>
    <col min="11783" max="11783" width="16.28515625" style="52" customWidth="1"/>
    <col min="11784" max="11784" width="12.85546875" style="52" customWidth="1"/>
    <col min="11785" max="11785" width="12.7109375" style="52" customWidth="1"/>
    <col min="11786" max="11786" width="14.42578125" style="52" customWidth="1"/>
    <col min="11787" max="11787" width="13.5703125" style="52" customWidth="1"/>
    <col min="11788" max="12032" width="9.140625" style="52"/>
    <col min="12033" max="12033" width="2.7109375" style="52" customWidth="1"/>
    <col min="12034" max="12034" width="9.140625" style="52"/>
    <col min="12035" max="12035" width="40.28515625" style="52" bestFit="1" customWidth="1"/>
    <col min="12036" max="12036" width="10" style="52" customWidth="1"/>
    <col min="12037" max="12037" width="10.140625" style="52" customWidth="1"/>
    <col min="12038" max="12038" width="12.28515625" style="52" customWidth="1"/>
    <col min="12039" max="12039" width="16.28515625" style="52" customWidth="1"/>
    <col min="12040" max="12040" width="12.85546875" style="52" customWidth="1"/>
    <col min="12041" max="12041" width="12.7109375" style="52" customWidth="1"/>
    <col min="12042" max="12042" width="14.42578125" style="52" customWidth="1"/>
    <col min="12043" max="12043" width="13.5703125" style="52" customWidth="1"/>
    <col min="12044" max="12288" width="9.140625" style="52"/>
    <col min="12289" max="12289" width="2.7109375" style="52" customWidth="1"/>
    <col min="12290" max="12290" width="9.140625" style="52"/>
    <col min="12291" max="12291" width="40.28515625" style="52" bestFit="1" customWidth="1"/>
    <col min="12292" max="12292" width="10" style="52" customWidth="1"/>
    <col min="12293" max="12293" width="10.140625" style="52" customWidth="1"/>
    <col min="12294" max="12294" width="12.28515625" style="52" customWidth="1"/>
    <col min="12295" max="12295" width="16.28515625" style="52" customWidth="1"/>
    <col min="12296" max="12296" width="12.85546875" style="52" customWidth="1"/>
    <col min="12297" max="12297" width="12.7109375" style="52" customWidth="1"/>
    <col min="12298" max="12298" width="14.42578125" style="52" customWidth="1"/>
    <col min="12299" max="12299" width="13.5703125" style="52" customWidth="1"/>
    <col min="12300" max="12544" width="9.140625" style="52"/>
    <col min="12545" max="12545" width="2.7109375" style="52" customWidth="1"/>
    <col min="12546" max="12546" width="9.140625" style="52"/>
    <col min="12547" max="12547" width="40.28515625" style="52" bestFit="1" customWidth="1"/>
    <col min="12548" max="12548" width="10" style="52" customWidth="1"/>
    <col min="12549" max="12549" width="10.140625" style="52" customWidth="1"/>
    <col min="12550" max="12550" width="12.28515625" style="52" customWidth="1"/>
    <col min="12551" max="12551" width="16.28515625" style="52" customWidth="1"/>
    <col min="12552" max="12552" width="12.85546875" style="52" customWidth="1"/>
    <col min="12553" max="12553" width="12.7109375" style="52" customWidth="1"/>
    <col min="12554" max="12554" width="14.42578125" style="52" customWidth="1"/>
    <col min="12555" max="12555" width="13.5703125" style="52" customWidth="1"/>
    <col min="12556" max="12800" width="9.140625" style="52"/>
    <col min="12801" max="12801" width="2.7109375" style="52" customWidth="1"/>
    <col min="12802" max="12802" width="9.140625" style="52"/>
    <col min="12803" max="12803" width="40.28515625" style="52" bestFit="1" customWidth="1"/>
    <col min="12804" max="12804" width="10" style="52" customWidth="1"/>
    <col min="12805" max="12805" width="10.140625" style="52" customWidth="1"/>
    <col min="12806" max="12806" width="12.28515625" style="52" customWidth="1"/>
    <col min="12807" max="12807" width="16.28515625" style="52" customWidth="1"/>
    <col min="12808" max="12808" width="12.85546875" style="52" customWidth="1"/>
    <col min="12809" max="12809" width="12.7109375" style="52" customWidth="1"/>
    <col min="12810" max="12810" width="14.42578125" style="52" customWidth="1"/>
    <col min="12811" max="12811" width="13.5703125" style="52" customWidth="1"/>
    <col min="12812" max="13056" width="9.140625" style="52"/>
    <col min="13057" max="13057" width="2.7109375" style="52" customWidth="1"/>
    <col min="13058" max="13058" width="9.140625" style="52"/>
    <col min="13059" max="13059" width="40.28515625" style="52" bestFit="1" customWidth="1"/>
    <col min="13060" max="13060" width="10" style="52" customWidth="1"/>
    <col min="13061" max="13061" width="10.140625" style="52" customWidth="1"/>
    <col min="13062" max="13062" width="12.28515625" style="52" customWidth="1"/>
    <col min="13063" max="13063" width="16.28515625" style="52" customWidth="1"/>
    <col min="13064" max="13064" width="12.85546875" style="52" customWidth="1"/>
    <col min="13065" max="13065" width="12.7109375" style="52" customWidth="1"/>
    <col min="13066" max="13066" width="14.42578125" style="52" customWidth="1"/>
    <col min="13067" max="13067" width="13.5703125" style="52" customWidth="1"/>
    <col min="13068" max="13312" width="9.140625" style="52"/>
    <col min="13313" max="13313" width="2.7109375" style="52" customWidth="1"/>
    <col min="13314" max="13314" width="9.140625" style="52"/>
    <col min="13315" max="13315" width="40.28515625" style="52" bestFit="1" customWidth="1"/>
    <col min="13316" max="13316" width="10" style="52" customWidth="1"/>
    <col min="13317" max="13317" width="10.140625" style="52" customWidth="1"/>
    <col min="13318" max="13318" width="12.28515625" style="52" customWidth="1"/>
    <col min="13319" max="13319" width="16.28515625" style="52" customWidth="1"/>
    <col min="13320" max="13320" width="12.85546875" style="52" customWidth="1"/>
    <col min="13321" max="13321" width="12.7109375" style="52" customWidth="1"/>
    <col min="13322" max="13322" width="14.42578125" style="52" customWidth="1"/>
    <col min="13323" max="13323" width="13.5703125" style="52" customWidth="1"/>
    <col min="13324" max="13568" width="9.140625" style="52"/>
    <col min="13569" max="13569" width="2.7109375" style="52" customWidth="1"/>
    <col min="13570" max="13570" width="9.140625" style="52"/>
    <col min="13571" max="13571" width="40.28515625" style="52" bestFit="1" customWidth="1"/>
    <col min="13572" max="13572" width="10" style="52" customWidth="1"/>
    <col min="13573" max="13573" width="10.140625" style="52" customWidth="1"/>
    <col min="13574" max="13574" width="12.28515625" style="52" customWidth="1"/>
    <col min="13575" max="13575" width="16.28515625" style="52" customWidth="1"/>
    <col min="13576" max="13576" width="12.85546875" style="52" customWidth="1"/>
    <col min="13577" max="13577" width="12.7109375" style="52" customWidth="1"/>
    <col min="13578" max="13578" width="14.42578125" style="52" customWidth="1"/>
    <col min="13579" max="13579" width="13.5703125" style="52" customWidth="1"/>
    <col min="13580" max="13824" width="9.140625" style="52"/>
    <col min="13825" max="13825" width="2.7109375" style="52" customWidth="1"/>
    <col min="13826" max="13826" width="9.140625" style="52"/>
    <col min="13827" max="13827" width="40.28515625" style="52" bestFit="1" customWidth="1"/>
    <col min="13828" max="13828" width="10" style="52" customWidth="1"/>
    <col min="13829" max="13829" width="10.140625" style="52" customWidth="1"/>
    <col min="13830" max="13830" width="12.28515625" style="52" customWidth="1"/>
    <col min="13831" max="13831" width="16.28515625" style="52" customWidth="1"/>
    <col min="13832" max="13832" width="12.85546875" style="52" customWidth="1"/>
    <col min="13833" max="13833" width="12.7109375" style="52" customWidth="1"/>
    <col min="13834" max="13834" width="14.42578125" style="52" customWidth="1"/>
    <col min="13835" max="13835" width="13.5703125" style="52" customWidth="1"/>
    <col min="13836" max="14080" width="9.140625" style="52"/>
    <col min="14081" max="14081" width="2.7109375" style="52" customWidth="1"/>
    <col min="14082" max="14082" width="9.140625" style="52"/>
    <col min="14083" max="14083" width="40.28515625" style="52" bestFit="1" customWidth="1"/>
    <col min="14084" max="14084" width="10" style="52" customWidth="1"/>
    <col min="14085" max="14085" width="10.140625" style="52" customWidth="1"/>
    <col min="14086" max="14086" width="12.28515625" style="52" customWidth="1"/>
    <col min="14087" max="14087" width="16.28515625" style="52" customWidth="1"/>
    <col min="14088" max="14088" width="12.85546875" style="52" customWidth="1"/>
    <col min="14089" max="14089" width="12.7109375" style="52" customWidth="1"/>
    <col min="14090" max="14090" width="14.42578125" style="52" customWidth="1"/>
    <col min="14091" max="14091" width="13.5703125" style="52" customWidth="1"/>
    <col min="14092" max="14336" width="9.140625" style="52"/>
    <col min="14337" max="14337" width="2.7109375" style="52" customWidth="1"/>
    <col min="14338" max="14338" width="9.140625" style="52"/>
    <col min="14339" max="14339" width="40.28515625" style="52" bestFit="1" customWidth="1"/>
    <col min="14340" max="14340" width="10" style="52" customWidth="1"/>
    <col min="14341" max="14341" width="10.140625" style="52" customWidth="1"/>
    <col min="14342" max="14342" width="12.28515625" style="52" customWidth="1"/>
    <col min="14343" max="14343" width="16.28515625" style="52" customWidth="1"/>
    <col min="14344" max="14344" width="12.85546875" style="52" customWidth="1"/>
    <col min="14345" max="14345" width="12.7109375" style="52" customWidth="1"/>
    <col min="14346" max="14346" width="14.42578125" style="52" customWidth="1"/>
    <col min="14347" max="14347" width="13.5703125" style="52" customWidth="1"/>
    <col min="14348" max="14592" width="9.140625" style="52"/>
    <col min="14593" max="14593" width="2.7109375" style="52" customWidth="1"/>
    <col min="14594" max="14594" width="9.140625" style="52"/>
    <col min="14595" max="14595" width="40.28515625" style="52" bestFit="1" customWidth="1"/>
    <col min="14596" max="14596" width="10" style="52" customWidth="1"/>
    <col min="14597" max="14597" width="10.140625" style="52" customWidth="1"/>
    <col min="14598" max="14598" width="12.28515625" style="52" customWidth="1"/>
    <col min="14599" max="14599" width="16.28515625" style="52" customWidth="1"/>
    <col min="14600" max="14600" width="12.85546875" style="52" customWidth="1"/>
    <col min="14601" max="14601" width="12.7109375" style="52" customWidth="1"/>
    <col min="14602" max="14602" width="14.42578125" style="52" customWidth="1"/>
    <col min="14603" max="14603" width="13.5703125" style="52" customWidth="1"/>
    <col min="14604" max="14848" width="9.140625" style="52"/>
    <col min="14849" max="14849" width="2.7109375" style="52" customWidth="1"/>
    <col min="14850" max="14850" width="9.140625" style="52"/>
    <col min="14851" max="14851" width="40.28515625" style="52" bestFit="1" customWidth="1"/>
    <col min="14852" max="14852" width="10" style="52" customWidth="1"/>
    <col min="14853" max="14853" width="10.140625" style="52" customWidth="1"/>
    <col min="14854" max="14854" width="12.28515625" style="52" customWidth="1"/>
    <col min="14855" max="14855" width="16.28515625" style="52" customWidth="1"/>
    <col min="14856" max="14856" width="12.85546875" style="52" customWidth="1"/>
    <col min="14857" max="14857" width="12.7109375" style="52" customWidth="1"/>
    <col min="14858" max="14858" width="14.42578125" style="52" customWidth="1"/>
    <col min="14859" max="14859" width="13.5703125" style="52" customWidth="1"/>
    <col min="14860" max="15104" width="9.140625" style="52"/>
    <col min="15105" max="15105" width="2.7109375" style="52" customWidth="1"/>
    <col min="15106" max="15106" width="9.140625" style="52"/>
    <col min="15107" max="15107" width="40.28515625" style="52" bestFit="1" customWidth="1"/>
    <col min="15108" max="15108" width="10" style="52" customWidth="1"/>
    <col min="15109" max="15109" width="10.140625" style="52" customWidth="1"/>
    <col min="15110" max="15110" width="12.28515625" style="52" customWidth="1"/>
    <col min="15111" max="15111" width="16.28515625" style="52" customWidth="1"/>
    <col min="15112" max="15112" width="12.85546875" style="52" customWidth="1"/>
    <col min="15113" max="15113" width="12.7109375" style="52" customWidth="1"/>
    <col min="15114" max="15114" width="14.42578125" style="52" customWidth="1"/>
    <col min="15115" max="15115" width="13.5703125" style="52" customWidth="1"/>
    <col min="15116" max="15360" width="9.140625" style="52"/>
    <col min="15361" max="15361" width="2.7109375" style="52" customWidth="1"/>
    <col min="15362" max="15362" width="9.140625" style="52"/>
    <col min="15363" max="15363" width="40.28515625" style="52" bestFit="1" customWidth="1"/>
    <col min="15364" max="15364" width="10" style="52" customWidth="1"/>
    <col min="15365" max="15365" width="10.140625" style="52" customWidth="1"/>
    <col min="15366" max="15366" width="12.28515625" style="52" customWidth="1"/>
    <col min="15367" max="15367" width="16.28515625" style="52" customWidth="1"/>
    <col min="15368" max="15368" width="12.85546875" style="52" customWidth="1"/>
    <col min="15369" max="15369" width="12.7109375" style="52" customWidth="1"/>
    <col min="15370" max="15370" width="14.42578125" style="52" customWidth="1"/>
    <col min="15371" max="15371" width="13.5703125" style="52" customWidth="1"/>
    <col min="15372" max="15616" width="9.140625" style="52"/>
    <col min="15617" max="15617" width="2.7109375" style="52" customWidth="1"/>
    <col min="15618" max="15618" width="9.140625" style="52"/>
    <col min="15619" max="15619" width="40.28515625" style="52" bestFit="1" customWidth="1"/>
    <col min="15620" max="15620" width="10" style="52" customWidth="1"/>
    <col min="15621" max="15621" width="10.140625" style="52" customWidth="1"/>
    <col min="15622" max="15622" width="12.28515625" style="52" customWidth="1"/>
    <col min="15623" max="15623" width="16.28515625" style="52" customWidth="1"/>
    <col min="15624" max="15624" width="12.85546875" style="52" customWidth="1"/>
    <col min="15625" max="15625" width="12.7109375" style="52" customWidth="1"/>
    <col min="15626" max="15626" width="14.42578125" style="52" customWidth="1"/>
    <col min="15627" max="15627" width="13.5703125" style="52" customWidth="1"/>
    <col min="15628" max="15872" width="9.140625" style="52"/>
    <col min="15873" max="15873" width="2.7109375" style="52" customWidth="1"/>
    <col min="15874" max="15874" width="9.140625" style="52"/>
    <col min="15875" max="15875" width="40.28515625" style="52" bestFit="1" customWidth="1"/>
    <col min="15876" max="15876" width="10" style="52" customWidth="1"/>
    <col min="15877" max="15877" width="10.140625" style="52" customWidth="1"/>
    <col min="15878" max="15878" width="12.28515625" style="52" customWidth="1"/>
    <col min="15879" max="15879" width="16.28515625" style="52" customWidth="1"/>
    <col min="15880" max="15880" width="12.85546875" style="52" customWidth="1"/>
    <col min="15881" max="15881" width="12.7109375" style="52" customWidth="1"/>
    <col min="15882" max="15882" width="14.42578125" style="52" customWidth="1"/>
    <col min="15883" max="15883" width="13.5703125" style="52" customWidth="1"/>
    <col min="15884" max="16128" width="9.140625" style="52"/>
    <col min="16129" max="16129" width="2.7109375" style="52" customWidth="1"/>
    <col min="16130" max="16130" width="9.140625" style="52"/>
    <col min="16131" max="16131" width="40.28515625" style="52" bestFit="1" customWidth="1"/>
    <col min="16132" max="16132" width="10" style="52" customWidth="1"/>
    <col min="16133" max="16133" width="10.140625" style="52" customWidth="1"/>
    <col min="16134" max="16134" width="12.28515625" style="52" customWidth="1"/>
    <col min="16135" max="16135" width="16.28515625" style="52" customWidth="1"/>
    <col min="16136" max="16136" width="12.85546875" style="52" customWidth="1"/>
    <col min="16137" max="16137" width="12.7109375" style="52" customWidth="1"/>
    <col min="16138" max="16138" width="14.42578125" style="52" customWidth="1"/>
    <col min="16139" max="16139" width="13.5703125" style="52" customWidth="1"/>
    <col min="16140" max="16384" width="9.140625" style="52"/>
  </cols>
  <sheetData>
    <row r="1" spans="1:15" x14ac:dyDescent="0.2">
      <c r="D1" s="154"/>
      <c r="E1" s="155"/>
      <c r="F1" s="155"/>
      <c r="G1" s="155"/>
      <c r="H1" s="155"/>
      <c r="J1" s="152" t="s">
        <v>301</v>
      </c>
      <c r="K1" s="1092" t="str">
        <f>EBNUMBER</f>
        <v>EB-2016-0066</v>
      </c>
      <c r="L1" s="155"/>
    </row>
    <row r="2" spans="1:15" x14ac:dyDescent="0.2">
      <c r="D2" s="154"/>
      <c r="E2" s="155"/>
      <c r="F2" s="155"/>
      <c r="G2" s="155"/>
      <c r="H2" s="155"/>
      <c r="J2" s="152" t="s">
        <v>302</v>
      </c>
      <c r="K2" s="51"/>
      <c r="L2" s="155"/>
    </row>
    <row r="3" spans="1:15" x14ac:dyDescent="0.2">
      <c r="D3" s="154"/>
      <c r="E3" s="155"/>
      <c r="F3" s="155"/>
      <c r="G3" s="155"/>
      <c r="H3" s="155"/>
      <c r="J3" s="152" t="s">
        <v>303</v>
      </c>
      <c r="K3" s="51"/>
      <c r="L3" s="155"/>
    </row>
    <row r="4" spans="1:15" x14ac:dyDescent="0.2">
      <c r="D4" s="154"/>
      <c r="E4" s="155"/>
      <c r="F4" s="155"/>
      <c r="G4" s="155"/>
      <c r="H4" s="155"/>
      <c r="J4" s="152" t="s">
        <v>304</v>
      </c>
      <c r="K4" s="51"/>
      <c r="L4" s="155"/>
    </row>
    <row r="5" spans="1:15" x14ac:dyDescent="0.2">
      <c r="D5" s="154"/>
      <c r="E5" s="155"/>
      <c r="F5" s="155"/>
      <c r="G5" s="155"/>
      <c r="H5" s="155"/>
      <c r="J5" s="152" t="s">
        <v>305</v>
      </c>
      <c r="K5" s="1093"/>
      <c r="L5" s="155"/>
    </row>
    <row r="6" spans="1:15" x14ac:dyDescent="0.2">
      <c r="D6" s="154"/>
      <c r="E6" s="155"/>
      <c r="F6" s="155"/>
      <c r="G6" s="155"/>
      <c r="H6" s="155"/>
      <c r="J6" s="152"/>
      <c r="K6" s="1092"/>
      <c r="L6" s="155"/>
    </row>
    <row r="7" spans="1:15" x14ac:dyDescent="0.2">
      <c r="D7" s="154"/>
      <c r="E7" s="155"/>
      <c r="F7" s="155"/>
      <c r="G7" s="155"/>
      <c r="H7" s="239"/>
      <c r="J7" s="152" t="s">
        <v>306</v>
      </c>
      <c r="K7" s="1093"/>
      <c r="L7" s="239"/>
    </row>
    <row r="9" spans="1:15" ht="18" x14ac:dyDescent="0.2">
      <c r="A9" s="1609" t="s">
        <v>1442</v>
      </c>
      <c r="B9" s="1609"/>
      <c r="C9" s="1609"/>
      <c r="D9" s="1609"/>
      <c r="E9" s="1609"/>
      <c r="F9" s="1609"/>
      <c r="G9" s="1609"/>
      <c r="H9" s="1609"/>
      <c r="I9" s="1609"/>
      <c r="J9" s="1609"/>
      <c r="K9" s="1609"/>
    </row>
    <row r="10" spans="1:15" ht="18" x14ac:dyDescent="0.2">
      <c r="A10" s="1609" t="s">
        <v>2</v>
      </c>
      <c r="B10" s="1609"/>
      <c r="C10" s="1609"/>
      <c r="D10" s="1609"/>
      <c r="E10" s="1609"/>
      <c r="F10" s="1609"/>
      <c r="G10" s="1609"/>
      <c r="H10" s="1609"/>
      <c r="I10" s="1609"/>
      <c r="J10" s="1609"/>
      <c r="K10" s="1609"/>
    </row>
    <row r="11" spans="1:15" ht="24" customHeight="1" x14ac:dyDescent="0.2">
      <c r="A11" s="1680" t="s">
        <v>1051</v>
      </c>
      <c r="B11" s="1680"/>
      <c r="C11" s="1680"/>
      <c r="D11" s="1680"/>
      <c r="E11" s="1680"/>
      <c r="F11" s="1680"/>
      <c r="G11" s="1680"/>
      <c r="H11" s="1680"/>
      <c r="I11" s="1680"/>
      <c r="J11" s="1680"/>
      <c r="K11" s="1680"/>
      <c r="L11" s="295"/>
      <c r="M11" s="295"/>
      <c r="N11" s="295"/>
      <c r="O11" s="295"/>
    </row>
    <row r="12" spans="1:15" ht="24" customHeight="1" x14ac:dyDescent="0.2">
      <c r="A12" s="1108"/>
      <c r="B12" s="1108"/>
      <c r="C12" s="1108"/>
      <c r="D12" s="1108"/>
      <c r="E12" s="1108"/>
      <c r="F12" s="1108"/>
      <c r="G12" s="1108"/>
      <c r="H12" s="1108"/>
      <c r="I12" s="1108"/>
      <c r="J12" s="1108"/>
      <c r="K12" s="1108"/>
      <c r="L12" s="295"/>
      <c r="M12" s="295"/>
      <c r="N12" s="295"/>
      <c r="O12" s="295"/>
    </row>
    <row r="13" spans="1:15" ht="39.75" customHeight="1" x14ac:dyDescent="0.25">
      <c r="A13" s="1700" t="s">
        <v>1042</v>
      </c>
      <c r="B13" s="1701"/>
      <c r="C13" s="878"/>
      <c r="D13" s="1115"/>
      <c r="E13" s="1110"/>
      <c r="F13" s="1110"/>
      <c r="G13" s="1110"/>
      <c r="H13" s="1109"/>
      <c r="I13" s="1109"/>
      <c r="J13" s="1122" t="s">
        <v>1057</v>
      </c>
      <c r="K13" s="1116" t="s">
        <v>882</v>
      </c>
      <c r="M13" s="1120"/>
      <c r="N13" s="1102"/>
      <c r="O13" s="1102"/>
    </row>
    <row r="14" spans="1:15" ht="39.75" customHeight="1" x14ac:dyDescent="0.25">
      <c r="A14" s="1693" t="s">
        <v>1101</v>
      </c>
      <c r="B14" s="1694"/>
      <c r="C14" s="1682" t="s">
        <v>1076</v>
      </c>
      <c r="D14" s="1652"/>
      <c r="E14" s="1652"/>
      <c r="F14" s="1652"/>
      <c r="G14" s="1652"/>
      <c r="H14" s="1652"/>
      <c r="I14" s="1652"/>
      <c r="J14" s="1118">
        <v>2013</v>
      </c>
      <c r="K14" s="185" t="s">
        <v>891</v>
      </c>
      <c r="L14" s="159"/>
      <c r="M14" s="1121"/>
      <c r="N14" s="1102"/>
      <c r="O14" s="1102"/>
    </row>
    <row r="15" spans="1:15" ht="39" customHeight="1" x14ac:dyDescent="0.2">
      <c r="A15" s="1693" t="s">
        <v>1102</v>
      </c>
      <c r="B15" s="1694"/>
      <c r="C15" s="1682" t="s">
        <v>1077</v>
      </c>
      <c r="D15" s="1652"/>
      <c r="E15" s="1652"/>
      <c r="F15" s="1652"/>
      <c r="G15" s="1652"/>
      <c r="H15" s="1652"/>
      <c r="I15" s="1652"/>
      <c r="J15" s="1118">
        <v>2014</v>
      </c>
      <c r="K15" s="185" t="s">
        <v>891</v>
      </c>
      <c r="L15" s="159"/>
      <c r="M15" s="1121"/>
      <c r="N15" s="331"/>
      <c r="O15" s="331"/>
    </row>
    <row r="16" spans="1:15" ht="15" x14ac:dyDescent="0.2">
      <c r="A16" s="859"/>
      <c r="B16" s="859"/>
      <c r="C16" s="1111"/>
      <c r="D16" s="1111"/>
      <c r="E16" s="1111"/>
      <c r="F16" s="1111"/>
      <c r="G16" s="1111"/>
      <c r="H16" s="1111"/>
      <c r="I16" s="1111"/>
      <c r="J16" s="1111"/>
      <c r="K16" s="1119"/>
      <c r="L16" s="159"/>
      <c r="M16" s="1121"/>
      <c r="N16" s="331"/>
      <c r="O16" s="331"/>
    </row>
    <row r="17" spans="1:11" ht="13.5" thickBot="1" x14ac:dyDescent="0.25"/>
    <row r="18" spans="1:11" ht="52.5" customHeight="1" x14ac:dyDescent="0.2">
      <c r="A18" s="1685" t="s">
        <v>3</v>
      </c>
      <c r="B18" s="1687" t="s">
        <v>235</v>
      </c>
      <c r="C18" s="245" t="s">
        <v>237</v>
      </c>
      <c r="D18" s="245" t="s">
        <v>395</v>
      </c>
      <c r="E18" s="245" t="s">
        <v>385</v>
      </c>
      <c r="F18" s="277" t="s">
        <v>1052</v>
      </c>
      <c r="G18" s="1697" t="s">
        <v>1054</v>
      </c>
      <c r="H18" s="277" t="s">
        <v>388</v>
      </c>
      <c r="I18" s="277" t="s">
        <v>1047</v>
      </c>
      <c r="J18" s="1697" t="s">
        <v>1088</v>
      </c>
      <c r="K18" s="277" t="s">
        <v>1055</v>
      </c>
    </row>
    <row r="19" spans="1:11" ht="54" customHeight="1" thickBot="1" x14ac:dyDescent="0.25">
      <c r="A19" s="1695"/>
      <c r="B19" s="1696"/>
      <c r="C19" s="278" t="s">
        <v>5</v>
      </c>
      <c r="D19" s="278" t="s">
        <v>7</v>
      </c>
      <c r="E19" s="278" t="s">
        <v>8</v>
      </c>
      <c r="F19" s="296" t="s">
        <v>1053</v>
      </c>
      <c r="G19" s="1698"/>
      <c r="H19" s="281" t="s">
        <v>382</v>
      </c>
      <c r="I19" s="281" t="s">
        <v>396</v>
      </c>
      <c r="J19" s="1699"/>
      <c r="K19" s="297" t="s">
        <v>1056</v>
      </c>
    </row>
    <row r="20" spans="1:11" ht="25.5" x14ac:dyDescent="0.2">
      <c r="A20" s="1058">
        <v>1611</v>
      </c>
      <c r="B20" s="172" t="s">
        <v>381</v>
      </c>
      <c r="C20" s="173"/>
      <c r="D20" s="298"/>
      <c r="E20" s="299">
        <f t="shared" ref="E20:E57" si="0">IF(D20=0,0,1/D20)</f>
        <v>0</v>
      </c>
      <c r="F20" s="191">
        <f>IF(D20=0,+'App.2-CB_NewCGAAP_DepExp_Yr1'!O20,+'App.2-CB_NewCGAAP_DepExp_Yr1'!O20+((C20*0.5)/D20))</f>
        <v>0</v>
      </c>
      <c r="G20" s="173"/>
      <c r="H20" s="191">
        <f t="shared" ref="H20:H57" si="1">IF(ISERROR(+F20-G20), 0, +F20-G20)</f>
        <v>0</v>
      </c>
      <c r="I20" s="191">
        <f t="shared" ref="I20:I57" si="2">IF(D20=0,0,+(C20)/D20)</f>
        <v>0</v>
      </c>
      <c r="J20" s="173"/>
      <c r="K20" s="191">
        <f>IF(ISERROR(+I20+'App.2-CB_NewCGAAP_DepExp_Yr1'!O20-J20), 0, +I20+'App.2-CB_NewCGAAP_DepExp_Yr1'!O20-J20)</f>
        <v>0</v>
      </c>
    </row>
    <row r="21" spans="1:11" ht="25.5" x14ac:dyDescent="0.2">
      <c r="A21" s="1058">
        <v>1612</v>
      </c>
      <c r="B21" s="172" t="s">
        <v>442</v>
      </c>
      <c r="C21" s="173"/>
      <c r="D21" s="250"/>
      <c r="E21" s="251">
        <f t="shared" si="0"/>
        <v>0</v>
      </c>
      <c r="F21" s="191">
        <f>IF(D21=0,+'App.2-CB_NewCGAAP_DepExp_Yr1'!O21,+'App.2-CB_NewCGAAP_DepExp_Yr1'!O21+((C21*0.5)/D21))</f>
        <v>0</v>
      </c>
      <c r="G21" s="173"/>
      <c r="H21" s="191">
        <f t="shared" si="1"/>
        <v>0</v>
      </c>
      <c r="I21" s="191">
        <f t="shared" si="2"/>
        <v>0</v>
      </c>
      <c r="J21" s="173"/>
      <c r="K21" s="191">
        <f>IF(ISERROR(+I21+'App.2-CB_NewCGAAP_DepExp_Yr1'!O21-J21), 0, +I21+'App.2-CB_NewCGAAP_DepExp_Yr1'!O21-J21)</f>
        <v>0</v>
      </c>
    </row>
    <row r="22" spans="1:11" x14ac:dyDescent="0.2">
      <c r="A22" s="178">
        <v>1805</v>
      </c>
      <c r="B22" s="179" t="s">
        <v>267</v>
      </c>
      <c r="C22" s="173"/>
      <c r="D22" s="250"/>
      <c r="E22" s="251">
        <f t="shared" si="0"/>
        <v>0</v>
      </c>
      <c r="F22" s="191">
        <f>IF(D22=0,+'App.2-CB_NewCGAAP_DepExp_Yr1'!O22,+'App.2-CB_NewCGAAP_DepExp_Yr1'!O22+((C22*0.5)/D22))</f>
        <v>0</v>
      </c>
      <c r="G22" s="173"/>
      <c r="H22" s="191">
        <f t="shared" si="1"/>
        <v>0</v>
      </c>
      <c r="I22" s="191">
        <f t="shared" si="2"/>
        <v>0</v>
      </c>
      <c r="J22" s="173"/>
      <c r="K22" s="191">
        <f>IF(ISERROR(+I22+'App.2-CB_NewCGAAP_DepExp_Yr1'!O22-J22), 0, +I22+'App.2-CB_NewCGAAP_DepExp_Yr1'!O22-J22)</f>
        <v>0</v>
      </c>
    </row>
    <row r="23" spans="1:11" x14ac:dyDescent="0.2">
      <c r="A23" s="1058">
        <v>1808</v>
      </c>
      <c r="B23" s="180" t="s">
        <v>268</v>
      </c>
      <c r="C23" s="173"/>
      <c r="D23" s="250"/>
      <c r="E23" s="251">
        <f t="shared" si="0"/>
        <v>0</v>
      </c>
      <c r="F23" s="191">
        <f>IF(D23=0,+'App.2-CB_NewCGAAP_DepExp_Yr1'!O23,+'App.2-CB_NewCGAAP_DepExp_Yr1'!O23+((C23*0.5)/D23))</f>
        <v>0</v>
      </c>
      <c r="G23" s="173"/>
      <c r="H23" s="191">
        <f t="shared" si="1"/>
        <v>0</v>
      </c>
      <c r="I23" s="191">
        <f t="shared" si="2"/>
        <v>0</v>
      </c>
      <c r="J23" s="173"/>
      <c r="K23" s="191">
        <f>IF(ISERROR(+I23+'App.2-CB_NewCGAAP_DepExp_Yr1'!O23-J23), 0, +I23+'App.2-CB_NewCGAAP_DepExp_Yr1'!O23-J23)</f>
        <v>0</v>
      </c>
    </row>
    <row r="24" spans="1:11" x14ac:dyDescent="0.2">
      <c r="A24" s="1058">
        <v>1810</v>
      </c>
      <c r="B24" s="180" t="s">
        <v>299</v>
      </c>
      <c r="C24" s="173"/>
      <c r="D24" s="250"/>
      <c r="E24" s="251">
        <f t="shared" si="0"/>
        <v>0</v>
      </c>
      <c r="F24" s="191">
        <f>IF(D24=0,+'App.2-CB_NewCGAAP_DepExp_Yr1'!O24,+'App.2-CB_NewCGAAP_DepExp_Yr1'!O24+((C24*0.5)/D24))</f>
        <v>0</v>
      </c>
      <c r="G24" s="173"/>
      <c r="H24" s="191">
        <f t="shared" si="1"/>
        <v>0</v>
      </c>
      <c r="I24" s="191">
        <f t="shared" si="2"/>
        <v>0</v>
      </c>
      <c r="J24" s="173"/>
      <c r="K24" s="191">
        <f>IF(ISERROR(+I24+'App.2-CB_NewCGAAP_DepExp_Yr1'!O24-J24), 0, +I24+'App.2-CB_NewCGAAP_DepExp_Yr1'!O24-J24)</f>
        <v>0</v>
      </c>
    </row>
    <row r="25" spans="1:11" x14ac:dyDescent="0.2">
      <c r="A25" s="1058">
        <v>1815</v>
      </c>
      <c r="B25" s="180" t="s">
        <v>269</v>
      </c>
      <c r="C25" s="173"/>
      <c r="D25" s="250"/>
      <c r="E25" s="251">
        <f t="shared" si="0"/>
        <v>0</v>
      </c>
      <c r="F25" s="191">
        <f>IF(D25=0,+'App.2-CB_NewCGAAP_DepExp_Yr1'!O25,+'App.2-CB_NewCGAAP_DepExp_Yr1'!O25+((C25*0.5)/D25))</f>
        <v>0</v>
      </c>
      <c r="G25" s="173"/>
      <c r="H25" s="191">
        <f t="shared" si="1"/>
        <v>0</v>
      </c>
      <c r="I25" s="191">
        <f t="shared" si="2"/>
        <v>0</v>
      </c>
      <c r="J25" s="173"/>
      <c r="K25" s="191">
        <f>IF(ISERROR(+I25+'App.2-CB_NewCGAAP_DepExp_Yr1'!O25-J25), 0, +I25+'App.2-CB_NewCGAAP_DepExp_Yr1'!O25-J25)</f>
        <v>0</v>
      </c>
    </row>
    <row r="26" spans="1:11" x14ac:dyDescent="0.2">
      <c r="A26" s="1058">
        <v>1820</v>
      </c>
      <c r="B26" s="172" t="s">
        <v>207</v>
      </c>
      <c r="C26" s="173"/>
      <c r="D26" s="250"/>
      <c r="E26" s="251">
        <f t="shared" si="0"/>
        <v>0</v>
      </c>
      <c r="F26" s="191">
        <f>IF(D26=0,+'App.2-CB_NewCGAAP_DepExp_Yr1'!O26,+'App.2-CB_NewCGAAP_DepExp_Yr1'!O26+((C26*0.5)/D26))</f>
        <v>0</v>
      </c>
      <c r="G26" s="173"/>
      <c r="H26" s="191">
        <f t="shared" si="1"/>
        <v>0</v>
      </c>
      <c r="I26" s="191">
        <f t="shared" si="2"/>
        <v>0</v>
      </c>
      <c r="J26" s="173"/>
      <c r="K26" s="191">
        <f>IF(ISERROR(+I26+'App.2-CB_NewCGAAP_DepExp_Yr1'!O26-J26), 0, +I26+'App.2-CB_NewCGAAP_DepExp_Yr1'!O26-J26)</f>
        <v>0</v>
      </c>
    </row>
    <row r="27" spans="1:11" x14ac:dyDescent="0.2">
      <c r="A27" s="1058">
        <v>1825</v>
      </c>
      <c r="B27" s="180" t="s">
        <v>270</v>
      </c>
      <c r="C27" s="173"/>
      <c r="D27" s="250"/>
      <c r="E27" s="251">
        <f t="shared" si="0"/>
        <v>0</v>
      </c>
      <c r="F27" s="191">
        <f>IF(D27=0,+'App.2-CB_NewCGAAP_DepExp_Yr1'!O27,+'App.2-CB_NewCGAAP_DepExp_Yr1'!O27+((C27*0.5)/D27))</f>
        <v>0</v>
      </c>
      <c r="G27" s="173"/>
      <c r="H27" s="191">
        <f t="shared" si="1"/>
        <v>0</v>
      </c>
      <c r="I27" s="191">
        <f t="shared" si="2"/>
        <v>0</v>
      </c>
      <c r="J27" s="173"/>
      <c r="K27" s="191">
        <f>IF(ISERROR(+I27+'App.2-CB_NewCGAAP_DepExp_Yr1'!O27-J27), 0, +I27+'App.2-CB_NewCGAAP_DepExp_Yr1'!O27-J27)</f>
        <v>0</v>
      </c>
    </row>
    <row r="28" spans="1:11" x14ac:dyDescent="0.2">
      <c r="A28" s="1058">
        <v>1830</v>
      </c>
      <c r="B28" s="180" t="s">
        <v>271</v>
      </c>
      <c r="C28" s="173"/>
      <c r="D28" s="250"/>
      <c r="E28" s="251">
        <f t="shared" si="0"/>
        <v>0</v>
      </c>
      <c r="F28" s="191">
        <f>IF(D28=0,+'App.2-CB_NewCGAAP_DepExp_Yr1'!O28,+'App.2-CB_NewCGAAP_DepExp_Yr1'!O28+((C28*0.5)/D28))</f>
        <v>0</v>
      </c>
      <c r="G28" s="173"/>
      <c r="H28" s="191">
        <f t="shared" si="1"/>
        <v>0</v>
      </c>
      <c r="I28" s="191">
        <f t="shared" si="2"/>
        <v>0</v>
      </c>
      <c r="J28" s="173"/>
      <c r="K28" s="191">
        <f>IF(ISERROR(+I28+'App.2-CB_NewCGAAP_DepExp_Yr1'!O28-J28), 0, +I28+'App.2-CB_NewCGAAP_DepExp_Yr1'!O28-J28)</f>
        <v>0</v>
      </c>
    </row>
    <row r="29" spans="1:11" x14ac:dyDescent="0.2">
      <c r="A29" s="1058">
        <v>1835</v>
      </c>
      <c r="B29" s="180" t="s">
        <v>208</v>
      </c>
      <c r="C29" s="173"/>
      <c r="D29" s="250"/>
      <c r="E29" s="251">
        <f t="shared" si="0"/>
        <v>0</v>
      </c>
      <c r="F29" s="191">
        <f>IF(D29=0,+'App.2-CB_NewCGAAP_DepExp_Yr1'!O29,+'App.2-CB_NewCGAAP_DepExp_Yr1'!O29+((C29*0.5)/D29))</f>
        <v>0</v>
      </c>
      <c r="G29" s="173"/>
      <c r="H29" s="191">
        <f t="shared" si="1"/>
        <v>0</v>
      </c>
      <c r="I29" s="191">
        <f t="shared" si="2"/>
        <v>0</v>
      </c>
      <c r="J29" s="173"/>
      <c r="K29" s="191">
        <f>IF(ISERROR(+I29+'App.2-CB_NewCGAAP_DepExp_Yr1'!O29-J29), 0, +I29+'App.2-CB_NewCGAAP_DepExp_Yr1'!O29-J29)</f>
        <v>0</v>
      </c>
    </row>
    <row r="30" spans="1:11" x14ac:dyDescent="0.2">
      <c r="A30" s="1058">
        <v>1840</v>
      </c>
      <c r="B30" s="180" t="s">
        <v>209</v>
      </c>
      <c r="C30" s="173"/>
      <c r="D30" s="250"/>
      <c r="E30" s="251">
        <f t="shared" si="0"/>
        <v>0</v>
      </c>
      <c r="F30" s="191">
        <f>IF(D30=0,+'App.2-CB_NewCGAAP_DepExp_Yr1'!O30,+'App.2-CB_NewCGAAP_DepExp_Yr1'!O30+((C30*0.5)/D30))</f>
        <v>0</v>
      </c>
      <c r="G30" s="173"/>
      <c r="H30" s="191">
        <f t="shared" si="1"/>
        <v>0</v>
      </c>
      <c r="I30" s="191">
        <f t="shared" si="2"/>
        <v>0</v>
      </c>
      <c r="J30" s="173"/>
      <c r="K30" s="191">
        <f>IF(ISERROR(+I30+'App.2-CB_NewCGAAP_DepExp_Yr1'!O30-J30), 0, +I30+'App.2-CB_NewCGAAP_DepExp_Yr1'!O30-J30)</f>
        <v>0</v>
      </c>
    </row>
    <row r="31" spans="1:11" x14ac:dyDescent="0.2">
      <c r="A31" s="1058">
        <v>1845</v>
      </c>
      <c r="B31" s="180" t="s">
        <v>210</v>
      </c>
      <c r="C31" s="173"/>
      <c r="D31" s="250"/>
      <c r="E31" s="251">
        <f t="shared" si="0"/>
        <v>0</v>
      </c>
      <c r="F31" s="191">
        <f>IF(D31=0,+'App.2-CB_NewCGAAP_DepExp_Yr1'!O31,+'App.2-CB_NewCGAAP_DepExp_Yr1'!O31+((C31*0.5)/D31))</f>
        <v>0</v>
      </c>
      <c r="G31" s="173"/>
      <c r="H31" s="191">
        <f t="shared" si="1"/>
        <v>0</v>
      </c>
      <c r="I31" s="191">
        <f t="shared" si="2"/>
        <v>0</v>
      </c>
      <c r="J31" s="173"/>
      <c r="K31" s="191">
        <f>IF(ISERROR(+I31+'App.2-CB_NewCGAAP_DepExp_Yr1'!O31-J31), 0, +I31+'App.2-CB_NewCGAAP_DepExp_Yr1'!O31-J31)</f>
        <v>0</v>
      </c>
    </row>
    <row r="32" spans="1:11" x14ac:dyDescent="0.2">
      <c r="A32" s="1058">
        <v>1850</v>
      </c>
      <c r="B32" s="180" t="s">
        <v>272</v>
      </c>
      <c r="C32" s="173"/>
      <c r="D32" s="250"/>
      <c r="E32" s="251">
        <f t="shared" si="0"/>
        <v>0</v>
      </c>
      <c r="F32" s="191">
        <f>IF(D32=0,+'App.2-CB_NewCGAAP_DepExp_Yr1'!O32,+'App.2-CB_NewCGAAP_DepExp_Yr1'!O32+((C32*0.5)/D32))</f>
        <v>0</v>
      </c>
      <c r="G32" s="173"/>
      <c r="H32" s="191">
        <f t="shared" si="1"/>
        <v>0</v>
      </c>
      <c r="I32" s="191">
        <f t="shared" si="2"/>
        <v>0</v>
      </c>
      <c r="J32" s="173"/>
      <c r="K32" s="191">
        <f>IF(ISERROR(+I32+'App.2-CB_NewCGAAP_DepExp_Yr1'!O32-J32), 0, +I32+'App.2-CB_NewCGAAP_DepExp_Yr1'!O32-J32)</f>
        <v>0</v>
      </c>
    </row>
    <row r="33" spans="1:11" x14ac:dyDescent="0.2">
      <c r="A33" s="1058">
        <v>1855</v>
      </c>
      <c r="B33" s="180" t="s">
        <v>211</v>
      </c>
      <c r="C33" s="173"/>
      <c r="D33" s="250"/>
      <c r="E33" s="251">
        <f t="shared" si="0"/>
        <v>0</v>
      </c>
      <c r="F33" s="191">
        <f>IF(D33=0,+'App.2-CB_NewCGAAP_DepExp_Yr1'!O33,+'App.2-CB_NewCGAAP_DepExp_Yr1'!O33+((C33*0.5)/D33))</f>
        <v>0</v>
      </c>
      <c r="G33" s="173"/>
      <c r="H33" s="191">
        <f t="shared" si="1"/>
        <v>0</v>
      </c>
      <c r="I33" s="191">
        <f t="shared" si="2"/>
        <v>0</v>
      </c>
      <c r="J33" s="173"/>
      <c r="K33" s="191">
        <f>IF(ISERROR(+I33+'App.2-CB_NewCGAAP_DepExp_Yr1'!O33-J33), 0, +I33+'App.2-CB_NewCGAAP_DepExp_Yr1'!O33-J33)</f>
        <v>0</v>
      </c>
    </row>
    <row r="34" spans="1:11" x14ac:dyDescent="0.2">
      <c r="A34" s="1058">
        <v>1860</v>
      </c>
      <c r="B34" s="180" t="s">
        <v>273</v>
      </c>
      <c r="C34" s="173"/>
      <c r="D34" s="250"/>
      <c r="E34" s="251">
        <f t="shared" si="0"/>
        <v>0</v>
      </c>
      <c r="F34" s="191">
        <f>IF(D34=0,+'App.2-CB_NewCGAAP_DepExp_Yr1'!O34,+'App.2-CB_NewCGAAP_DepExp_Yr1'!O34+((C34*0.5)/D34))</f>
        <v>0</v>
      </c>
      <c r="G34" s="173"/>
      <c r="H34" s="191">
        <f t="shared" si="1"/>
        <v>0</v>
      </c>
      <c r="I34" s="191">
        <f t="shared" si="2"/>
        <v>0</v>
      </c>
      <c r="J34" s="173"/>
      <c r="K34" s="191">
        <f>IF(ISERROR(+I34+'App.2-CB_NewCGAAP_DepExp_Yr1'!O34-J34), 0, +I34+'App.2-CB_NewCGAAP_DepExp_Yr1'!O34-J34)</f>
        <v>0</v>
      </c>
    </row>
    <row r="35" spans="1:11" x14ac:dyDescent="0.2">
      <c r="A35" s="178">
        <v>1860</v>
      </c>
      <c r="B35" s="179" t="s">
        <v>212</v>
      </c>
      <c r="C35" s="173"/>
      <c r="D35" s="250"/>
      <c r="E35" s="251">
        <f t="shared" si="0"/>
        <v>0</v>
      </c>
      <c r="F35" s="191">
        <f>IF(D35=0,+'App.2-CB_NewCGAAP_DepExp_Yr1'!O35,+'App.2-CB_NewCGAAP_DepExp_Yr1'!O35+((C35*0.5)/D35))</f>
        <v>0</v>
      </c>
      <c r="G35" s="173"/>
      <c r="H35" s="191">
        <f t="shared" si="1"/>
        <v>0</v>
      </c>
      <c r="I35" s="191">
        <f t="shared" si="2"/>
        <v>0</v>
      </c>
      <c r="J35" s="173"/>
      <c r="K35" s="191">
        <f>IF(ISERROR(+I35+'App.2-CB_NewCGAAP_DepExp_Yr1'!O35-J35), 0, +I35+'App.2-CB_NewCGAAP_DepExp_Yr1'!O35-J35)</f>
        <v>0</v>
      </c>
    </row>
    <row r="36" spans="1:11" x14ac:dyDescent="0.2">
      <c r="A36" s="178">
        <v>1905</v>
      </c>
      <c r="B36" s="179" t="s">
        <v>267</v>
      </c>
      <c r="C36" s="173"/>
      <c r="D36" s="250"/>
      <c r="E36" s="251">
        <f t="shared" si="0"/>
        <v>0</v>
      </c>
      <c r="F36" s="191">
        <f>IF(D36=0,+'App.2-CB_NewCGAAP_DepExp_Yr1'!O36,+'App.2-CB_NewCGAAP_DepExp_Yr1'!O36+((C36*0.5)/D36))</f>
        <v>0</v>
      </c>
      <c r="G36" s="173"/>
      <c r="H36" s="191">
        <f t="shared" si="1"/>
        <v>0</v>
      </c>
      <c r="I36" s="191">
        <f t="shared" si="2"/>
        <v>0</v>
      </c>
      <c r="J36" s="173"/>
      <c r="K36" s="191">
        <f>IF(ISERROR(+I36+'App.2-CB_NewCGAAP_DepExp_Yr1'!O36-J36), 0, +I36+'App.2-CB_NewCGAAP_DepExp_Yr1'!O36-J36)</f>
        <v>0</v>
      </c>
    </row>
    <row r="37" spans="1:11" x14ac:dyDescent="0.2">
      <c r="A37" s="1058">
        <v>1908</v>
      </c>
      <c r="B37" s="180" t="s">
        <v>275</v>
      </c>
      <c r="C37" s="173"/>
      <c r="D37" s="250"/>
      <c r="E37" s="251">
        <f t="shared" si="0"/>
        <v>0</v>
      </c>
      <c r="F37" s="191">
        <f>IF(D37=0,+'App.2-CB_NewCGAAP_DepExp_Yr1'!O37,+'App.2-CB_NewCGAAP_DepExp_Yr1'!O37+((C37*0.5)/D37))</f>
        <v>0</v>
      </c>
      <c r="G37" s="173"/>
      <c r="H37" s="191">
        <f t="shared" si="1"/>
        <v>0</v>
      </c>
      <c r="I37" s="191">
        <f t="shared" si="2"/>
        <v>0</v>
      </c>
      <c r="J37" s="173"/>
      <c r="K37" s="191">
        <f>IF(ISERROR(+I37+'App.2-CB_NewCGAAP_DepExp_Yr1'!O37-J37), 0, +I37+'App.2-CB_NewCGAAP_DepExp_Yr1'!O37-J37)</f>
        <v>0</v>
      </c>
    </row>
    <row r="38" spans="1:11" x14ac:dyDescent="0.2">
      <c r="A38" s="1058">
        <v>1910</v>
      </c>
      <c r="B38" s="180" t="s">
        <v>299</v>
      </c>
      <c r="C38" s="173"/>
      <c r="D38" s="250"/>
      <c r="E38" s="251">
        <f t="shared" si="0"/>
        <v>0</v>
      </c>
      <c r="F38" s="191">
        <f>IF(D38=0,+'App.2-CB_NewCGAAP_DepExp_Yr1'!O38,+'App.2-CB_NewCGAAP_DepExp_Yr1'!O38+((C38*0.5)/D38))</f>
        <v>0</v>
      </c>
      <c r="G38" s="173"/>
      <c r="H38" s="191">
        <f t="shared" si="1"/>
        <v>0</v>
      </c>
      <c r="I38" s="191">
        <f t="shared" si="2"/>
        <v>0</v>
      </c>
      <c r="J38" s="173"/>
      <c r="K38" s="191">
        <f>IF(ISERROR(+I38+'App.2-CB_NewCGAAP_DepExp_Yr1'!O38-J38), 0, +I38+'App.2-CB_NewCGAAP_DepExp_Yr1'!O38-J38)</f>
        <v>0</v>
      </c>
    </row>
    <row r="39" spans="1:11" x14ac:dyDescent="0.2">
      <c r="A39" s="1058">
        <v>1915</v>
      </c>
      <c r="B39" s="180" t="s">
        <v>213</v>
      </c>
      <c r="C39" s="173"/>
      <c r="D39" s="250"/>
      <c r="E39" s="251">
        <f t="shared" si="0"/>
        <v>0</v>
      </c>
      <c r="F39" s="191">
        <f>IF(D39=0,+'App.2-CB_NewCGAAP_DepExp_Yr1'!O39,+'App.2-CB_NewCGAAP_DepExp_Yr1'!O39+((C39*0.5)/D39))</f>
        <v>0</v>
      </c>
      <c r="G39" s="173"/>
      <c r="H39" s="191">
        <f t="shared" si="1"/>
        <v>0</v>
      </c>
      <c r="I39" s="191">
        <f t="shared" si="2"/>
        <v>0</v>
      </c>
      <c r="J39" s="173"/>
      <c r="K39" s="191">
        <f>IF(ISERROR(+I39+'App.2-CB_NewCGAAP_DepExp_Yr1'!O39-J39), 0, +I39+'App.2-CB_NewCGAAP_DepExp_Yr1'!O39-J39)</f>
        <v>0</v>
      </c>
    </row>
    <row r="40" spans="1:11" x14ac:dyDescent="0.2">
      <c r="A40" s="1058">
        <v>1915</v>
      </c>
      <c r="B40" s="180" t="s">
        <v>214</v>
      </c>
      <c r="C40" s="173"/>
      <c r="D40" s="250"/>
      <c r="E40" s="251">
        <f t="shared" si="0"/>
        <v>0</v>
      </c>
      <c r="F40" s="191">
        <f>IF(D40=0,+'App.2-CB_NewCGAAP_DepExp_Yr1'!O40,+'App.2-CB_NewCGAAP_DepExp_Yr1'!O40+((C40*0.5)/D40))</f>
        <v>0</v>
      </c>
      <c r="G40" s="173"/>
      <c r="H40" s="191">
        <f t="shared" si="1"/>
        <v>0</v>
      </c>
      <c r="I40" s="191">
        <f t="shared" si="2"/>
        <v>0</v>
      </c>
      <c r="J40" s="173"/>
      <c r="K40" s="191">
        <f>IF(ISERROR(+I40+'App.2-CB_NewCGAAP_DepExp_Yr1'!O40-J40), 0, +I40+'App.2-CB_NewCGAAP_DepExp_Yr1'!O40-J40)</f>
        <v>0</v>
      </c>
    </row>
    <row r="41" spans="1:11" x14ac:dyDescent="0.2">
      <c r="A41" s="1058">
        <v>1920</v>
      </c>
      <c r="B41" s="180" t="s">
        <v>215</v>
      </c>
      <c r="C41" s="173"/>
      <c r="D41" s="250"/>
      <c r="E41" s="251">
        <f t="shared" si="0"/>
        <v>0</v>
      </c>
      <c r="F41" s="191">
        <f>IF(D41=0,+'App.2-CB_NewCGAAP_DepExp_Yr1'!O41,+'App.2-CB_NewCGAAP_DepExp_Yr1'!O41+((C41*0.5)/D41))</f>
        <v>0</v>
      </c>
      <c r="G41" s="173"/>
      <c r="H41" s="191">
        <f t="shared" si="1"/>
        <v>0</v>
      </c>
      <c r="I41" s="191">
        <f t="shared" si="2"/>
        <v>0</v>
      </c>
      <c r="J41" s="173"/>
      <c r="K41" s="191">
        <f>IF(ISERROR(+I41+'App.2-CB_NewCGAAP_DepExp_Yr1'!O41-J41), 0, +I41+'App.2-CB_NewCGAAP_DepExp_Yr1'!O41-J41)</f>
        <v>0</v>
      </c>
    </row>
    <row r="42" spans="1:11" x14ac:dyDescent="0.2">
      <c r="A42" s="185">
        <v>1920</v>
      </c>
      <c r="B42" s="172" t="s">
        <v>217</v>
      </c>
      <c r="C42" s="173"/>
      <c r="D42" s="250"/>
      <c r="E42" s="251">
        <f t="shared" si="0"/>
        <v>0</v>
      </c>
      <c r="F42" s="191">
        <f>IF(D42=0,+'App.2-CB_NewCGAAP_DepExp_Yr1'!O42,+'App.2-CB_NewCGAAP_DepExp_Yr1'!O42+((C42*0.5)/D42))</f>
        <v>0</v>
      </c>
      <c r="G42" s="173"/>
      <c r="H42" s="191">
        <f t="shared" si="1"/>
        <v>0</v>
      </c>
      <c r="I42" s="191">
        <f t="shared" si="2"/>
        <v>0</v>
      </c>
      <c r="J42" s="173"/>
      <c r="K42" s="191">
        <f>IF(ISERROR(+I42+'App.2-CB_NewCGAAP_DepExp_Yr1'!O42-J42), 0, +I42+'App.2-CB_NewCGAAP_DepExp_Yr1'!O42-J42)</f>
        <v>0</v>
      </c>
    </row>
    <row r="43" spans="1:11" x14ac:dyDescent="0.2">
      <c r="A43" s="185">
        <v>1920</v>
      </c>
      <c r="B43" s="172" t="s">
        <v>216</v>
      </c>
      <c r="C43" s="173"/>
      <c r="D43" s="250"/>
      <c r="E43" s="251">
        <f t="shared" si="0"/>
        <v>0</v>
      </c>
      <c r="F43" s="191">
        <f>IF(D43=0,+'App.2-CB_NewCGAAP_DepExp_Yr1'!O43,+'App.2-CB_NewCGAAP_DepExp_Yr1'!O43+((C43*0.5)/D43))</f>
        <v>0</v>
      </c>
      <c r="G43" s="173"/>
      <c r="H43" s="191">
        <f t="shared" si="1"/>
        <v>0</v>
      </c>
      <c r="I43" s="191">
        <f t="shared" si="2"/>
        <v>0</v>
      </c>
      <c r="J43" s="173"/>
      <c r="K43" s="191">
        <f>IF(ISERROR(+I43+'App.2-CB_NewCGAAP_DepExp_Yr1'!O43-J43), 0, +I43+'App.2-CB_NewCGAAP_DepExp_Yr1'!O43-J43)</f>
        <v>0</v>
      </c>
    </row>
    <row r="44" spans="1:11" x14ac:dyDescent="0.2">
      <c r="A44" s="1058">
        <v>1930</v>
      </c>
      <c r="B44" s="180" t="s">
        <v>286</v>
      </c>
      <c r="C44" s="173"/>
      <c r="D44" s="250"/>
      <c r="E44" s="251">
        <f t="shared" si="0"/>
        <v>0</v>
      </c>
      <c r="F44" s="191">
        <f>IF(D44=0,+'App.2-CB_NewCGAAP_DepExp_Yr1'!O44,+'App.2-CB_NewCGAAP_DepExp_Yr1'!O44+((C44*0.5)/D44))</f>
        <v>0</v>
      </c>
      <c r="G44" s="173"/>
      <c r="H44" s="191">
        <f t="shared" si="1"/>
        <v>0</v>
      </c>
      <c r="I44" s="191">
        <f t="shared" si="2"/>
        <v>0</v>
      </c>
      <c r="J44" s="173"/>
      <c r="K44" s="191">
        <f>IF(ISERROR(+I44+'App.2-CB_NewCGAAP_DepExp_Yr1'!O44-J44), 0, +I44+'App.2-CB_NewCGAAP_DepExp_Yr1'!O44-J44)</f>
        <v>0</v>
      </c>
    </row>
    <row r="45" spans="1:11" x14ac:dyDescent="0.2">
      <c r="A45" s="1058">
        <v>1935</v>
      </c>
      <c r="B45" s="180" t="s">
        <v>287</v>
      </c>
      <c r="C45" s="173"/>
      <c r="D45" s="250"/>
      <c r="E45" s="251">
        <f t="shared" si="0"/>
        <v>0</v>
      </c>
      <c r="F45" s="191">
        <f>IF(D45=0,+'App.2-CB_NewCGAAP_DepExp_Yr1'!O45,+'App.2-CB_NewCGAAP_DepExp_Yr1'!O45+((C45*0.5)/D45))</f>
        <v>0</v>
      </c>
      <c r="G45" s="173"/>
      <c r="H45" s="191">
        <f t="shared" si="1"/>
        <v>0</v>
      </c>
      <c r="I45" s="191">
        <f t="shared" si="2"/>
        <v>0</v>
      </c>
      <c r="J45" s="173"/>
      <c r="K45" s="191">
        <f>IF(ISERROR(+I45+'App.2-CB_NewCGAAP_DepExp_Yr1'!O45-J45), 0, +I45+'App.2-CB_NewCGAAP_DepExp_Yr1'!O45-J45)</f>
        <v>0</v>
      </c>
    </row>
    <row r="46" spans="1:11" x14ac:dyDescent="0.2">
      <c r="A46" s="1058">
        <v>1940</v>
      </c>
      <c r="B46" s="180" t="s">
        <v>288</v>
      </c>
      <c r="C46" s="173"/>
      <c r="D46" s="250"/>
      <c r="E46" s="251">
        <f t="shared" si="0"/>
        <v>0</v>
      </c>
      <c r="F46" s="191">
        <f>IF(D46=0,+'App.2-CB_NewCGAAP_DepExp_Yr1'!O46,+'App.2-CB_NewCGAAP_DepExp_Yr1'!O46+((C46*0.5)/D46))</f>
        <v>0</v>
      </c>
      <c r="G46" s="173"/>
      <c r="H46" s="191">
        <f t="shared" si="1"/>
        <v>0</v>
      </c>
      <c r="I46" s="191">
        <f t="shared" si="2"/>
        <v>0</v>
      </c>
      <c r="J46" s="173"/>
      <c r="K46" s="191">
        <f>IF(ISERROR(+I46+'App.2-CB_NewCGAAP_DepExp_Yr1'!O46-J46), 0, +I46+'App.2-CB_NewCGAAP_DepExp_Yr1'!O46-J46)</f>
        <v>0</v>
      </c>
    </row>
    <row r="47" spans="1:11" x14ac:dyDescent="0.2">
      <c r="A47" s="1058">
        <v>1945</v>
      </c>
      <c r="B47" s="180" t="s">
        <v>289</v>
      </c>
      <c r="C47" s="173"/>
      <c r="D47" s="250"/>
      <c r="E47" s="251">
        <f t="shared" si="0"/>
        <v>0</v>
      </c>
      <c r="F47" s="191">
        <f>IF(D47=0,+'App.2-CB_NewCGAAP_DepExp_Yr1'!O47,+'App.2-CB_NewCGAAP_DepExp_Yr1'!O47+((C47*0.5)/D47))</f>
        <v>0</v>
      </c>
      <c r="G47" s="173"/>
      <c r="H47" s="191">
        <f t="shared" si="1"/>
        <v>0</v>
      </c>
      <c r="I47" s="191">
        <f t="shared" si="2"/>
        <v>0</v>
      </c>
      <c r="J47" s="173"/>
      <c r="K47" s="191">
        <f>IF(ISERROR(+I47+'App.2-CB_NewCGAAP_DepExp_Yr1'!O47-J47), 0, +I47+'App.2-CB_NewCGAAP_DepExp_Yr1'!O47-J47)</f>
        <v>0</v>
      </c>
    </row>
    <row r="48" spans="1:11" x14ac:dyDescent="0.2">
      <c r="A48" s="1058">
        <v>1950</v>
      </c>
      <c r="B48" s="180" t="s">
        <v>218</v>
      </c>
      <c r="C48" s="173"/>
      <c r="D48" s="250"/>
      <c r="E48" s="251">
        <f t="shared" si="0"/>
        <v>0</v>
      </c>
      <c r="F48" s="191">
        <f>IF(D48=0,+'App.2-CB_NewCGAAP_DepExp_Yr1'!O48,+'App.2-CB_NewCGAAP_DepExp_Yr1'!O48+((C48*0.5)/D48))</f>
        <v>0</v>
      </c>
      <c r="G48" s="173"/>
      <c r="H48" s="191">
        <f t="shared" si="1"/>
        <v>0</v>
      </c>
      <c r="I48" s="191">
        <f t="shared" si="2"/>
        <v>0</v>
      </c>
      <c r="J48" s="173"/>
      <c r="K48" s="191">
        <f>IF(ISERROR(+I48+'App.2-CB_NewCGAAP_DepExp_Yr1'!O48-J48), 0, +I48+'App.2-CB_NewCGAAP_DepExp_Yr1'!O48-J48)</f>
        <v>0</v>
      </c>
    </row>
    <row r="49" spans="1:15" x14ac:dyDescent="0.2">
      <c r="A49" s="1058">
        <v>1955</v>
      </c>
      <c r="B49" s="180" t="s">
        <v>290</v>
      </c>
      <c r="C49" s="173"/>
      <c r="D49" s="250"/>
      <c r="E49" s="251">
        <f t="shared" si="0"/>
        <v>0</v>
      </c>
      <c r="F49" s="191">
        <f>IF(D49=0,+'App.2-CB_NewCGAAP_DepExp_Yr1'!O49,+'App.2-CB_NewCGAAP_DepExp_Yr1'!O49+((C49*0.5)/D49))</f>
        <v>0</v>
      </c>
      <c r="G49" s="173"/>
      <c r="H49" s="191">
        <f t="shared" si="1"/>
        <v>0</v>
      </c>
      <c r="I49" s="191">
        <f t="shared" si="2"/>
        <v>0</v>
      </c>
      <c r="J49" s="173"/>
      <c r="K49" s="191">
        <f>IF(ISERROR(+I49+'App.2-CB_NewCGAAP_DepExp_Yr1'!O49-J49), 0, +I49+'App.2-CB_NewCGAAP_DepExp_Yr1'!O49-J49)</f>
        <v>0</v>
      </c>
    </row>
    <row r="50" spans="1:15" x14ac:dyDescent="0.2">
      <c r="A50" s="181">
        <v>1955</v>
      </c>
      <c r="B50" s="184" t="s">
        <v>219</v>
      </c>
      <c r="C50" s="173"/>
      <c r="D50" s="250"/>
      <c r="E50" s="251">
        <f t="shared" si="0"/>
        <v>0</v>
      </c>
      <c r="F50" s="191">
        <f>IF(D50=0,+'App.2-CB_NewCGAAP_DepExp_Yr1'!O50,+'App.2-CB_NewCGAAP_DepExp_Yr1'!O50+((C50*0.5)/D50))</f>
        <v>0</v>
      </c>
      <c r="G50" s="173"/>
      <c r="H50" s="191">
        <f t="shared" si="1"/>
        <v>0</v>
      </c>
      <c r="I50" s="191">
        <f t="shared" si="2"/>
        <v>0</v>
      </c>
      <c r="J50" s="173"/>
      <c r="K50" s="191">
        <f>IF(ISERROR(+I50+'App.2-CB_NewCGAAP_DepExp_Yr1'!O50-J50), 0, +I50+'App.2-CB_NewCGAAP_DepExp_Yr1'!O50-J50)</f>
        <v>0</v>
      </c>
    </row>
    <row r="51" spans="1:15" x14ac:dyDescent="0.2">
      <c r="A51" s="185">
        <v>1960</v>
      </c>
      <c r="B51" s="172" t="s">
        <v>220</v>
      </c>
      <c r="C51" s="173"/>
      <c r="D51" s="250"/>
      <c r="E51" s="251">
        <f t="shared" si="0"/>
        <v>0</v>
      </c>
      <c r="F51" s="191">
        <f>IF(D51=0,+'App.2-CB_NewCGAAP_DepExp_Yr1'!O51,+'App.2-CB_NewCGAAP_DepExp_Yr1'!O51+((C51*0.5)/D51))</f>
        <v>0</v>
      </c>
      <c r="G51" s="173"/>
      <c r="H51" s="191">
        <f t="shared" si="1"/>
        <v>0</v>
      </c>
      <c r="I51" s="191">
        <f t="shared" si="2"/>
        <v>0</v>
      </c>
      <c r="J51" s="173"/>
      <c r="K51" s="191">
        <f>IF(ISERROR(+I51+'App.2-CB_NewCGAAP_DepExp_Yr1'!O51-J51), 0, +I51+'App.2-CB_NewCGAAP_DepExp_Yr1'!O51-J51)</f>
        <v>0</v>
      </c>
    </row>
    <row r="52" spans="1:15" x14ac:dyDescent="0.2">
      <c r="A52" s="181">
        <v>1970</v>
      </c>
      <c r="B52" s="256" t="s">
        <v>501</v>
      </c>
      <c r="C52" s="173"/>
      <c r="D52" s="250"/>
      <c r="E52" s="251">
        <f t="shared" si="0"/>
        <v>0</v>
      </c>
      <c r="F52" s="191">
        <f>IF(D52=0,+'App.2-CB_NewCGAAP_DepExp_Yr1'!O52,+'App.2-CB_NewCGAAP_DepExp_Yr1'!O52+((C52*0.5)/D52))</f>
        <v>0</v>
      </c>
      <c r="G52" s="173"/>
      <c r="H52" s="191">
        <f t="shared" si="1"/>
        <v>0</v>
      </c>
      <c r="I52" s="191">
        <f t="shared" si="2"/>
        <v>0</v>
      </c>
      <c r="J52" s="173"/>
      <c r="K52" s="191">
        <f>IF(ISERROR(+I52+'App.2-CB_NewCGAAP_DepExp_Yr1'!O52-J52), 0, +I52+'App.2-CB_NewCGAAP_DepExp_Yr1'!O52-J52)</f>
        <v>0</v>
      </c>
    </row>
    <row r="53" spans="1:15" x14ac:dyDescent="0.2">
      <c r="A53" s="1058">
        <v>1975</v>
      </c>
      <c r="B53" s="180" t="s">
        <v>291</v>
      </c>
      <c r="C53" s="173"/>
      <c r="D53" s="250"/>
      <c r="E53" s="251">
        <f t="shared" si="0"/>
        <v>0</v>
      </c>
      <c r="F53" s="191">
        <f>IF(D53=0,+'App.2-CB_NewCGAAP_DepExp_Yr1'!O53,+'App.2-CB_NewCGAAP_DepExp_Yr1'!O53+((C53*0.5)/D53))</f>
        <v>0</v>
      </c>
      <c r="G53" s="173"/>
      <c r="H53" s="191">
        <f t="shared" si="1"/>
        <v>0</v>
      </c>
      <c r="I53" s="191">
        <f t="shared" si="2"/>
        <v>0</v>
      </c>
      <c r="J53" s="173"/>
      <c r="K53" s="191">
        <f>IF(ISERROR(+I53+'App.2-CB_NewCGAAP_DepExp_Yr1'!O53-J53), 0, +I53+'App.2-CB_NewCGAAP_DepExp_Yr1'!O53-J53)</f>
        <v>0</v>
      </c>
    </row>
    <row r="54" spans="1:15" x14ac:dyDescent="0.2">
      <c r="A54" s="1058">
        <v>1980</v>
      </c>
      <c r="B54" s="180" t="s">
        <v>292</v>
      </c>
      <c r="C54" s="173"/>
      <c r="D54" s="250"/>
      <c r="E54" s="251">
        <f t="shared" si="0"/>
        <v>0</v>
      </c>
      <c r="F54" s="191">
        <f>IF(D54=0,+'App.2-CB_NewCGAAP_DepExp_Yr1'!O54,+'App.2-CB_NewCGAAP_DepExp_Yr1'!O54+((C54*0.5)/D54))</f>
        <v>0</v>
      </c>
      <c r="G54" s="173"/>
      <c r="H54" s="191">
        <f t="shared" si="1"/>
        <v>0</v>
      </c>
      <c r="I54" s="191">
        <f t="shared" si="2"/>
        <v>0</v>
      </c>
      <c r="J54" s="173"/>
      <c r="K54" s="191">
        <f>IF(ISERROR(+I54+'App.2-CB_NewCGAAP_DepExp_Yr1'!O54-J54), 0, +I54+'App.2-CB_NewCGAAP_DepExp_Yr1'!O54-J54)</f>
        <v>0</v>
      </c>
    </row>
    <row r="55" spans="1:15" x14ac:dyDescent="0.2">
      <c r="A55" s="1058">
        <v>1985</v>
      </c>
      <c r="B55" s="180" t="s">
        <v>293</v>
      </c>
      <c r="C55" s="173"/>
      <c r="D55" s="250"/>
      <c r="E55" s="251">
        <f t="shared" si="0"/>
        <v>0</v>
      </c>
      <c r="F55" s="191">
        <f>IF(D55=0,+'App.2-CB_NewCGAAP_DepExp_Yr1'!O55,+'App.2-CB_NewCGAAP_DepExp_Yr1'!O55+((C55*0.5)/D55))</f>
        <v>0</v>
      </c>
      <c r="G55" s="173"/>
      <c r="H55" s="191">
        <f t="shared" si="1"/>
        <v>0</v>
      </c>
      <c r="I55" s="191">
        <f t="shared" si="2"/>
        <v>0</v>
      </c>
      <c r="J55" s="173"/>
      <c r="K55" s="191">
        <f>IF(ISERROR(+I55+'App.2-CB_NewCGAAP_DepExp_Yr1'!O55-J55), 0, +I55+'App.2-CB_NewCGAAP_DepExp_Yr1'!O55-J55)</f>
        <v>0</v>
      </c>
    </row>
    <row r="56" spans="1:15" x14ac:dyDescent="0.2">
      <c r="A56" s="1058">
        <v>1990</v>
      </c>
      <c r="B56" s="1061" t="s">
        <v>502</v>
      </c>
      <c r="C56" s="173"/>
      <c r="D56" s="250"/>
      <c r="E56" s="251">
        <f t="shared" si="0"/>
        <v>0</v>
      </c>
      <c r="F56" s="191">
        <f>IF(D56=0,+'App.2-CB_NewCGAAP_DepExp_Yr1'!O56,+'App.2-CB_NewCGAAP_DepExp_Yr1'!O56+((C56*0.5)/D56))</f>
        <v>0</v>
      </c>
      <c r="G56" s="173"/>
      <c r="H56" s="191">
        <f t="shared" si="1"/>
        <v>0</v>
      </c>
      <c r="I56" s="191">
        <f t="shared" si="2"/>
        <v>0</v>
      </c>
      <c r="J56" s="173"/>
      <c r="K56" s="191">
        <f>IF(ISERROR(+I56+'App.2-CB_NewCGAAP_DepExp_Yr1'!O56-J56), 0, +I56+'App.2-CB_NewCGAAP_DepExp_Yr1'!O56-J56)</f>
        <v>0</v>
      </c>
    </row>
    <row r="57" spans="1:15" ht="13.5" thickBot="1" x14ac:dyDescent="0.25">
      <c r="A57" s="1058">
        <v>1995</v>
      </c>
      <c r="B57" s="180" t="s">
        <v>294</v>
      </c>
      <c r="C57" s="173"/>
      <c r="D57" s="250"/>
      <c r="E57" s="251">
        <f t="shared" si="0"/>
        <v>0</v>
      </c>
      <c r="F57" s="191">
        <f>IF(D57=0,+'App.2-CB_NewCGAAP_DepExp_Yr1'!O57,+'App.2-CB_NewCGAAP_DepExp_Yr1'!O57+((C57*0.5)/D57))</f>
        <v>0</v>
      </c>
      <c r="G57" s="173"/>
      <c r="H57" s="191">
        <f t="shared" si="1"/>
        <v>0</v>
      </c>
      <c r="I57" s="191">
        <f t="shared" si="2"/>
        <v>0</v>
      </c>
      <c r="J57" s="173"/>
      <c r="K57" s="191">
        <f>IF(ISERROR(+I57+'App.2-CB_NewCGAAP_DepExp_Yr1'!O57-J57), 0, +I57+'App.2-CB_NewCGAAP_DepExp_Yr1'!O57-J57)</f>
        <v>0</v>
      </c>
    </row>
    <row r="58" spans="1:15" ht="14.25" thickTop="1" thickBot="1" x14ac:dyDescent="0.25">
      <c r="A58" s="300"/>
      <c r="B58" s="301" t="s">
        <v>295</v>
      </c>
      <c r="C58" s="302">
        <f>SUM(C20:C57)</f>
        <v>0</v>
      </c>
      <c r="D58" s="287"/>
      <c r="E58" s="303"/>
      <c r="F58" s="191">
        <f t="shared" ref="F58:K58" si="3">SUM(F20:F57)</f>
        <v>0</v>
      </c>
      <c r="G58" s="191">
        <f t="shared" si="3"/>
        <v>0</v>
      </c>
      <c r="H58" s="191">
        <f t="shared" si="3"/>
        <v>0</v>
      </c>
      <c r="I58" s="191">
        <f t="shared" si="3"/>
        <v>0</v>
      </c>
      <c r="J58" s="191">
        <f t="shared" si="3"/>
        <v>0</v>
      </c>
      <c r="K58" s="191">
        <f t="shared" si="3"/>
        <v>0</v>
      </c>
    </row>
    <row r="59" spans="1:15" x14ac:dyDescent="0.2">
      <c r="A59" s="289"/>
      <c r="B59" s="290"/>
      <c r="C59" s="291"/>
      <c r="D59" s="292"/>
      <c r="E59" s="304"/>
      <c r="F59" s="291"/>
      <c r="G59" s="291"/>
      <c r="H59" s="291"/>
      <c r="I59" s="291"/>
      <c r="J59" s="291"/>
      <c r="K59" s="291"/>
    </row>
    <row r="60" spans="1:15" x14ac:dyDescent="0.2">
      <c r="A60" s="152" t="s">
        <v>11</v>
      </c>
      <c r="H60" s="56"/>
    </row>
    <row r="61" spans="1:15" ht="27" customHeight="1" x14ac:dyDescent="0.2">
      <c r="A61" s="305">
        <v>1</v>
      </c>
      <c r="B61" s="1593" t="s">
        <v>424</v>
      </c>
      <c r="C61" s="1593"/>
      <c r="D61" s="1593"/>
      <c r="E61" s="1593"/>
      <c r="F61" s="1593"/>
      <c r="G61" s="1593"/>
      <c r="H61" s="1593"/>
      <c r="I61" s="1593"/>
      <c r="J61" s="1593"/>
      <c r="K61" s="1593"/>
    </row>
    <row r="62" spans="1:15" x14ac:dyDescent="0.2">
      <c r="A62" s="305">
        <v>2</v>
      </c>
      <c r="B62" s="1593" t="s">
        <v>865</v>
      </c>
      <c r="C62" s="1593"/>
      <c r="D62" s="1593"/>
      <c r="E62" s="1593"/>
      <c r="F62" s="1593"/>
      <c r="G62" s="1593"/>
      <c r="H62" s="1593"/>
      <c r="I62" s="1593"/>
      <c r="J62" s="1593"/>
      <c r="K62" s="1593"/>
    </row>
    <row r="63" spans="1:15" ht="27.75" customHeight="1" x14ac:dyDescent="0.2">
      <c r="A63" s="270">
        <v>3</v>
      </c>
      <c r="B63" s="1590" t="s">
        <v>481</v>
      </c>
      <c r="C63" s="1590"/>
      <c r="D63" s="1590"/>
      <c r="E63" s="1590"/>
      <c r="F63" s="1590"/>
      <c r="G63" s="1590"/>
      <c r="H63" s="1590"/>
      <c r="I63" s="1590"/>
      <c r="J63" s="1590"/>
      <c r="K63" s="1590"/>
      <c r="L63" s="1066"/>
      <c r="M63" s="1066"/>
      <c r="N63" s="1066"/>
      <c r="O63" s="1066"/>
    </row>
    <row r="64" spans="1:15" ht="13.5" customHeight="1" x14ac:dyDescent="0.2">
      <c r="A64" s="270"/>
      <c r="B64" s="1051"/>
      <c r="C64" s="1051"/>
      <c r="D64" s="1051"/>
      <c r="E64" s="1051"/>
      <c r="F64" s="1051"/>
      <c r="G64" s="1051"/>
      <c r="H64" s="1051"/>
      <c r="I64" s="1051"/>
      <c r="J64" s="1051"/>
      <c r="K64" s="1051"/>
      <c r="L64" s="1066"/>
      <c r="M64" s="1066"/>
      <c r="N64" s="1066"/>
      <c r="O64" s="1066"/>
    </row>
    <row r="65" spans="1:13" x14ac:dyDescent="0.2">
      <c r="A65" s="152" t="s">
        <v>226</v>
      </c>
      <c r="B65" s="1684" t="s">
        <v>190</v>
      </c>
      <c r="C65" s="1684"/>
      <c r="D65" s="1684"/>
      <c r="E65" s="1684"/>
      <c r="F65" s="1684"/>
      <c r="G65" s="1684"/>
      <c r="H65" s="1684"/>
      <c r="I65" s="1684"/>
      <c r="J65" s="1684"/>
      <c r="K65" s="1684"/>
    </row>
    <row r="66" spans="1:13" ht="12.75" customHeight="1" x14ac:dyDescent="0.2">
      <c r="B66" s="1684"/>
      <c r="C66" s="1684"/>
      <c r="D66" s="1684"/>
      <c r="E66" s="1684"/>
      <c r="F66" s="1684"/>
      <c r="G66" s="1684"/>
      <c r="H66" s="1684"/>
      <c r="I66" s="1684"/>
      <c r="J66" s="1684"/>
      <c r="K66" s="1684"/>
      <c r="L66" s="271"/>
      <c r="M66" s="271"/>
    </row>
    <row r="67" spans="1:13" x14ac:dyDescent="0.2">
      <c r="L67" s="271"/>
      <c r="M67" s="271"/>
    </row>
    <row r="68" spans="1:13" x14ac:dyDescent="0.2">
      <c r="L68" s="271"/>
      <c r="M68" s="271"/>
    </row>
    <row r="74" spans="1:13" x14ac:dyDescent="0.2">
      <c r="L74" s="1068"/>
    </row>
    <row r="75" spans="1:13" x14ac:dyDescent="0.2">
      <c r="E75" s="56"/>
      <c r="F75" s="56"/>
      <c r="G75" s="56"/>
      <c r="H75" s="56"/>
      <c r="I75" s="56"/>
      <c r="J75" s="56"/>
      <c r="K75" s="56"/>
      <c r="L75" s="56"/>
      <c r="M75" s="56"/>
    </row>
    <row r="76" spans="1:13" x14ac:dyDescent="0.2">
      <c r="K76" s="56"/>
      <c r="L76" s="56"/>
      <c r="M76" s="56"/>
    </row>
    <row r="77" spans="1:13" x14ac:dyDescent="0.2">
      <c r="K77" s="56"/>
      <c r="L77" s="56"/>
      <c r="M77" s="56"/>
    </row>
    <row r="78" spans="1:13" x14ac:dyDescent="0.2">
      <c r="K78" s="56"/>
      <c r="L78" s="56"/>
      <c r="M78" s="56"/>
    </row>
    <row r="80" spans="1:13" x14ac:dyDescent="0.2">
      <c r="E80" s="56"/>
    </row>
    <row r="81" spans="5:5" x14ac:dyDescent="0.2">
      <c r="E81" s="56"/>
    </row>
  </sheetData>
  <mergeCells count="16">
    <mergeCell ref="B65:K66"/>
    <mergeCell ref="A9:K9"/>
    <mergeCell ref="A10:K10"/>
    <mergeCell ref="A11:K11"/>
    <mergeCell ref="A18:A19"/>
    <mergeCell ref="B18:B19"/>
    <mergeCell ref="G18:G19"/>
    <mergeCell ref="J18:J19"/>
    <mergeCell ref="A13:B13"/>
    <mergeCell ref="A14:B14"/>
    <mergeCell ref="A15:B15"/>
    <mergeCell ref="C15:I15"/>
    <mergeCell ref="C14:I14"/>
    <mergeCell ref="B61:K61"/>
    <mergeCell ref="B62:K62"/>
    <mergeCell ref="B63:K63"/>
  </mergeCells>
  <dataValidations count="1">
    <dataValidation allowBlank="1" showInputMessage="1" showErrorMessage="1" promptTitle="Date Format" prompt="E.g:  &quot;August 1, 2011&quot;" sqref="H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H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H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H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H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H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H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H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H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H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H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H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H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H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H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H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dataValidations>
  <printOptions horizontalCentered="1"/>
  <pageMargins left="0.74803149606299213" right="0.74803149606299213" top="0.70866141732283472" bottom="0.39370078740157483" header="0.39370078740157483" footer="0.27559055118110237"/>
  <pageSetup scale="4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1733" r:id="rId4" name="Check Box 5">
              <controlPr defaultSize="0" autoFill="0" autoLine="0" autoPict="0">
                <anchor moveWithCells="1">
                  <from>
                    <xdr:col>0</xdr:col>
                    <xdr:colOff>323850</xdr:colOff>
                    <xdr:row>13</xdr:row>
                    <xdr:rowOff>47625</xdr:rowOff>
                  </from>
                  <to>
                    <xdr:col>0</xdr:col>
                    <xdr:colOff>590550</xdr:colOff>
                    <xdr:row>13</xdr:row>
                    <xdr:rowOff>447675</xdr:rowOff>
                  </to>
                </anchor>
              </controlPr>
            </control>
          </mc:Choice>
        </mc:AlternateContent>
        <mc:AlternateContent xmlns:mc="http://schemas.openxmlformats.org/markup-compatibility/2006">
          <mc:Choice Requires="x14">
            <control shapeId="201734" r:id="rId5" name="Check Box 6">
              <controlPr defaultSize="0" autoFill="0" autoLine="0" autoPict="0">
                <anchor moveWithCells="1">
                  <from>
                    <xdr:col>0</xdr:col>
                    <xdr:colOff>304800</xdr:colOff>
                    <xdr:row>14</xdr:row>
                    <xdr:rowOff>38100</xdr:rowOff>
                  </from>
                  <to>
                    <xdr:col>0</xdr:col>
                    <xdr:colOff>571500</xdr:colOff>
                    <xdr:row>14</xdr:row>
                    <xdr:rowOff>457200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2">
    <tabColor rgb="FF00B0F0"/>
    <pageSetUpPr fitToPage="1"/>
  </sheetPr>
  <dimension ref="A1:O83"/>
  <sheetViews>
    <sheetView showGridLines="0" view="pageBreakPreview" zoomScale="60" zoomScaleNormal="100" workbookViewId="0">
      <selection activeCell="A9" sqref="A9:K9"/>
    </sheetView>
  </sheetViews>
  <sheetFormatPr defaultRowHeight="12.75" x14ac:dyDescent="0.2"/>
  <cols>
    <col min="1" max="1" width="9.140625" style="52"/>
    <col min="2" max="2" width="40.28515625" style="52" bestFit="1" customWidth="1"/>
    <col min="3" max="3" width="10" style="52" customWidth="1"/>
    <col min="4" max="4" width="10.140625" style="52" customWidth="1"/>
    <col min="5" max="5" width="12.28515625" style="52" customWidth="1"/>
    <col min="6" max="6" width="16.28515625" style="52" customWidth="1"/>
    <col min="7" max="7" width="16.140625" style="52" customWidth="1"/>
    <col min="8" max="8" width="12.7109375" style="52" customWidth="1"/>
    <col min="9" max="10" width="14.42578125" style="52" customWidth="1"/>
    <col min="11" max="11" width="13.5703125" style="52" customWidth="1"/>
    <col min="12" max="12" width="9.140625" style="52"/>
    <col min="13" max="13" width="18.5703125" style="52" customWidth="1"/>
    <col min="14" max="256" width="9.140625" style="52"/>
    <col min="257" max="257" width="2.7109375" style="52" customWidth="1"/>
    <col min="258" max="258" width="9.140625" style="52"/>
    <col min="259" max="259" width="40.28515625" style="52" bestFit="1" customWidth="1"/>
    <col min="260" max="260" width="10" style="52" customWidth="1"/>
    <col min="261" max="261" width="10.140625" style="52" customWidth="1"/>
    <col min="262" max="262" width="12.28515625" style="52" customWidth="1"/>
    <col min="263" max="263" width="16.28515625" style="52" customWidth="1"/>
    <col min="264" max="264" width="12.85546875" style="52" customWidth="1"/>
    <col min="265" max="265" width="12.7109375" style="52" customWidth="1"/>
    <col min="266" max="266" width="14.42578125" style="52" customWidth="1"/>
    <col min="267" max="267" width="13.5703125" style="52" customWidth="1"/>
    <col min="268" max="512" width="9.140625" style="52"/>
    <col min="513" max="513" width="2.7109375" style="52" customWidth="1"/>
    <col min="514" max="514" width="9.140625" style="52"/>
    <col min="515" max="515" width="40.28515625" style="52" bestFit="1" customWidth="1"/>
    <col min="516" max="516" width="10" style="52" customWidth="1"/>
    <col min="517" max="517" width="10.140625" style="52" customWidth="1"/>
    <col min="518" max="518" width="12.28515625" style="52" customWidth="1"/>
    <col min="519" max="519" width="16.28515625" style="52" customWidth="1"/>
    <col min="520" max="520" width="12.85546875" style="52" customWidth="1"/>
    <col min="521" max="521" width="12.7109375" style="52" customWidth="1"/>
    <col min="522" max="522" width="14.42578125" style="52" customWidth="1"/>
    <col min="523" max="523" width="13.5703125" style="52" customWidth="1"/>
    <col min="524" max="768" width="9.140625" style="52"/>
    <col min="769" max="769" width="2.7109375" style="52" customWidth="1"/>
    <col min="770" max="770" width="9.140625" style="52"/>
    <col min="771" max="771" width="40.28515625" style="52" bestFit="1" customWidth="1"/>
    <col min="772" max="772" width="10" style="52" customWidth="1"/>
    <col min="773" max="773" width="10.140625" style="52" customWidth="1"/>
    <col min="774" max="774" width="12.28515625" style="52" customWidth="1"/>
    <col min="775" max="775" width="16.28515625" style="52" customWidth="1"/>
    <col min="776" max="776" width="12.85546875" style="52" customWidth="1"/>
    <col min="777" max="777" width="12.7109375" style="52" customWidth="1"/>
    <col min="778" max="778" width="14.42578125" style="52" customWidth="1"/>
    <col min="779" max="779" width="13.5703125" style="52" customWidth="1"/>
    <col min="780" max="1024" width="9.140625" style="52"/>
    <col min="1025" max="1025" width="2.7109375" style="52" customWidth="1"/>
    <col min="1026" max="1026" width="9.140625" style="52"/>
    <col min="1027" max="1027" width="40.28515625" style="52" bestFit="1" customWidth="1"/>
    <col min="1028" max="1028" width="10" style="52" customWidth="1"/>
    <col min="1029" max="1029" width="10.140625" style="52" customWidth="1"/>
    <col min="1030" max="1030" width="12.28515625" style="52" customWidth="1"/>
    <col min="1031" max="1031" width="16.28515625" style="52" customWidth="1"/>
    <col min="1032" max="1032" width="12.85546875" style="52" customWidth="1"/>
    <col min="1033" max="1033" width="12.7109375" style="52" customWidth="1"/>
    <col min="1034" max="1034" width="14.42578125" style="52" customWidth="1"/>
    <col min="1035" max="1035" width="13.5703125" style="52" customWidth="1"/>
    <col min="1036" max="1280" width="9.140625" style="52"/>
    <col min="1281" max="1281" width="2.7109375" style="52" customWidth="1"/>
    <col min="1282" max="1282" width="9.140625" style="52"/>
    <col min="1283" max="1283" width="40.28515625" style="52" bestFit="1" customWidth="1"/>
    <col min="1284" max="1284" width="10" style="52" customWidth="1"/>
    <col min="1285" max="1285" width="10.140625" style="52" customWidth="1"/>
    <col min="1286" max="1286" width="12.28515625" style="52" customWidth="1"/>
    <col min="1287" max="1287" width="16.28515625" style="52" customWidth="1"/>
    <col min="1288" max="1288" width="12.85546875" style="52" customWidth="1"/>
    <col min="1289" max="1289" width="12.7109375" style="52" customWidth="1"/>
    <col min="1290" max="1290" width="14.42578125" style="52" customWidth="1"/>
    <col min="1291" max="1291" width="13.5703125" style="52" customWidth="1"/>
    <col min="1292" max="1536" width="9.140625" style="52"/>
    <col min="1537" max="1537" width="2.7109375" style="52" customWidth="1"/>
    <col min="1538" max="1538" width="9.140625" style="52"/>
    <col min="1539" max="1539" width="40.28515625" style="52" bestFit="1" customWidth="1"/>
    <col min="1540" max="1540" width="10" style="52" customWidth="1"/>
    <col min="1541" max="1541" width="10.140625" style="52" customWidth="1"/>
    <col min="1542" max="1542" width="12.28515625" style="52" customWidth="1"/>
    <col min="1543" max="1543" width="16.28515625" style="52" customWidth="1"/>
    <col min="1544" max="1544" width="12.85546875" style="52" customWidth="1"/>
    <col min="1545" max="1545" width="12.7109375" style="52" customWidth="1"/>
    <col min="1546" max="1546" width="14.42578125" style="52" customWidth="1"/>
    <col min="1547" max="1547" width="13.5703125" style="52" customWidth="1"/>
    <col min="1548" max="1792" width="9.140625" style="52"/>
    <col min="1793" max="1793" width="2.7109375" style="52" customWidth="1"/>
    <col min="1794" max="1794" width="9.140625" style="52"/>
    <col min="1795" max="1795" width="40.28515625" style="52" bestFit="1" customWidth="1"/>
    <col min="1796" max="1796" width="10" style="52" customWidth="1"/>
    <col min="1797" max="1797" width="10.140625" style="52" customWidth="1"/>
    <col min="1798" max="1798" width="12.28515625" style="52" customWidth="1"/>
    <col min="1799" max="1799" width="16.28515625" style="52" customWidth="1"/>
    <col min="1800" max="1800" width="12.85546875" style="52" customWidth="1"/>
    <col min="1801" max="1801" width="12.7109375" style="52" customWidth="1"/>
    <col min="1802" max="1802" width="14.42578125" style="52" customWidth="1"/>
    <col min="1803" max="1803" width="13.5703125" style="52" customWidth="1"/>
    <col min="1804" max="2048" width="9.140625" style="52"/>
    <col min="2049" max="2049" width="2.7109375" style="52" customWidth="1"/>
    <col min="2050" max="2050" width="9.140625" style="52"/>
    <col min="2051" max="2051" width="40.28515625" style="52" bestFit="1" customWidth="1"/>
    <col min="2052" max="2052" width="10" style="52" customWidth="1"/>
    <col min="2053" max="2053" width="10.140625" style="52" customWidth="1"/>
    <col min="2054" max="2054" width="12.28515625" style="52" customWidth="1"/>
    <col min="2055" max="2055" width="16.28515625" style="52" customWidth="1"/>
    <col min="2056" max="2056" width="12.85546875" style="52" customWidth="1"/>
    <col min="2057" max="2057" width="12.7109375" style="52" customWidth="1"/>
    <col min="2058" max="2058" width="14.42578125" style="52" customWidth="1"/>
    <col min="2059" max="2059" width="13.5703125" style="52" customWidth="1"/>
    <col min="2060" max="2304" width="9.140625" style="52"/>
    <col min="2305" max="2305" width="2.7109375" style="52" customWidth="1"/>
    <col min="2306" max="2306" width="9.140625" style="52"/>
    <col min="2307" max="2307" width="40.28515625" style="52" bestFit="1" customWidth="1"/>
    <col min="2308" max="2308" width="10" style="52" customWidth="1"/>
    <col min="2309" max="2309" width="10.140625" style="52" customWidth="1"/>
    <col min="2310" max="2310" width="12.28515625" style="52" customWidth="1"/>
    <col min="2311" max="2311" width="16.28515625" style="52" customWidth="1"/>
    <col min="2312" max="2312" width="12.85546875" style="52" customWidth="1"/>
    <col min="2313" max="2313" width="12.7109375" style="52" customWidth="1"/>
    <col min="2314" max="2314" width="14.42578125" style="52" customWidth="1"/>
    <col min="2315" max="2315" width="13.5703125" style="52" customWidth="1"/>
    <col min="2316" max="2560" width="9.140625" style="52"/>
    <col min="2561" max="2561" width="2.7109375" style="52" customWidth="1"/>
    <col min="2562" max="2562" width="9.140625" style="52"/>
    <col min="2563" max="2563" width="40.28515625" style="52" bestFit="1" customWidth="1"/>
    <col min="2564" max="2564" width="10" style="52" customWidth="1"/>
    <col min="2565" max="2565" width="10.140625" style="52" customWidth="1"/>
    <col min="2566" max="2566" width="12.28515625" style="52" customWidth="1"/>
    <col min="2567" max="2567" width="16.28515625" style="52" customWidth="1"/>
    <col min="2568" max="2568" width="12.85546875" style="52" customWidth="1"/>
    <col min="2569" max="2569" width="12.7109375" style="52" customWidth="1"/>
    <col min="2570" max="2570" width="14.42578125" style="52" customWidth="1"/>
    <col min="2571" max="2571" width="13.5703125" style="52" customWidth="1"/>
    <col min="2572" max="2816" width="9.140625" style="52"/>
    <col min="2817" max="2817" width="2.7109375" style="52" customWidth="1"/>
    <col min="2818" max="2818" width="9.140625" style="52"/>
    <col min="2819" max="2819" width="40.28515625" style="52" bestFit="1" customWidth="1"/>
    <col min="2820" max="2820" width="10" style="52" customWidth="1"/>
    <col min="2821" max="2821" width="10.140625" style="52" customWidth="1"/>
    <col min="2822" max="2822" width="12.28515625" style="52" customWidth="1"/>
    <col min="2823" max="2823" width="16.28515625" style="52" customWidth="1"/>
    <col min="2824" max="2824" width="12.85546875" style="52" customWidth="1"/>
    <col min="2825" max="2825" width="12.7109375" style="52" customWidth="1"/>
    <col min="2826" max="2826" width="14.42578125" style="52" customWidth="1"/>
    <col min="2827" max="2827" width="13.5703125" style="52" customWidth="1"/>
    <col min="2828" max="3072" width="9.140625" style="52"/>
    <col min="3073" max="3073" width="2.7109375" style="52" customWidth="1"/>
    <col min="3074" max="3074" width="9.140625" style="52"/>
    <col min="3075" max="3075" width="40.28515625" style="52" bestFit="1" customWidth="1"/>
    <col min="3076" max="3076" width="10" style="52" customWidth="1"/>
    <col min="3077" max="3077" width="10.140625" style="52" customWidth="1"/>
    <col min="3078" max="3078" width="12.28515625" style="52" customWidth="1"/>
    <col min="3079" max="3079" width="16.28515625" style="52" customWidth="1"/>
    <col min="3080" max="3080" width="12.85546875" style="52" customWidth="1"/>
    <col min="3081" max="3081" width="12.7109375" style="52" customWidth="1"/>
    <col min="3082" max="3082" width="14.42578125" style="52" customWidth="1"/>
    <col min="3083" max="3083" width="13.5703125" style="52" customWidth="1"/>
    <col min="3084" max="3328" width="9.140625" style="52"/>
    <col min="3329" max="3329" width="2.7109375" style="52" customWidth="1"/>
    <col min="3330" max="3330" width="9.140625" style="52"/>
    <col min="3331" max="3331" width="40.28515625" style="52" bestFit="1" customWidth="1"/>
    <col min="3332" max="3332" width="10" style="52" customWidth="1"/>
    <col min="3333" max="3333" width="10.140625" style="52" customWidth="1"/>
    <col min="3334" max="3334" width="12.28515625" style="52" customWidth="1"/>
    <col min="3335" max="3335" width="16.28515625" style="52" customWidth="1"/>
    <col min="3336" max="3336" width="12.85546875" style="52" customWidth="1"/>
    <col min="3337" max="3337" width="12.7109375" style="52" customWidth="1"/>
    <col min="3338" max="3338" width="14.42578125" style="52" customWidth="1"/>
    <col min="3339" max="3339" width="13.5703125" style="52" customWidth="1"/>
    <col min="3340" max="3584" width="9.140625" style="52"/>
    <col min="3585" max="3585" width="2.7109375" style="52" customWidth="1"/>
    <col min="3586" max="3586" width="9.140625" style="52"/>
    <col min="3587" max="3587" width="40.28515625" style="52" bestFit="1" customWidth="1"/>
    <col min="3588" max="3588" width="10" style="52" customWidth="1"/>
    <col min="3589" max="3589" width="10.140625" style="52" customWidth="1"/>
    <col min="3590" max="3590" width="12.28515625" style="52" customWidth="1"/>
    <col min="3591" max="3591" width="16.28515625" style="52" customWidth="1"/>
    <col min="3592" max="3592" width="12.85546875" style="52" customWidth="1"/>
    <col min="3593" max="3593" width="12.7109375" style="52" customWidth="1"/>
    <col min="3594" max="3594" width="14.42578125" style="52" customWidth="1"/>
    <col min="3595" max="3595" width="13.5703125" style="52" customWidth="1"/>
    <col min="3596" max="3840" width="9.140625" style="52"/>
    <col min="3841" max="3841" width="2.7109375" style="52" customWidth="1"/>
    <col min="3842" max="3842" width="9.140625" style="52"/>
    <col min="3843" max="3843" width="40.28515625" style="52" bestFit="1" customWidth="1"/>
    <col min="3844" max="3844" width="10" style="52" customWidth="1"/>
    <col min="3845" max="3845" width="10.140625" style="52" customWidth="1"/>
    <col min="3846" max="3846" width="12.28515625" style="52" customWidth="1"/>
    <col min="3847" max="3847" width="16.28515625" style="52" customWidth="1"/>
    <col min="3848" max="3848" width="12.85546875" style="52" customWidth="1"/>
    <col min="3849" max="3849" width="12.7109375" style="52" customWidth="1"/>
    <col min="3850" max="3850" width="14.42578125" style="52" customWidth="1"/>
    <col min="3851" max="3851" width="13.5703125" style="52" customWidth="1"/>
    <col min="3852" max="4096" width="9.140625" style="52"/>
    <col min="4097" max="4097" width="2.7109375" style="52" customWidth="1"/>
    <col min="4098" max="4098" width="9.140625" style="52"/>
    <col min="4099" max="4099" width="40.28515625" style="52" bestFit="1" customWidth="1"/>
    <col min="4100" max="4100" width="10" style="52" customWidth="1"/>
    <col min="4101" max="4101" width="10.140625" style="52" customWidth="1"/>
    <col min="4102" max="4102" width="12.28515625" style="52" customWidth="1"/>
    <col min="4103" max="4103" width="16.28515625" style="52" customWidth="1"/>
    <col min="4104" max="4104" width="12.85546875" style="52" customWidth="1"/>
    <col min="4105" max="4105" width="12.7109375" style="52" customWidth="1"/>
    <col min="4106" max="4106" width="14.42578125" style="52" customWidth="1"/>
    <col min="4107" max="4107" width="13.5703125" style="52" customWidth="1"/>
    <col min="4108" max="4352" width="9.140625" style="52"/>
    <col min="4353" max="4353" width="2.7109375" style="52" customWidth="1"/>
    <col min="4354" max="4354" width="9.140625" style="52"/>
    <col min="4355" max="4355" width="40.28515625" style="52" bestFit="1" customWidth="1"/>
    <col min="4356" max="4356" width="10" style="52" customWidth="1"/>
    <col min="4357" max="4357" width="10.140625" style="52" customWidth="1"/>
    <col min="4358" max="4358" width="12.28515625" style="52" customWidth="1"/>
    <col min="4359" max="4359" width="16.28515625" style="52" customWidth="1"/>
    <col min="4360" max="4360" width="12.85546875" style="52" customWidth="1"/>
    <col min="4361" max="4361" width="12.7109375" style="52" customWidth="1"/>
    <col min="4362" max="4362" width="14.42578125" style="52" customWidth="1"/>
    <col min="4363" max="4363" width="13.5703125" style="52" customWidth="1"/>
    <col min="4364" max="4608" width="9.140625" style="52"/>
    <col min="4609" max="4609" width="2.7109375" style="52" customWidth="1"/>
    <col min="4610" max="4610" width="9.140625" style="52"/>
    <col min="4611" max="4611" width="40.28515625" style="52" bestFit="1" customWidth="1"/>
    <col min="4612" max="4612" width="10" style="52" customWidth="1"/>
    <col min="4613" max="4613" width="10.140625" style="52" customWidth="1"/>
    <col min="4614" max="4614" width="12.28515625" style="52" customWidth="1"/>
    <col min="4615" max="4615" width="16.28515625" style="52" customWidth="1"/>
    <col min="4616" max="4616" width="12.85546875" style="52" customWidth="1"/>
    <col min="4617" max="4617" width="12.7109375" style="52" customWidth="1"/>
    <col min="4618" max="4618" width="14.42578125" style="52" customWidth="1"/>
    <col min="4619" max="4619" width="13.5703125" style="52" customWidth="1"/>
    <col min="4620" max="4864" width="9.140625" style="52"/>
    <col min="4865" max="4865" width="2.7109375" style="52" customWidth="1"/>
    <col min="4866" max="4866" width="9.140625" style="52"/>
    <col min="4867" max="4867" width="40.28515625" style="52" bestFit="1" customWidth="1"/>
    <col min="4868" max="4868" width="10" style="52" customWidth="1"/>
    <col min="4869" max="4869" width="10.140625" style="52" customWidth="1"/>
    <col min="4870" max="4870" width="12.28515625" style="52" customWidth="1"/>
    <col min="4871" max="4871" width="16.28515625" style="52" customWidth="1"/>
    <col min="4872" max="4872" width="12.85546875" style="52" customWidth="1"/>
    <col min="4873" max="4873" width="12.7109375" style="52" customWidth="1"/>
    <col min="4874" max="4874" width="14.42578125" style="52" customWidth="1"/>
    <col min="4875" max="4875" width="13.5703125" style="52" customWidth="1"/>
    <col min="4876" max="5120" width="9.140625" style="52"/>
    <col min="5121" max="5121" width="2.7109375" style="52" customWidth="1"/>
    <col min="5122" max="5122" width="9.140625" style="52"/>
    <col min="5123" max="5123" width="40.28515625" style="52" bestFit="1" customWidth="1"/>
    <col min="5124" max="5124" width="10" style="52" customWidth="1"/>
    <col min="5125" max="5125" width="10.140625" style="52" customWidth="1"/>
    <col min="5126" max="5126" width="12.28515625" style="52" customWidth="1"/>
    <col min="5127" max="5127" width="16.28515625" style="52" customWidth="1"/>
    <col min="5128" max="5128" width="12.85546875" style="52" customWidth="1"/>
    <col min="5129" max="5129" width="12.7109375" style="52" customWidth="1"/>
    <col min="5130" max="5130" width="14.42578125" style="52" customWidth="1"/>
    <col min="5131" max="5131" width="13.5703125" style="52" customWidth="1"/>
    <col min="5132" max="5376" width="9.140625" style="52"/>
    <col min="5377" max="5377" width="2.7109375" style="52" customWidth="1"/>
    <col min="5378" max="5378" width="9.140625" style="52"/>
    <col min="5379" max="5379" width="40.28515625" style="52" bestFit="1" customWidth="1"/>
    <col min="5380" max="5380" width="10" style="52" customWidth="1"/>
    <col min="5381" max="5381" width="10.140625" style="52" customWidth="1"/>
    <col min="5382" max="5382" width="12.28515625" style="52" customWidth="1"/>
    <col min="5383" max="5383" width="16.28515625" style="52" customWidth="1"/>
    <col min="5384" max="5384" width="12.85546875" style="52" customWidth="1"/>
    <col min="5385" max="5385" width="12.7109375" style="52" customWidth="1"/>
    <col min="5386" max="5386" width="14.42578125" style="52" customWidth="1"/>
    <col min="5387" max="5387" width="13.5703125" style="52" customWidth="1"/>
    <col min="5388" max="5632" width="9.140625" style="52"/>
    <col min="5633" max="5633" width="2.7109375" style="52" customWidth="1"/>
    <col min="5634" max="5634" width="9.140625" style="52"/>
    <col min="5635" max="5635" width="40.28515625" style="52" bestFit="1" customWidth="1"/>
    <col min="5636" max="5636" width="10" style="52" customWidth="1"/>
    <col min="5637" max="5637" width="10.140625" style="52" customWidth="1"/>
    <col min="5638" max="5638" width="12.28515625" style="52" customWidth="1"/>
    <col min="5639" max="5639" width="16.28515625" style="52" customWidth="1"/>
    <col min="5640" max="5640" width="12.85546875" style="52" customWidth="1"/>
    <col min="5641" max="5641" width="12.7109375" style="52" customWidth="1"/>
    <col min="5642" max="5642" width="14.42578125" style="52" customWidth="1"/>
    <col min="5643" max="5643" width="13.5703125" style="52" customWidth="1"/>
    <col min="5644" max="5888" width="9.140625" style="52"/>
    <col min="5889" max="5889" width="2.7109375" style="52" customWidth="1"/>
    <col min="5890" max="5890" width="9.140625" style="52"/>
    <col min="5891" max="5891" width="40.28515625" style="52" bestFit="1" customWidth="1"/>
    <col min="5892" max="5892" width="10" style="52" customWidth="1"/>
    <col min="5893" max="5893" width="10.140625" style="52" customWidth="1"/>
    <col min="5894" max="5894" width="12.28515625" style="52" customWidth="1"/>
    <col min="5895" max="5895" width="16.28515625" style="52" customWidth="1"/>
    <col min="5896" max="5896" width="12.85546875" style="52" customWidth="1"/>
    <col min="5897" max="5897" width="12.7109375" style="52" customWidth="1"/>
    <col min="5898" max="5898" width="14.42578125" style="52" customWidth="1"/>
    <col min="5899" max="5899" width="13.5703125" style="52" customWidth="1"/>
    <col min="5900" max="6144" width="9.140625" style="52"/>
    <col min="6145" max="6145" width="2.7109375" style="52" customWidth="1"/>
    <col min="6146" max="6146" width="9.140625" style="52"/>
    <col min="6147" max="6147" width="40.28515625" style="52" bestFit="1" customWidth="1"/>
    <col min="6148" max="6148" width="10" style="52" customWidth="1"/>
    <col min="6149" max="6149" width="10.140625" style="52" customWidth="1"/>
    <col min="6150" max="6150" width="12.28515625" style="52" customWidth="1"/>
    <col min="6151" max="6151" width="16.28515625" style="52" customWidth="1"/>
    <col min="6152" max="6152" width="12.85546875" style="52" customWidth="1"/>
    <col min="6153" max="6153" width="12.7109375" style="52" customWidth="1"/>
    <col min="6154" max="6154" width="14.42578125" style="52" customWidth="1"/>
    <col min="6155" max="6155" width="13.5703125" style="52" customWidth="1"/>
    <col min="6156" max="6400" width="9.140625" style="52"/>
    <col min="6401" max="6401" width="2.7109375" style="52" customWidth="1"/>
    <col min="6402" max="6402" width="9.140625" style="52"/>
    <col min="6403" max="6403" width="40.28515625" style="52" bestFit="1" customWidth="1"/>
    <col min="6404" max="6404" width="10" style="52" customWidth="1"/>
    <col min="6405" max="6405" width="10.140625" style="52" customWidth="1"/>
    <col min="6406" max="6406" width="12.28515625" style="52" customWidth="1"/>
    <col min="6407" max="6407" width="16.28515625" style="52" customWidth="1"/>
    <col min="6408" max="6408" width="12.85546875" style="52" customWidth="1"/>
    <col min="6409" max="6409" width="12.7109375" style="52" customWidth="1"/>
    <col min="6410" max="6410" width="14.42578125" style="52" customWidth="1"/>
    <col min="6411" max="6411" width="13.5703125" style="52" customWidth="1"/>
    <col min="6412" max="6656" width="9.140625" style="52"/>
    <col min="6657" max="6657" width="2.7109375" style="52" customWidth="1"/>
    <col min="6658" max="6658" width="9.140625" style="52"/>
    <col min="6659" max="6659" width="40.28515625" style="52" bestFit="1" customWidth="1"/>
    <col min="6660" max="6660" width="10" style="52" customWidth="1"/>
    <col min="6661" max="6661" width="10.140625" style="52" customWidth="1"/>
    <col min="6662" max="6662" width="12.28515625" style="52" customWidth="1"/>
    <col min="6663" max="6663" width="16.28515625" style="52" customWidth="1"/>
    <col min="6664" max="6664" width="12.85546875" style="52" customWidth="1"/>
    <col min="6665" max="6665" width="12.7109375" style="52" customWidth="1"/>
    <col min="6666" max="6666" width="14.42578125" style="52" customWidth="1"/>
    <col min="6667" max="6667" width="13.5703125" style="52" customWidth="1"/>
    <col min="6668" max="6912" width="9.140625" style="52"/>
    <col min="6913" max="6913" width="2.7109375" style="52" customWidth="1"/>
    <col min="6914" max="6914" width="9.140625" style="52"/>
    <col min="6915" max="6915" width="40.28515625" style="52" bestFit="1" customWidth="1"/>
    <col min="6916" max="6916" width="10" style="52" customWidth="1"/>
    <col min="6917" max="6917" width="10.140625" style="52" customWidth="1"/>
    <col min="6918" max="6918" width="12.28515625" style="52" customWidth="1"/>
    <col min="6919" max="6919" width="16.28515625" style="52" customWidth="1"/>
    <col min="6920" max="6920" width="12.85546875" style="52" customWidth="1"/>
    <col min="6921" max="6921" width="12.7109375" style="52" customWidth="1"/>
    <col min="6922" max="6922" width="14.42578125" style="52" customWidth="1"/>
    <col min="6923" max="6923" width="13.5703125" style="52" customWidth="1"/>
    <col min="6924" max="7168" width="9.140625" style="52"/>
    <col min="7169" max="7169" width="2.7109375" style="52" customWidth="1"/>
    <col min="7170" max="7170" width="9.140625" style="52"/>
    <col min="7171" max="7171" width="40.28515625" style="52" bestFit="1" customWidth="1"/>
    <col min="7172" max="7172" width="10" style="52" customWidth="1"/>
    <col min="7173" max="7173" width="10.140625" style="52" customWidth="1"/>
    <col min="7174" max="7174" width="12.28515625" style="52" customWidth="1"/>
    <col min="7175" max="7175" width="16.28515625" style="52" customWidth="1"/>
    <col min="7176" max="7176" width="12.85546875" style="52" customWidth="1"/>
    <col min="7177" max="7177" width="12.7109375" style="52" customWidth="1"/>
    <col min="7178" max="7178" width="14.42578125" style="52" customWidth="1"/>
    <col min="7179" max="7179" width="13.5703125" style="52" customWidth="1"/>
    <col min="7180" max="7424" width="9.140625" style="52"/>
    <col min="7425" max="7425" width="2.7109375" style="52" customWidth="1"/>
    <col min="7426" max="7426" width="9.140625" style="52"/>
    <col min="7427" max="7427" width="40.28515625" style="52" bestFit="1" customWidth="1"/>
    <col min="7428" max="7428" width="10" style="52" customWidth="1"/>
    <col min="7429" max="7429" width="10.140625" style="52" customWidth="1"/>
    <col min="7430" max="7430" width="12.28515625" style="52" customWidth="1"/>
    <col min="7431" max="7431" width="16.28515625" style="52" customWidth="1"/>
    <col min="7432" max="7432" width="12.85546875" style="52" customWidth="1"/>
    <col min="7433" max="7433" width="12.7109375" style="52" customWidth="1"/>
    <col min="7434" max="7434" width="14.42578125" style="52" customWidth="1"/>
    <col min="7435" max="7435" width="13.5703125" style="52" customWidth="1"/>
    <col min="7436" max="7680" width="9.140625" style="52"/>
    <col min="7681" max="7681" width="2.7109375" style="52" customWidth="1"/>
    <col min="7682" max="7682" width="9.140625" style="52"/>
    <col min="7683" max="7683" width="40.28515625" style="52" bestFit="1" customWidth="1"/>
    <col min="7684" max="7684" width="10" style="52" customWidth="1"/>
    <col min="7685" max="7685" width="10.140625" style="52" customWidth="1"/>
    <col min="7686" max="7686" width="12.28515625" style="52" customWidth="1"/>
    <col min="7687" max="7687" width="16.28515625" style="52" customWidth="1"/>
    <col min="7688" max="7688" width="12.85546875" style="52" customWidth="1"/>
    <col min="7689" max="7689" width="12.7109375" style="52" customWidth="1"/>
    <col min="7690" max="7690" width="14.42578125" style="52" customWidth="1"/>
    <col min="7691" max="7691" width="13.5703125" style="52" customWidth="1"/>
    <col min="7692" max="7936" width="9.140625" style="52"/>
    <col min="7937" max="7937" width="2.7109375" style="52" customWidth="1"/>
    <col min="7938" max="7938" width="9.140625" style="52"/>
    <col min="7939" max="7939" width="40.28515625" style="52" bestFit="1" customWidth="1"/>
    <col min="7940" max="7940" width="10" style="52" customWidth="1"/>
    <col min="7941" max="7941" width="10.140625" style="52" customWidth="1"/>
    <col min="7942" max="7942" width="12.28515625" style="52" customWidth="1"/>
    <col min="7943" max="7943" width="16.28515625" style="52" customWidth="1"/>
    <col min="7944" max="7944" width="12.85546875" style="52" customWidth="1"/>
    <col min="7945" max="7945" width="12.7109375" style="52" customWidth="1"/>
    <col min="7946" max="7946" width="14.42578125" style="52" customWidth="1"/>
    <col min="7947" max="7947" width="13.5703125" style="52" customWidth="1"/>
    <col min="7948" max="8192" width="9.140625" style="52"/>
    <col min="8193" max="8193" width="2.7109375" style="52" customWidth="1"/>
    <col min="8194" max="8194" width="9.140625" style="52"/>
    <col min="8195" max="8195" width="40.28515625" style="52" bestFit="1" customWidth="1"/>
    <col min="8196" max="8196" width="10" style="52" customWidth="1"/>
    <col min="8197" max="8197" width="10.140625" style="52" customWidth="1"/>
    <col min="8198" max="8198" width="12.28515625" style="52" customWidth="1"/>
    <col min="8199" max="8199" width="16.28515625" style="52" customWidth="1"/>
    <col min="8200" max="8200" width="12.85546875" style="52" customWidth="1"/>
    <col min="8201" max="8201" width="12.7109375" style="52" customWidth="1"/>
    <col min="8202" max="8202" width="14.42578125" style="52" customWidth="1"/>
    <col min="8203" max="8203" width="13.5703125" style="52" customWidth="1"/>
    <col min="8204" max="8448" width="9.140625" style="52"/>
    <col min="8449" max="8449" width="2.7109375" style="52" customWidth="1"/>
    <col min="8450" max="8450" width="9.140625" style="52"/>
    <col min="8451" max="8451" width="40.28515625" style="52" bestFit="1" customWidth="1"/>
    <col min="8452" max="8452" width="10" style="52" customWidth="1"/>
    <col min="8453" max="8453" width="10.140625" style="52" customWidth="1"/>
    <col min="8454" max="8454" width="12.28515625" style="52" customWidth="1"/>
    <col min="8455" max="8455" width="16.28515625" style="52" customWidth="1"/>
    <col min="8456" max="8456" width="12.85546875" style="52" customWidth="1"/>
    <col min="8457" max="8457" width="12.7109375" style="52" customWidth="1"/>
    <col min="8458" max="8458" width="14.42578125" style="52" customWidth="1"/>
    <col min="8459" max="8459" width="13.5703125" style="52" customWidth="1"/>
    <col min="8460" max="8704" width="9.140625" style="52"/>
    <col min="8705" max="8705" width="2.7109375" style="52" customWidth="1"/>
    <col min="8706" max="8706" width="9.140625" style="52"/>
    <col min="8707" max="8707" width="40.28515625" style="52" bestFit="1" customWidth="1"/>
    <col min="8708" max="8708" width="10" style="52" customWidth="1"/>
    <col min="8709" max="8709" width="10.140625" style="52" customWidth="1"/>
    <col min="8710" max="8710" width="12.28515625" style="52" customWidth="1"/>
    <col min="8711" max="8711" width="16.28515625" style="52" customWidth="1"/>
    <col min="8712" max="8712" width="12.85546875" style="52" customWidth="1"/>
    <col min="8713" max="8713" width="12.7109375" style="52" customWidth="1"/>
    <col min="8714" max="8714" width="14.42578125" style="52" customWidth="1"/>
    <col min="8715" max="8715" width="13.5703125" style="52" customWidth="1"/>
    <col min="8716" max="8960" width="9.140625" style="52"/>
    <col min="8961" max="8961" width="2.7109375" style="52" customWidth="1"/>
    <col min="8962" max="8962" width="9.140625" style="52"/>
    <col min="8963" max="8963" width="40.28515625" style="52" bestFit="1" customWidth="1"/>
    <col min="8964" max="8964" width="10" style="52" customWidth="1"/>
    <col min="8965" max="8965" width="10.140625" style="52" customWidth="1"/>
    <col min="8966" max="8966" width="12.28515625" style="52" customWidth="1"/>
    <col min="8967" max="8967" width="16.28515625" style="52" customWidth="1"/>
    <col min="8968" max="8968" width="12.85546875" style="52" customWidth="1"/>
    <col min="8969" max="8969" width="12.7109375" style="52" customWidth="1"/>
    <col min="8970" max="8970" width="14.42578125" style="52" customWidth="1"/>
    <col min="8971" max="8971" width="13.5703125" style="52" customWidth="1"/>
    <col min="8972" max="9216" width="9.140625" style="52"/>
    <col min="9217" max="9217" width="2.7109375" style="52" customWidth="1"/>
    <col min="9218" max="9218" width="9.140625" style="52"/>
    <col min="9219" max="9219" width="40.28515625" style="52" bestFit="1" customWidth="1"/>
    <col min="9220" max="9220" width="10" style="52" customWidth="1"/>
    <col min="9221" max="9221" width="10.140625" style="52" customWidth="1"/>
    <col min="9222" max="9222" width="12.28515625" style="52" customWidth="1"/>
    <col min="9223" max="9223" width="16.28515625" style="52" customWidth="1"/>
    <col min="9224" max="9224" width="12.85546875" style="52" customWidth="1"/>
    <col min="9225" max="9225" width="12.7109375" style="52" customWidth="1"/>
    <col min="9226" max="9226" width="14.42578125" style="52" customWidth="1"/>
    <col min="9227" max="9227" width="13.5703125" style="52" customWidth="1"/>
    <col min="9228" max="9472" width="9.140625" style="52"/>
    <col min="9473" max="9473" width="2.7109375" style="52" customWidth="1"/>
    <col min="9474" max="9474" width="9.140625" style="52"/>
    <col min="9475" max="9475" width="40.28515625" style="52" bestFit="1" customWidth="1"/>
    <col min="9476" max="9476" width="10" style="52" customWidth="1"/>
    <col min="9477" max="9477" width="10.140625" style="52" customWidth="1"/>
    <col min="9478" max="9478" width="12.28515625" style="52" customWidth="1"/>
    <col min="9479" max="9479" width="16.28515625" style="52" customWidth="1"/>
    <col min="9480" max="9480" width="12.85546875" style="52" customWidth="1"/>
    <col min="9481" max="9481" width="12.7109375" style="52" customWidth="1"/>
    <col min="9482" max="9482" width="14.42578125" style="52" customWidth="1"/>
    <col min="9483" max="9483" width="13.5703125" style="52" customWidth="1"/>
    <col min="9484" max="9728" width="9.140625" style="52"/>
    <col min="9729" max="9729" width="2.7109375" style="52" customWidth="1"/>
    <col min="9730" max="9730" width="9.140625" style="52"/>
    <col min="9731" max="9731" width="40.28515625" style="52" bestFit="1" customWidth="1"/>
    <col min="9732" max="9732" width="10" style="52" customWidth="1"/>
    <col min="9733" max="9733" width="10.140625" style="52" customWidth="1"/>
    <col min="9734" max="9734" width="12.28515625" style="52" customWidth="1"/>
    <col min="9735" max="9735" width="16.28515625" style="52" customWidth="1"/>
    <col min="9736" max="9736" width="12.85546875" style="52" customWidth="1"/>
    <col min="9737" max="9737" width="12.7109375" style="52" customWidth="1"/>
    <col min="9738" max="9738" width="14.42578125" style="52" customWidth="1"/>
    <col min="9739" max="9739" width="13.5703125" style="52" customWidth="1"/>
    <col min="9740" max="9984" width="9.140625" style="52"/>
    <col min="9985" max="9985" width="2.7109375" style="52" customWidth="1"/>
    <col min="9986" max="9986" width="9.140625" style="52"/>
    <col min="9987" max="9987" width="40.28515625" style="52" bestFit="1" customWidth="1"/>
    <col min="9988" max="9988" width="10" style="52" customWidth="1"/>
    <col min="9989" max="9989" width="10.140625" style="52" customWidth="1"/>
    <col min="9990" max="9990" width="12.28515625" style="52" customWidth="1"/>
    <col min="9991" max="9991" width="16.28515625" style="52" customWidth="1"/>
    <col min="9992" max="9992" width="12.85546875" style="52" customWidth="1"/>
    <col min="9993" max="9993" width="12.7109375" style="52" customWidth="1"/>
    <col min="9994" max="9994" width="14.42578125" style="52" customWidth="1"/>
    <col min="9995" max="9995" width="13.5703125" style="52" customWidth="1"/>
    <col min="9996" max="10240" width="9.140625" style="52"/>
    <col min="10241" max="10241" width="2.7109375" style="52" customWidth="1"/>
    <col min="10242" max="10242" width="9.140625" style="52"/>
    <col min="10243" max="10243" width="40.28515625" style="52" bestFit="1" customWidth="1"/>
    <col min="10244" max="10244" width="10" style="52" customWidth="1"/>
    <col min="10245" max="10245" width="10.140625" style="52" customWidth="1"/>
    <col min="10246" max="10246" width="12.28515625" style="52" customWidth="1"/>
    <col min="10247" max="10247" width="16.28515625" style="52" customWidth="1"/>
    <col min="10248" max="10248" width="12.85546875" style="52" customWidth="1"/>
    <col min="10249" max="10249" width="12.7109375" style="52" customWidth="1"/>
    <col min="10250" max="10250" width="14.42578125" style="52" customWidth="1"/>
    <col min="10251" max="10251" width="13.5703125" style="52" customWidth="1"/>
    <col min="10252" max="10496" width="9.140625" style="52"/>
    <col min="10497" max="10497" width="2.7109375" style="52" customWidth="1"/>
    <col min="10498" max="10498" width="9.140625" style="52"/>
    <col min="10499" max="10499" width="40.28515625" style="52" bestFit="1" customWidth="1"/>
    <col min="10500" max="10500" width="10" style="52" customWidth="1"/>
    <col min="10501" max="10501" width="10.140625" style="52" customWidth="1"/>
    <col min="10502" max="10502" width="12.28515625" style="52" customWidth="1"/>
    <col min="10503" max="10503" width="16.28515625" style="52" customWidth="1"/>
    <col min="10504" max="10504" width="12.85546875" style="52" customWidth="1"/>
    <col min="10505" max="10505" width="12.7109375" style="52" customWidth="1"/>
    <col min="10506" max="10506" width="14.42578125" style="52" customWidth="1"/>
    <col min="10507" max="10507" width="13.5703125" style="52" customWidth="1"/>
    <col min="10508" max="10752" width="9.140625" style="52"/>
    <col min="10753" max="10753" width="2.7109375" style="52" customWidth="1"/>
    <col min="10754" max="10754" width="9.140625" style="52"/>
    <col min="10755" max="10755" width="40.28515625" style="52" bestFit="1" customWidth="1"/>
    <col min="10756" max="10756" width="10" style="52" customWidth="1"/>
    <col min="10757" max="10757" width="10.140625" style="52" customWidth="1"/>
    <col min="10758" max="10758" width="12.28515625" style="52" customWidth="1"/>
    <col min="10759" max="10759" width="16.28515625" style="52" customWidth="1"/>
    <col min="10760" max="10760" width="12.85546875" style="52" customWidth="1"/>
    <col min="10761" max="10761" width="12.7109375" style="52" customWidth="1"/>
    <col min="10762" max="10762" width="14.42578125" style="52" customWidth="1"/>
    <col min="10763" max="10763" width="13.5703125" style="52" customWidth="1"/>
    <col min="10764" max="11008" width="9.140625" style="52"/>
    <col min="11009" max="11009" width="2.7109375" style="52" customWidth="1"/>
    <col min="11010" max="11010" width="9.140625" style="52"/>
    <col min="11011" max="11011" width="40.28515625" style="52" bestFit="1" customWidth="1"/>
    <col min="11012" max="11012" width="10" style="52" customWidth="1"/>
    <col min="11013" max="11013" width="10.140625" style="52" customWidth="1"/>
    <col min="11014" max="11014" width="12.28515625" style="52" customWidth="1"/>
    <col min="11015" max="11015" width="16.28515625" style="52" customWidth="1"/>
    <col min="11016" max="11016" width="12.85546875" style="52" customWidth="1"/>
    <col min="11017" max="11017" width="12.7109375" style="52" customWidth="1"/>
    <col min="11018" max="11018" width="14.42578125" style="52" customWidth="1"/>
    <col min="11019" max="11019" width="13.5703125" style="52" customWidth="1"/>
    <col min="11020" max="11264" width="9.140625" style="52"/>
    <col min="11265" max="11265" width="2.7109375" style="52" customWidth="1"/>
    <col min="11266" max="11266" width="9.140625" style="52"/>
    <col min="11267" max="11267" width="40.28515625" style="52" bestFit="1" customWidth="1"/>
    <col min="11268" max="11268" width="10" style="52" customWidth="1"/>
    <col min="11269" max="11269" width="10.140625" style="52" customWidth="1"/>
    <col min="11270" max="11270" width="12.28515625" style="52" customWidth="1"/>
    <col min="11271" max="11271" width="16.28515625" style="52" customWidth="1"/>
    <col min="11272" max="11272" width="12.85546875" style="52" customWidth="1"/>
    <col min="11273" max="11273" width="12.7109375" style="52" customWidth="1"/>
    <col min="11274" max="11274" width="14.42578125" style="52" customWidth="1"/>
    <col min="11275" max="11275" width="13.5703125" style="52" customWidth="1"/>
    <col min="11276" max="11520" width="9.140625" style="52"/>
    <col min="11521" max="11521" width="2.7109375" style="52" customWidth="1"/>
    <col min="11522" max="11522" width="9.140625" style="52"/>
    <col min="11523" max="11523" width="40.28515625" style="52" bestFit="1" customWidth="1"/>
    <col min="11524" max="11524" width="10" style="52" customWidth="1"/>
    <col min="11525" max="11525" width="10.140625" style="52" customWidth="1"/>
    <col min="11526" max="11526" width="12.28515625" style="52" customWidth="1"/>
    <col min="11527" max="11527" width="16.28515625" style="52" customWidth="1"/>
    <col min="11528" max="11528" width="12.85546875" style="52" customWidth="1"/>
    <col min="11529" max="11529" width="12.7109375" style="52" customWidth="1"/>
    <col min="11530" max="11530" width="14.42578125" style="52" customWidth="1"/>
    <col min="11531" max="11531" width="13.5703125" style="52" customWidth="1"/>
    <col min="11532" max="11776" width="9.140625" style="52"/>
    <col min="11777" max="11777" width="2.7109375" style="52" customWidth="1"/>
    <col min="11778" max="11778" width="9.140625" style="52"/>
    <col min="11779" max="11779" width="40.28515625" style="52" bestFit="1" customWidth="1"/>
    <col min="11780" max="11780" width="10" style="52" customWidth="1"/>
    <col min="11781" max="11781" width="10.140625" style="52" customWidth="1"/>
    <col min="11782" max="11782" width="12.28515625" style="52" customWidth="1"/>
    <col min="11783" max="11783" width="16.28515625" style="52" customWidth="1"/>
    <col min="11784" max="11784" width="12.85546875" style="52" customWidth="1"/>
    <col min="11785" max="11785" width="12.7109375" style="52" customWidth="1"/>
    <col min="11786" max="11786" width="14.42578125" style="52" customWidth="1"/>
    <col min="11787" max="11787" width="13.5703125" style="52" customWidth="1"/>
    <col min="11788" max="12032" width="9.140625" style="52"/>
    <col min="12033" max="12033" width="2.7109375" style="52" customWidth="1"/>
    <col min="12034" max="12034" width="9.140625" style="52"/>
    <col min="12035" max="12035" width="40.28515625" style="52" bestFit="1" customWidth="1"/>
    <col min="12036" max="12036" width="10" style="52" customWidth="1"/>
    <col min="12037" max="12037" width="10.140625" style="52" customWidth="1"/>
    <col min="12038" max="12038" width="12.28515625" style="52" customWidth="1"/>
    <col min="12039" max="12039" width="16.28515625" style="52" customWidth="1"/>
    <col min="12040" max="12040" width="12.85546875" style="52" customWidth="1"/>
    <col min="12041" max="12041" width="12.7109375" style="52" customWidth="1"/>
    <col min="12042" max="12042" width="14.42578125" style="52" customWidth="1"/>
    <col min="12043" max="12043" width="13.5703125" style="52" customWidth="1"/>
    <col min="12044" max="12288" width="9.140625" style="52"/>
    <col min="12289" max="12289" width="2.7109375" style="52" customWidth="1"/>
    <col min="12290" max="12290" width="9.140625" style="52"/>
    <col min="12291" max="12291" width="40.28515625" style="52" bestFit="1" customWidth="1"/>
    <col min="12292" max="12292" width="10" style="52" customWidth="1"/>
    <col min="12293" max="12293" width="10.140625" style="52" customWidth="1"/>
    <col min="12294" max="12294" width="12.28515625" style="52" customWidth="1"/>
    <col min="12295" max="12295" width="16.28515625" style="52" customWidth="1"/>
    <col min="12296" max="12296" width="12.85546875" style="52" customWidth="1"/>
    <col min="12297" max="12297" width="12.7109375" style="52" customWidth="1"/>
    <col min="12298" max="12298" width="14.42578125" style="52" customWidth="1"/>
    <col min="12299" max="12299" width="13.5703125" style="52" customWidth="1"/>
    <col min="12300" max="12544" width="9.140625" style="52"/>
    <col min="12545" max="12545" width="2.7109375" style="52" customWidth="1"/>
    <col min="12546" max="12546" width="9.140625" style="52"/>
    <col min="12547" max="12547" width="40.28515625" style="52" bestFit="1" customWidth="1"/>
    <col min="12548" max="12548" width="10" style="52" customWidth="1"/>
    <col min="12549" max="12549" width="10.140625" style="52" customWidth="1"/>
    <col min="12550" max="12550" width="12.28515625" style="52" customWidth="1"/>
    <col min="12551" max="12551" width="16.28515625" style="52" customWidth="1"/>
    <col min="12552" max="12552" width="12.85546875" style="52" customWidth="1"/>
    <col min="12553" max="12553" width="12.7109375" style="52" customWidth="1"/>
    <col min="12554" max="12554" width="14.42578125" style="52" customWidth="1"/>
    <col min="12555" max="12555" width="13.5703125" style="52" customWidth="1"/>
    <col min="12556" max="12800" width="9.140625" style="52"/>
    <col min="12801" max="12801" width="2.7109375" style="52" customWidth="1"/>
    <col min="12802" max="12802" width="9.140625" style="52"/>
    <col min="12803" max="12803" width="40.28515625" style="52" bestFit="1" customWidth="1"/>
    <col min="12804" max="12804" width="10" style="52" customWidth="1"/>
    <col min="12805" max="12805" width="10.140625" style="52" customWidth="1"/>
    <col min="12806" max="12806" width="12.28515625" style="52" customWidth="1"/>
    <col min="12807" max="12807" width="16.28515625" style="52" customWidth="1"/>
    <col min="12808" max="12808" width="12.85546875" style="52" customWidth="1"/>
    <col min="12809" max="12809" width="12.7109375" style="52" customWidth="1"/>
    <col min="12810" max="12810" width="14.42578125" style="52" customWidth="1"/>
    <col min="12811" max="12811" width="13.5703125" style="52" customWidth="1"/>
    <col min="12812" max="13056" width="9.140625" style="52"/>
    <col min="13057" max="13057" width="2.7109375" style="52" customWidth="1"/>
    <col min="13058" max="13058" width="9.140625" style="52"/>
    <col min="13059" max="13059" width="40.28515625" style="52" bestFit="1" customWidth="1"/>
    <col min="13060" max="13060" width="10" style="52" customWidth="1"/>
    <col min="13061" max="13061" width="10.140625" style="52" customWidth="1"/>
    <col min="13062" max="13062" width="12.28515625" style="52" customWidth="1"/>
    <col min="13063" max="13063" width="16.28515625" style="52" customWidth="1"/>
    <col min="13064" max="13064" width="12.85546875" style="52" customWidth="1"/>
    <col min="13065" max="13065" width="12.7109375" style="52" customWidth="1"/>
    <col min="13066" max="13066" width="14.42578125" style="52" customWidth="1"/>
    <col min="13067" max="13067" width="13.5703125" style="52" customWidth="1"/>
    <col min="13068" max="13312" width="9.140625" style="52"/>
    <col min="13313" max="13313" width="2.7109375" style="52" customWidth="1"/>
    <col min="13314" max="13314" width="9.140625" style="52"/>
    <col min="13315" max="13315" width="40.28515625" style="52" bestFit="1" customWidth="1"/>
    <col min="13316" max="13316" width="10" style="52" customWidth="1"/>
    <col min="13317" max="13317" width="10.140625" style="52" customWidth="1"/>
    <col min="13318" max="13318" width="12.28515625" style="52" customWidth="1"/>
    <col min="13319" max="13319" width="16.28515625" style="52" customWidth="1"/>
    <col min="13320" max="13320" width="12.85546875" style="52" customWidth="1"/>
    <col min="13321" max="13321" width="12.7109375" style="52" customWidth="1"/>
    <col min="13322" max="13322" width="14.42578125" style="52" customWidth="1"/>
    <col min="13323" max="13323" width="13.5703125" style="52" customWidth="1"/>
    <col min="13324" max="13568" width="9.140625" style="52"/>
    <col min="13569" max="13569" width="2.7109375" style="52" customWidth="1"/>
    <col min="13570" max="13570" width="9.140625" style="52"/>
    <col min="13571" max="13571" width="40.28515625" style="52" bestFit="1" customWidth="1"/>
    <col min="13572" max="13572" width="10" style="52" customWidth="1"/>
    <col min="13573" max="13573" width="10.140625" style="52" customWidth="1"/>
    <col min="13574" max="13574" width="12.28515625" style="52" customWidth="1"/>
    <col min="13575" max="13575" width="16.28515625" style="52" customWidth="1"/>
    <col min="13576" max="13576" width="12.85546875" style="52" customWidth="1"/>
    <col min="13577" max="13577" width="12.7109375" style="52" customWidth="1"/>
    <col min="13578" max="13578" width="14.42578125" style="52" customWidth="1"/>
    <col min="13579" max="13579" width="13.5703125" style="52" customWidth="1"/>
    <col min="13580" max="13824" width="9.140625" style="52"/>
    <col min="13825" max="13825" width="2.7109375" style="52" customWidth="1"/>
    <col min="13826" max="13826" width="9.140625" style="52"/>
    <col min="13827" max="13827" width="40.28515625" style="52" bestFit="1" customWidth="1"/>
    <col min="13828" max="13828" width="10" style="52" customWidth="1"/>
    <col min="13829" max="13829" width="10.140625" style="52" customWidth="1"/>
    <col min="13830" max="13830" width="12.28515625" style="52" customWidth="1"/>
    <col min="13831" max="13831" width="16.28515625" style="52" customWidth="1"/>
    <col min="13832" max="13832" width="12.85546875" style="52" customWidth="1"/>
    <col min="13833" max="13833" width="12.7109375" style="52" customWidth="1"/>
    <col min="13834" max="13834" width="14.42578125" style="52" customWidth="1"/>
    <col min="13835" max="13835" width="13.5703125" style="52" customWidth="1"/>
    <col min="13836" max="14080" width="9.140625" style="52"/>
    <col min="14081" max="14081" width="2.7109375" style="52" customWidth="1"/>
    <col min="14082" max="14082" width="9.140625" style="52"/>
    <col min="14083" max="14083" width="40.28515625" style="52" bestFit="1" customWidth="1"/>
    <col min="14084" max="14084" width="10" style="52" customWidth="1"/>
    <col min="14085" max="14085" width="10.140625" style="52" customWidth="1"/>
    <col min="14086" max="14086" width="12.28515625" style="52" customWidth="1"/>
    <col min="14087" max="14087" width="16.28515625" style="52" customWidth="1"/>
    <col min="14088" max="14088" width="12.85546875" style="52" customWidth="1"/>
    <col min="14089" max="14089" width="12.7109375" style="52" customWidth="1"/>
    <col min="14090" max="14090" width="14.42578125" style="52" customWidth="1"/>
    <col min="14091" max="14091" width="13.5703125" style="52" customWidth="1"/>
    <col min="14092" max="14336" width="9.140625" style="52"/>
    <col min="14337" max="14337" width="2.7109375" style="52" customWidth="1"/>
    <col min="14338" max="14338" width="9.140625" style="52"/>
    <col min="14339" max="14339" width="40.28515625" style="52" bestFit="1" customWidth="1"/>
    <col min="14340" max="14340" width="10" style="52" customWidth="1"/>
    <col min="14341" max="14341" width="10.140625" style="52" customWidth="1"/>
    <col min="14342" max="14342" width="12.28515625" style="52" customWidth="1"/>
    <col min="14343" max="14343" width="16.28515625" style="52" customWidth="1"/>
    <col min="14344" max="14344" width="12.85546875" style="52" customWidth="1"/>
    <col min="14345" max="14345" width="12.7109375" style="52" customWidth="1"/>
    <col min="14346" max="14346" width="14.42578125" style="52" customWidth="1"/>
    <col min="14347" max="14347" width="13.5703125" style="52" customWidth="1"/>
    <col min="14348" max="14592" width="9.140625" style="52"/>
    <col min="14593" max="14593" width="2.7109375" style="52" customWidth="1"/>
    <col min="14594" max="14594" width="9.140625" style="52"/>
    <col min="14595" max="14595" width="40.28515625" style="52" bestFit="1" customWidth="1"/>
    <col min="14596" max="14596" width="10" style="52" customWidth="1"/>
    <col min="14597" max="14597" width="10.140625" style="52" customWidth="1"/>
    <col min="14598" max="14598" width="12.28515625" style="52" customWidth="1"/>
    <col min="14599" max="14599" width="16.28515625" style="52" customWidth="1"/>
    <col min="14600" max="14600" width="12.85546875" style="52" customWidth="1"/>
    <col min="14601" max="14601" width="12.7109375" style="52" customWidth="1"/>
    <col min="14602" max="14602" width="14.42578125" style="52" customWidth="1"/>
    <col min="14603" max="14603" width="13.5703125" style="52" customWidth="1"/>
    <col min="14604" max="14848" width="9.140625" style="52"/>
    <col min="14849" max="14849" width="2.7109375" style="52" customWidth="1"/>
    <col min="14850" max="14850" width="9.140625" style="52"/>
    <col min="14851" max="14851" width="40.28515625" style="52" bestFit="1" customWidth="1"/>
    <col min="14852" max="14852" width="10" style="52" customWidth="1"/>
    <col min="14853" max="14853" width="10.140625" style="52" customWidth="1"/>
    <col min="14854" max="14854" width="12.28515625" style="52" customWidth="1"/>
    <col min="14855" max="14855" width="16.28515625" style="52" customWidth="1"/>
    <col min="14856" max="14856" width="12.85546875" style="52" customWidth="1"/>
    <col min="14857" max="14857" width="12.7109375" style="52" customWidth="1"/>
    <col min="14858" max="14858" width="14.42578125" style="52" customWidth="1"/>
    <col min="14859" max="14859" width="13.5703125" style="52" customWidth="1"/>
    <col min="14860" max="15104" width="9.140625" style="52"/>
    <col min="15105" max="15105" width="2.7109375" style="52" customWidth="1"/>
    <col min="15106" max="15106" width="9.140625" style="52"/>
    <col min="15107" max="15107" width="40.28515625" style="52" bestFit="1" customWidth="1"/>
    <col min="15108" max="15108" width="10" style="52" customWidth="1"/>
    <col min="15109" max="15109" width="10.140625" style="52" customWidth="1"/>
    <col min="15110" max="15110" width="12.28515625" style="52" customWidth="1"/>
    <col min="15111" max="15111" width="16.28515625" style="52" customWidth="1"/>
    <col min="15112" max="15112" width="12.85546875" style="52" customWidth="1"/>
    <col min="15113" max="15113" width="12.7109375" style="52" customWidth="1"/>
    <col min="15114" max="15114" width="14.42578125" style="52" customWidth="1"/>
    <col min="15115" max="15115" width="13.5703125" style="52" customWidth="1"/>
    <col min="15116" max="15360" width="9.140625" style="52"/>
    <col min="15361" max="15361" width="2.7109375" style="52" customWidth="1"/>
    <col min="15362" max="15362" width="9.140625" style="52"/>
    <col min="15363" max="15363" width="40.28515625" style="52" bestFit="1" customWidth="1"/>
    <col min="15364" max="15364" width="10" style="52" customWidth="1"/>
    <col min="15365" max="15365" width="10.140625" style="52" customWidth="1"/>
    <col min="15366" max="15366" width="12.28515625" style="52" customWidth="1"/>
    <col min="15367" max="15367" width="16.28515625" style="52" customWidth="1"/>
    <col min="15368" max="15368" width="12.85546875" style="52" customWidth="1"/>
    <col min="15369" max="15369" width="12.7109375" style="52" customWidth="1"/>
    <col min="15370" max="15370" width="14.42578125" style="52" customWidth="1"/>
    <col min="15371" max="15371" width="13.5703125" style="52" customWidth="1"/>
    <col min="15372" max="15616" width="9.140625" style="52"/>
    <col min="15617" max="15617" width="2.7109375" style="52" customWidth="1"/>
    <col min="15618" max="15618" width="9.140625" style="52"/>
    <col min="15619" max="15619" width="40.28515625" style="52" bestFit="1" customWidth="1"/>
    <col min="15620" max="15620" width="10" style="52" customWidth="1"/>
    <col min="15621" max="15621" width="10.140625" style="52" customWidth="1"/>
    <col min="15622" max="15622" width="12.28515625" style="52" customWidth="1"/>
    <col min="15623" max="15623" width="16.28515625" style="52" customWidth="1"/>
    <col min="15624" max="15624" width="12.85546875" style="52" customWidth="1"/>
    <col min="15625" max="15625" width="12.7109375" style="52" customWidth="1"/>
    <col min="15626" max="15626" width="14.42578125" style="52" customWidth="1"/>
    <col min="15627" max="15627" width="13.5703125" style="52" customWidth="1"/>
    <col min="15628" max="15872" width="9.140625" style="52"/>
    <col min="15873" max="15873" width="2.7109375" style="52" customWidth="1"/>
    <col min="15874" max="15874" width="9.140625" style="52"/>
    <col min="15875" max="15875" width="40.28515625" style="52" bestFit="1" customWidth="1"/>
    <col min="15876" max="15876" width="10" style="52" customWidth="1"/>
    <col min="15877" max="15877" width="10.140625" style="52" customWidth="1"/>
    <col min="15878" max="15878" width="12.28515625" style="52" customWidth="1"/>
    <col min="15879" max="15879" width="16.28515625" style="52" customWidth="1"/>
    <col min="15880" max="15880" width="12.85546875" style="52" customWidth="1"/>
    <col min="15881" max="15881" width="12.7109375" style="52" customWidth="1"/>
    <col min="15882" max="15882" width="14.42578125" style="52" customWidth="1"/>
    <col min="15883" max="15883" width="13.5703125" style="52" customWidth="1"/>
    <col min="15884" max="16128" width="9.140625" style="52"/>
    <col min="16129" max="16129" width="2.7109375" style="52" customWidth="1"/>
    <col min="16130" max="16130" width="9.140625" style="52"/>
    <col min="16131" max="16131" width="40.28515625" style="52" bestFit="1" customWidth="1"/>
    <col min="16132" max="16132" width="10" style="52" customWidth="1"/>
    <col min="16133" max="16133" width="10.140625" style="52" customWidth="1"/>
    <col min="16134" max="16134" width="12.28515625" style="52" customWidth="1"/>
    <col min="16135" max="16135" width="16.28515625" style="52" customWidth="1"/>
    <col min="16136" max="16136" width="12.85546875" style="52" customWidth="1"/>
    <col min="16137" max="16137" width="12.7109375" style="52" customWidth="1"/>
    <col min="16138" max="16138" width="14.42578125" style="52" customWidth="1"/>
    <col min="16139" max="16139" width="13.5703125" style="52" customWidth="1"/>
    <col min="16140" max="16384" width="9.140625" style="52"/>
  </cols>
  <sheetData>
    <row r="1" spans="1:15" x14ac:dyDescent="0.2">
      <c r="D1" s="154"/>
      <c r="E1" s="155"/>
      <c r="F1" s="155"/>
      <c r="G1" s="155"/>
      <c r="H1" s="155"/>
      <c r="J1" s="152" t="s">
        <v>301</v>
      </c>
      <c r="K1" s="1092" t="str">
        <f>EBNUMBER</f>
        <v>EB-2016-0066</v>
      </c>
      <c r="L1" s="155"/>
    </row>
    <row r="2" spans="1:15" x14ac:dyDescent="0.2">
      <c r="D2" s="154"/>
      <c r="E2" s="155"/>
      <c r="F2" s="155"/>
      <c r="G2" s="155"/>
      <c r="H2" s="155"/>
      <c r="J2" s="152" t="s">
        <v>302</v>
      </c>
      <c r="K2" s="51"/>
      <c r="L2" s="155"/>
    </row>
    <row r="3" spans="1:15" x14ac:dyDescent="0.2">
      <c r="D3" s="154"/>
      <c r="E3" s="155"/>
      <c r="F3" s="155"/>
      <c r="G3" s="155"/>
      <c r="H3" s="155"/>
      <c r="J3" s="152" t="s">
        <v>303</v>
      </c>
      <c r="K3" s="51"/>
      <c r="L3" s="155"/>
    </row>
    <row r="4" spans="1:15" x14ac:dyDescent="0.2">
      <c r="D4" s="154"/>
      <c r="E4" s="155"/>
      <c r="F4" s="155"/>
      <c r="G4" s="155"/>
      <c r="H4" s="155"/>
      <c r="J4" s="152" t="s">
        <v>304</v>
      </c>
      <c r="K4" s="51"/>
      <c r="L4" s="155"/>
    </row>
    <row r="5" spans="1:15" x14ac:dyDescent="0.2">
      <c r="D5" s="154"/>
      <c r="E5" s="155"/>
      <c r="F5" s="155"/>
      <c r="G5" s="155"/>
      <c r="H5" s="155"/>
      <c r="J5" s="152" t="s">
        <v>305</v>
      </c>
      <c r="K5" s="1093"/>
      <c r="L5" s="155"/>
    </row>
    <row r="6" spans="1:15" x14ac:dyDescent="0.2">
      <c r="D6" s="154"/>
      <c r="E6" s="155"/>
      <c r="F6" s="155"/>
      <c r="G6" s="155"/>
      <c r="H6" s="155"/>
      <c r="J6" s="152"/>
      <c r="K6" s="1092"/>
      <c r="L6" s="155"/>
    </row>
    <row r="7" spans="1:15" x14ac:dyDescent="0.2">
      <c r="D7" s="154"/>
      <c r="E7" s="155"/>
      <c r="F7" s="155"/>
      <c r="G7" s="155"/>
      <c r="H7" s="239"/>
      <c r="J7" s="152" t="s">
        <v>306</v>
      </c>
      <c r="K7" s="1093"/>
      <c r="L7" s="239"/>
    </row>
    <row r="9" spans="1:15" ht="18" x14ac:dyDescent="0.2">
      <c r="A9" s="1609" t="s">
        <v>1443</v>
      </c>
      <c r="B9" s="1609"/>
      <c r="C9" s="1609"/>
      <c r="D9" s="1609"/>
      <c r="E9" s="1609"/>
      <c r="F9" s="1609"/>
      <c r="G9" s="1609"/>
      <c r="H9" s="1609"/>
      <c r="I9" s="1609"/>
      <c r="J9" s="1609"/>
      <c r="K9" s="1609"/>
    </row>
    <row r="10" spans="1:15" ht="18" x14ac:dyDescent="0.2">
      <c r="A10" s="1609" t="s">
        <v>2</v>
      </c>
      <c r="B10" s="1609"/>
      <c r="C10" s="1609"/>
      <c r="D10" s="1609"/>
      <c r="E10" s="1609"/>
      <c r="F10" s="1609"/>
      <c r="G10" s="1609"/>
      <c r="H10" s="1609"/>
      <c r="I10" s="1609"/>
      <c r="J10" s="1609"/>
      <c r="K10" s="1609"/>
    </row>
    <row r="11" spans="1:15" ht="24" customHeight="1" x14ac:dyDescent="0.2">
      <c r="A11" s="1680" t="s">
        <v>1058</v>
      </c>
      <c r="B11" s="1680"/>
      <c r="C11" s="1680"/>
      <c r="D11" s="1680"/>
      <c r="E11" s="1680"/>
      <c r="F11" s="1680"/>
      <c r="G11" s="1680"/>
      <c r="H11" s="1680"/>
      <c r="I11" s="1680"/>
      <c r="J11" s="1680"/>
      <c r="K11" s="1680"/>
    </row>
    <row r="12" spans="1:15" ht="39.75" customHeight="1" x14ac:dyDescent="0.2">
      <c r="A12" s="1067"/>
      <c r="B12" s="1067"/>
      <c r="C12" s="1067"/>
      <c r="D12" s="1067"/>
      <c r="E12" s="1067"/>
      <c r="F12" s="1067"/>
      <c r="G12" s="1067"/>
      <c r="H12" s="1067"/>
      <c r="I12" s="1067"/>
      <c r="J12" s="1067"/>
      <c r="K12" s="1067"/>
    </row>
    <row r="13" spans="1:15" ht="39.75" customHeight="1" x14ac:dyDescent="0.25">
      <c r="A13" s="1700" t="s">
        <v>1042</v>
      </c>
      <c r="B13" s="1701"/>
      <c r="C13" s="878"/>
      <c r="D13" s="1115"/>
      <c r="E13" s="1110"/>
      <c r="F13" s="1110"/>
      <c r="G13" s="1110"/>
      <c r="H13" s="1109"/>
      <c r="I13" s="1109"/>
      <c r="J13" s="1116" t="s">
        <v>1057</v>
      </c>
      <c r="K13" s="1116" t="s">
        <v>882</v>
      </c>
      <c r="L13" s="159"/>
      <c r="M13" s="1120"/>
      <c r="N13" s="1102"/>
      <c r="O13" s="1102"/>
    </row>
    <row r="14" spans="1:15" ht="39.75" customHeight="1" x14ac:dyDescent="0.25">
      <c r="A14" s="1693" t="s">
        <v>1101</v>
      </c>
      <c r="B14" s="1694"/>
      <c r="C14" s="1682" t="s">
        <v>1076</v>
      </c>
      <c r="D14" s="1652"/>
      <c r="E14" s="1652"/>
      <c r="F14" s="1652"/>
      <c r="G14" s="1652"/>
      <c r="H14" s="1652"/>
      <c r="I14" s="1652"/>
      <c r="J14" s="1118">
        <v>2014</v>
      </c>
      <c r="K14" s="1125" t="s">
        <v>891</v>
      </c>
      <c r="L14" s="159"/>
      <c r="M14" s="1121"/>
      <c r="N14" s="1102"/>
      <c r="O14" s="1102"/>
    </row>
    <row r="15" spans="1:15" ht="39.75" customHeight="1" x14ac:dyDescent="0.2">
      <c r="A15" s="1693" t="s">
        <v>1102</v>
      </c>
      <c r="B15" s="1694"/>
      <c r="C15" s="1682" t="s">
        <v>1077</v>
      </c>
      <c r="D15" s="1652"/>
      <c r="E15" s="1652"/>
      <c r="F15" s="1652"/>
      <c r="G15" s="1652"/>
      <c r="H15" s="1652"/>
      <c r="I15" s="1652"/>
      <c r="J15" s="1118">
        <v>2015</v>
      </c>
      <c r="K15" s="1125" t="s">
        <v>105</v>
      </c>
      <c r="L15" s="159"/>
      <c r="M15" s="1121"/>
      <c r="N15" s="331"/>
      <c r="O15" s="331"/>
    </row>
    <row r="16" spans="1:15" ht="15" x14ac:dyDescent="0.2">
      <c r="A16" s="1126"/>
      <c r="B16" s="1126"/>
      <c r="C16" s="1111"/>
      <c r="D16" s="1111"/>
      <c r="E16" s="1111"/>
      <c r="F16" s="1111"/>
      <c r="G16" s="1111"/>
      <c r="H16" s="1111"/>
      <c r="I16" s="1111"/>
      <c r="J16" s="1119"/>
      <c r="K16" s="1127"/>
      <c r="L16" s="159"/>
      <c r="M16" s="1121"/>
      <c r="N16" s="331"/>
      <c r="O16" s="331"/>
    </row>
    <row r="17" spans="1:11" ht="13.5" thickBot="1" x14ac:dyDescent="0.25"/>
    <row r="18" spans="1:11" ht="52.5" customHeight="1" x14ac:dyDescent="0.2">
      <c r="A18" s="1685" t="s">
        <v>3</v>
      </c>
      <c r="B18" s="1687" t="s">
        <v>235</v>
      </c>
      <c r="C18" s="245" t="s">
        <v>237</v>
      </c>
      <c r="D18" s="245" t="s">
        <v>395</v>
      </c>
      <c r="E18" s="245" t="s">
        <v>385</v>
      </c>
      <c r="F18" s="277" t="s">
        <v>1080</v>
      </c>
      <c r="G18" s="1697" t="s">
        <v>1081</v>
      </c>
      <c r="H18" s="277" t="s">
        <v>388</v>
      </c>
      <c r="I18" s="277" t="s">
        <v>1047</v>
      </c>
      <c r="J18" s="1697" t="s">
        <v>1088</v>
      </c>
      <c r="K18" s="277" t="s">
        <v>1055</v>
      </c>
    </row>
    <row r="19" spans="1:11" ht="54" customHeight="1" thickBot="1" x14ac:dyDescent="0.25">
      <c r="A19" s="1695"/>
      <c r="B19" s="1696"/>
      <c r="C19" s="278" t="s">
        <v>5</v>
      </c>
      <c r="D19" s="278" t="s">
        <v>7</v>
      </c>
      <c r="E19" s="278" t="s">
        <v>8</v>
      </c>
      <c r="F19" s="296" t="s">
        <v>1085</v>
      </c>
      <c r="G19" s="1698"/>
      <c r="H19" s="281" t="s">
        <v>382</v>
      </c>
      <c r="I19" s="281" t="s">
        <v>396</v>
      </c>
      <c r="J19" s="1699"/>
      <c r="K19" s="297" t="s">
        <v>1056</v>
      </c>
    </row>
    <row r="20" spans="1:11" ht="25.5" x14ac:dyDescent="0.2">
      <c r="A20" s="1058">
        <v>1611</v>
      </c>
      <c r="B20" s="172" t="s">
        <v>381</v>
      </c>
      <c r="C20" s="173"/>
      <c r="D20" s="298"/>
      <c r="E20" s="299">
        <f t="shared" ref="E20:E56" si="0">IF(D20=0,0,1/D20)</f>
        <v>0</v>
      </c>
      <c r="F20" s="191">
        <f>IF(D20=0,+'App.2-CC_DepExp_Yr2'!K20,+'App.2-CC_DepExp_Yr2'!K20+((C20*0.5)/D20))</f>
        <v>0</v>
      </c>
      <c r="G20" s="173"/>
      <c r="H20" s="191">
        <f t="shared" ref="H20:H57" si="1">IF(ISERROR(+F20-G20), 0, +F20-G20)</f>
        <v>0</v>
      </c>
      <c r="I20" s="191">
        <f>IF(D20=0,0,+(C20)/D20)</f>
        <v>0</v>
      </c>
      <c r="J20" s="173"/>
      <c r="K20" s="191">
        <f>IF(ISERROR(+I20+'App.2-CC_DepExp_Yr2'!K20-J20), 0, +I20+'App.2-CC_DepExp_Yr2'!K20-J20)</f>
        <v>0</v>
      </c>
    </row>
    <row r="21" spans="1:11" ht="25.5" x14ac:dyDescent="0.2">
      <c r="A21" s="1058">
        <v>1612</v>
      </c>
      <c r="B21" s="172" t="s">
        <v>442</v>
      </c>
      <c r="C21" s="173"/>
      <c r="D21" s="250"/>
      <c r="E21" s="251">
        <f t="shared" si="0"/>
        <v>0</v>
      </c>
      <c r="F21" s="191">
        <f>IF(D21=0,+'App.2-CC_DepExp_Yr2'!K21,+'App.2-CC_DepExp_Yr2'!K21+((C21*0.5)/D21))</f>
        <v>0</v>
      </c>
      <c r="G21" s="173"/>
      <c r="H21" s="191">
        <f t="shared" si="1"/>
        <v>0</v>
      </c>
      <c r="I21" s="191">
        <f t="shared" ref="I21:I57" si="2">IF(D21=0,0,+(C21)/D21)</f>
        <v>0</v>
      </c>
      <c r="J21" s="173"/>
      <c r="K21" s="191">
        <f>IF(ISERROR(+I21+'App.2-CC_DepExp_Yr2'!K21-J21), 0, +I21+'App.2-CC_DepExp_Yr2'!K21-J21)</f>
        <v>0</v>
      </c>
    </row>
    <row r="22" spans="1:11" x14ac:dyDescent="0.2">
      <c r="A22" s="178">
        <v>1805</v>
      </c>
      <c r="B22" s="179" t="s">
        <v>267</v>
      </c>
      <c r="C22" s="173"/>
      <c r="D22" s="250"/>
      <c r="E22" s="251">
        <f t="shared" si="0"/>
        <v>0</v>
      </c>
      <c r="F22" s="191">
        <f>IF(D22=0,+'App.2-CC_DepExp_Yr2'!K22,+'App.2-CC_DepExp_Yr2'!K22+((C22*0.5)/D22))</f>
        <v>0</v>
      </c>
      <c r="G22" s="173"/>
      <c r="H22" s="191">
        <f t="shared" si="1"/>
        <v>0</v>
      </c>
      <c r="I22" s="191">
        <f t="shared" si="2"/>
        <v>0</v>
      </c>
      <c r="J22" s="173"/>
      <c r="K22" s="191">
        <f>IF(ISERROR(+I22+'App.2-CC_DepExp_Yr2'!K22-J22), 0, +I22+'App.2-CC_DepExp_Yr2'!K22-J22)</f>
        <v>0</v>
      </c>
    </row>
    <row r="23" spans="1:11" x14ac:dyDescent="0.2">
      <c r="A23" s="1058">
        <v>1808</v>
      </c>
      <c r="B23" s="180" t="s">
        <v>268</v>
      </c>
      <c r="C23" s="173"/>
      <c r="D23" s="250"/>
      <c r="E23" s="251">
        <f t="shared" si="0"/>
        <v>0</v>
      </c>
      <c r="F23" s="191">
        <f>IF(D23=0,+'App.2-CC_DepExp_Yr2'!K23,+'App.2-CC_DepExp_Yr2'!K23+((C23*0.5)/D23))</f>
        <v>0</v>
      </c>
      <c r="G23" s="173"/>
      <c r="H23" s="191">
        <f t="shared" si="1"/>
        <v>0</v>
      </c>
      <c r="I23" s="191">
        <f t="shared" si="2"/>
        <v>0</v>
      </c>
      <c r="J23" s="173"/>
      <c r="K23" s="191">
        <f>IF(ISERROR(+I23+'App.2-CC_DepExp_Yr2'!K23-J23), 0, +I23+'App.2-CC_DepExp_Yr2'!K23-J23)</f>
        <v>0</v>
      </c>
    </row>
    <row r="24" spans="1:11" x14ac:dyDescent="0.2">
      <c r="A24" s="1058">
        <v>1810</v>
      </c>
      <c r="B24" s="180" t="s">
        <v>299</v>
      </c>
      <c r="C24" s="173"/>
      <c r="D24" s="250"/>
      <c r="E24" s="251">
        <f t="shared" si="0"/>
        <v>0</v>
      </c>
      <c r="F24" s="191">
        <f>IF(D24=0,+'App.2-CC_DepExp_Yr2'!K24,+'App.2-CC_DepExp_Yr2'!K24+((C24*0.5)/D24))</f>
        <v>0</v>
      </c>
      <c r="G24" s="173"/>
      <c r="H24" s="191">
        <f t="shared" si="1"/>
        <v>0</v>
      </c>
      <c r="I24" s="191">
        <f t="shared" si="2"/>
        <v>0</v>
      </c>
      <c r="J24" s="173"/>
      <c r="K24" s="191">
        <f>IF(ISERROR(+I24+'App.2-CC_DepExp_Yr2'!K24-J24), 0, +I24+'App.2-CC_DepExp_Yr2'!K24-J24)</f>
        <v>0</v>
      </c>
    </row>
    <row r="25" spans="1:11" x14ac:dyDescent="0.2">
      <c r="A25" s="1058">
        <v>1815</v>
      </c>
      <c r="B25" s="180" t="s">
        <v>269</v>
      </c>
      <c r="C25" s="173"/>
      <c r="D25" s="250"/>
      <c r="E25" s="251">
        <f t="shared" si="0"/>
        <v>0</v>
      </c>
      <c r="F25" s="191">
        <f>IF(D25=0,+'App.2-CC_DepExp_Yr2'!K25,+'App.2-CC_DepExp_Yr2'!K25+((C25*0.5)/D25))</f>
        <v>0</v>
      </c>
      <c r="G25" s="173"/>
      <c r="H25" s="191">
        <f t="shared" si="1"/>
        <v>0</v>
      </c>
      <c r="I25" s="191">
        <f t="shared" si="2"/>
        <v>0</v>
      </c>
      <c r="J25" s="173"/>
      <c r="K25" s="191">
        <f>IF(ISERROR(+I25+'App.2-CC_DepExp_Yr2'!K25-J25), 0, +I25+'App.2-CC_DepExp_Yr2'!K25-J25)</f>
        <v>0</v>
      </c>
    </row>
    <row r="26" spans="1:11" x14ac:dyDescent="0.2">
      <c r="A26" s="1058">
        <v>1820</v>
      </c>
      <c r="B26" s="172" t="s">
        <v>207</v>
      </c>
      <c r="C26" s="173"/>
      <c r="D26" s="250"/>
      <c r="E26" s="251">
        <f t="shared" si="0"/>
        <v>0</v>
      </c>
      <c r="F26" s="191">
        <f>IF(D26=0,+'App.2-CC_DepExp_Yr2'!K26,+'App.2-CC_DepExp_Yr2'!K26+((C26*0.5)/D26))</f>
        <v>0</v>
      </c>
      <c r="G26" s="173"/>
      <c r="H26" s="191">
        <f t="shared" si="1"/>
        <v>0</v>
      </c>
      <c r="I26" s="191">
        <f t="shared" si="2"/>
        <v>0</v>
      </c>
      <c r="J26" s="173"/>
      <c r="K26" s="191">
        <f>IF(ISERROR(+I26+'App.2-CC_DepExp_Yr2'!K26-J26), 0, +I26+'App.2-CC_DepExp_Yr2'!K26-J26)</f>
        <v>0</v>
      </c>
    </row>
    <row r="27" spans="1:11" x14ac:dyDescent="0.2">
      <c r="A27" s="1058">
        <v>1825</v>
      </c>
      <c r="B27" s="180" t="s">
        <v>270</v>
      </c>
      <c r="C27" s="173"/>
      <c r="D27" s="250"/>
      <c r="E27" s="251">
        <f t="shared" si="0"/>
        <v>0</v>
      </c>
      <c r="F27" s="191">
        <f>IF(D27=0,+'App.2-CC_DepExp_Yr2'!K27,+'App.2-CC_DepExp_Yr2'!K27+((C27*0.5)/D27))</f>
        <v>0</v>
      </c>
      <c r="G27" s="173"/>
      <c r="H27" s="191">
        <f t="shared" si="1"/>
        <v>0</v>
      </c>
      <c r="I27" s="191">
        <f t="shared" si="2"/>
        <v>0</v>
      </c>
      <c r="J27" s="173"/>
      <c r="K27" s="191">
        <f>IF(ISERROR(+I27+'App.2-CC_DepExp_Yr2'!K27-J27), 0, +I27+'App.2-CC_DepExp_Yr2'!K27-J27)</f>
        <v>0</v>
      </c>
    </row>
    <row r="28" spans="1:11" x14ac:dyDescent="0.2">
      <c r="A28" s="1058">
        <v>1830</v>
      </c>
      <c r="B28" s="180" t="s">
        <v>271</v>
      </c>
      <c r="C28" s="173"/>
      <c r="D28" s="250"/>
      <c r="E28" s="251">
        <f t="shared" si="0"/>
        <v>0</v>
      </c>
      <c r="F28" s="191">
        <f>IF(D28=0,+'App.2-CC_DepExp_Yr2'!K28,+'App.2-CC_DepExp_Yr2'!K28+((C28*0.5)/D28))</f>
        <v>0</v>
      </c>
      <c r="G28" s="173"/>
      <c r="H28" s="191">
        <f t="shared" si="1"/>
        <v>0</v>
      </c>
      <c r="I28" s="191">
        <f t="shared" si="2"/>
        <v>0</v>
      </c>
      <c r="J28" s="173"/>
      <c r="K28" s="191">
        <f>IF(ISERROR(+I28+'App.2-CC_DepExp_Yr2'!K28-J28), 0, +I28+'App.2-CC_DepExp_Yr2'!K28-J28)</f>
        <v>0</v>
      </c>
    </row>
    <row r="29" spans="1:11" x14ac:dyDescent="0.2">
      <c r="A29" s="1058">
        <v>1835</v>
      </c>
      <c r="B29" s="180" t="s">
        <v>208</v>
      </c>
      <c r="C29" s="173"/>
      <c r="D29" s="250"/>
      <c r="E29" s="251">
        <f t="shared" si="0"/>
        <v>0</v>
      </c>
      <c r="F29" s="191">
        <f>IF(D29=0,+'App.2-CC_DepExp_Yr2'!K29,+'App.2-CC_DepExp_Yr2'!K29+((C29*0.5)/D29))</f>
        <v>0</v>
      </c>
      <c r="G29" s="173"/>
      <c r="H29" s="191">
        <f t="shared" si="1"/>
        <v>0</v>
      </c>
      <c r="I29" s="191">
        <f t="shared" si="2"/>
        <v>0</v>
      </c>
      <c r="J29" s="173"/>
      <c r="K29" s="191">
        <f>IF(ISERROR(+I29+'App.2-CC_DepExp_Yr2'!K29-J29), 0, +I29+'App.2-CC_DepExp_Yr2'!K29-J29)</f>
        <v>0</v>
      </c>
    </row>
    <row r="30" spans="1:11" x14ac:dyDescent="0.2">
      <c r="A30" s="1058">
        <v>1840</v>
      </c>
      <c r="B30" s="180" t="s">
        <v>209</v>
      </c>
      <c r="C30" s="173"/>
      <c r="D30" s="250"/>
      <c r="E30" s="251">
        <f t="shared" si="0"/>
        <v>0</v>
      </c>
      <c r="F30" s="191">
        <f>IF(D30=0,+'App.2-CC_DepExp_Yr2'!K30,+'App.2-CC_DepExp_Yr2'!K30+((C30*0.5)/D30))</f>
        <v>0</v>
      </c>
      <c r="G30" s="173"/>
      <c r="H30" s="191">
        <f t="shared" si="1"/>
        <v>0</v>
      </c>
      <c r="I30" s="191">
        <f t="shared" si="2"/>
        <v>0</v>
      </c>
      <c r="J30" s="173"/>
      <c r="K30" s="191">
        <f>IF(ISERROR(+I30+'App.2-CC_DepExp_Yr2'!K30-J30), 0, +I30+'App.2-CC_DepExp_Yr2'!K30-J30)</f>
        <v>0</v>
      </c>
    </row>
    <row r="31" spans="1:11" x14ac:dyDescent="0.2">
      <c r="A31" s="1058">
        <v>1845</v>
      </c>
      <c r="B31" s="180" t="s">
        <v>210</v>
      </c>
      <c r="C31" s="173"/>
      <c r="D31" s="250"/>
      <c r="E31" s="251">
        <f t="shared" si="0"/>
        <v>0</v>
      </c>
      <c r="F31" s="191">
        <f>IF(D31=0,+'App.2-CC_DepExp_Yr2'!K31,+'App.2-CC_DepExp_Yr2'!K31+((C31*0.5)/D31))</f>
        <v>0</v>
      </c>
      <c r="G31" s="173"/>
      <c r="H31" s="191">
        <f t="shared" si="1"/>
        <v>0</v>
      </c>
      <c r="I31" s="191">
        <f t="shared" si="2"/>
        <v>0</v>
      </c>
      <c r="J31" s="173"/>
      <c r="K31" s="191">
        <f>IF(ISERROR(+I31+'App.2-CC_DepExp_Yr2'!K31-J31), 0, +I31+'App.2-CC_DepExp_Yr2'!K31-J31)</f>
        <v>0</v>
      </c>
    </row>
    <row r="32" spans="1:11" x14ac:dyDescent="0.2">
      <c r="A32" s="1058">
        <v>1850</v>
      </c>
      <c r="B32" s="180" t="s">
        <v>272</v>
      </c>
      <c r="C32" s="173"/>
      <c r="D32" s="250"/>
      <c r="E32" s="251">
        <f t="shared" si="0"/>
        <v>0</v>
      </c>
      <c r="F32" s="191">
        <f>IF(D32=0,+'App.2-CC_DepExp_Yr2'!K32,+'App.2-CC_DepExp_Yr2'!K32+((C32*0.5)/D32))</f>
        <v>0</v>
      </c>
      <c r="G32" s="173"/>
      <c r="H32" s="191">
        <f t="shared" si="1"/>
        <v>0</v>
      </c>
      <c r="I32" s="191">
        <f t="shared" si="2"/>
        <v>0</v>
      </c>
      <c r="J32" s="173"/>
      <c r="K32" s="191">
        <f>IF(ISERROR(+I32+'App.2-CC_DepExp_Yr2'!K32-J32), 0, +I32+'App.2-CC_DepExp_Yr2'!K32-J32)</f>
        <v>0</v>
      </c>
    </row>
    <row r="33" spans="1:11" x14ac:dyDescent="0.2">
      <c r="A33" s="1058">
        <v>1855</v>
      </c>
      <c r="B33" s="180" t="s">
        <v>211</v>
      </c>
      <c r="C33" s="173"/>
      <c r="D33" s="250"/>
      <c r="E33" s="251">
        <f t="shared" si="0"/>
        <v>0</v>
      </c>
      <c r="F33" s="191">
        <f>IF(D33=0,+'App.2-CC_DepExp_Yr2'!K33,+'App.2-CC_DepExp_Yr2'!K33+((C33*0.5)/D33))</f>
        <v>0</v>
      </c>
      <c r="G33" s="173"/>
      <c r="H33" s="191">
        <f t="shared" si="1"/>
        <v>0</v>
      </c>
      <c r="I33" s="191">
        <f t="shared" si="2"/>
        <v>0</v>
      </c>
      <c r="J33" s="173"/>
      <c r="K33" s="191">
        <f>IF(ISERROR(+I33+'App.2-CC_DepExp_Yr2'!K33-J33), 0, +I33+'App.2-CC_DepExp_Yr2'!K33-J33)</f>
        <v>0</v>
      </c>
    </row>
    <row r="34" spans="1:11" x14ac:dyDescent="0.2">
      <c r="A34" s="1058">
        <v>1860</v>
      </c>
      <c r="B34" s="180" t="s">
        <v>273</v>
      </c>
      <c r="C34" s="173"/>
      <c r="D34" s="250"/>
      <c r="E34" s="251">
        <f t="shared" si="0"/>
        <v>0</v>
      </c>
      <c r="F34" s="191">
        <f>IF(D34=0,+'App.2-CC_DepExp_Yr2'!K34,+'App.2-CC_DepExp_Yr2'!K34+((C34*0.5)/D34))</f>
        <v>0</v>
      </c>
      <c r="G34" s="173"/>
      <c r="H34" s="191">
        <f t="shared" si="1"/>
        <v>0</v>
      </c>
      <c r="I34" s="191">
        <f t="shared" si="2"/>
        <v>0</v>
      </c>
      <c r="J34" s="173"/>
      <c r="K34" s="191">
        <f>IF(ISERROR(+I34+'App.2-CC_DepExp_Yr2'!K34-J34), 0, +I34+'App.2-CC_DepExp_Yr2'!K34-J34)</f>
        <v>0</v>
      </c>
    </row>
    <row r="35" spans="1:11" x14ac:dyDescent="0.2">
      <c r="A35" s="178">
        <v>1860</v>
      </c>
      <c r="B35" s="179" t="s">
        <v>212</v>
      </c>
      <c r="C35" s="173"/>
      <c r="D35" s="250"/>
      <c r="E35" s="251">
        <f t="shared" si="0"/>
        <v>0</v>
      </c>
      <c r="F35" s="191">
        <f>IF(D35=0,+'App.2-CC_DepExp_Yr2'!K35,+'App.2-CC_DepExp_Yr2'!K35+((C35*0.5)/D35))</f>
        <v>0</v>
      </c>
      <c r="G35" s="173"/>
      <c r="H35" s="191">
        <f t="shared" si="1"/>
        <v>0</v>
      </c>
      <c r="I35" s="191">
        <f t="shared" si="2"/>
        <v>0</v>
      </c>
      <c r="J35" s="173"/>
      <c r="K35" s="191">
        <f>IF(ISERROR(+I35+'App.2-CC_DepExp_Yr2'!K35-J35), 0, +I35+'App.2-CC_DepExp_Yr2'!K35-J35)</f>
        <v>0</v>
      </c>
    </row>
    <row r="36" spans="1:11" x14ac:dyDescent="0.2">
      <c r="A36" s="178">
        <v>1905</v>
      </c>
      <c r="B36" s="179" t="s">
        <v>267</v>
      </c>
      <c r="C36" s="173"/>
      <c r="D36" s="250"/>
      <c r="E36" s="251">
        <f t="shared" si="0"/>
        <v>0</v>
      </c>
      <c r="F36" s="191">
        <f>IF(D36=0,+'App.2-CC_DepExp_Yr2'!K36,+'App.2-CC_DepExp_Yr2'!K36+((C36*0.5)/D36))</f>
        <v>0</v>
      </c>
      <c r="G36" s="173"/>
      <c r="H36" s="191">
        <f t="shared" si="1"/>
        <v>0</v>
      </c>
      <c r="I36" s="191">
        <f t="shared" si="2"/>
        <v>0</v>
      </c>
      <c r="J36" s="173"/>
      <c r="K36" s="191">
        <f>IF(ISERROR(+I36+'App.2-CC_DepExp_Yr2'!K36-J36), 0, +I36+'App.2-CC_DepExp_Yr2'!K36-J36)</f>
        <v>0</v>
      </c>
    </row>
    <row r="37" spans="1:11" x14ac:dyDescent="0.2">
      <c r="A37" s="1058">
        <v>1908</v>
      </c>
      <c r="B37" s="180" t="s">
        <v>275</v>
      </c>
      <c r="C37" s="173"/>
      <c r="D37" s="250"/>
      <c r="E37" s="251">
        <f t="shared" si="0"/>
        <v>0</v>
      </c>
      <c r="F37" s="191">
        <f>IF(D37=0,+'App.2-CC_DepExp_Yr2'!K37,+'App.2-CC_DepExp_Yr2'!K37+((C37*0.5)/D37))</f>
        <v>0</v>
      </c>
      <c r="G37" s="173"/>
      <c r="H37" s="191">
        <f t="shared" si="1"/>
        <v>0</v>
      </c>
      <c r="I37" s="191">
        <f t="shared" si="2"/>
        <v>0</v>
      </c>
      <c r="J37" s="173"/>
      <c r="K37" s="191">
        <f>IF(ISERROR(+I37+'App.2-CC_DepExp_Yr2'!K37-J37), 0, +I37+'App.2-CC_DepExp_Yr2'!K37-J37)</f>
        <v>0</v>
      </c>
    </row>
    <row r="38" spans="1:11" x14ac:dyDescent="0.2">
      <c r="A38" s="1058">
        <v>1910</v>
      </c>
      <c r="B38" s="180" t="s">
        <v>299</v>
      </c>
      <c r="C38" s="173"/>
      <c r="D38" s="250"/>
      <c r="E38" s="251">
        <f t="shared" si="0"/>
        <v>0</v>
      </c>
      <c r="F38" s="191">
        <f>IF(D38=0,+'App.2-CC_DepExp_Yr2'!K38,+'App.2-CC_DepExp_Yr2'!K38+((C38*0.5)/D38))</f>
        <v>0</v>
      </c>
      <c r="G38" s="173"/>
      <c r="H38" s="191">
        <f t="shared" si="1"/>
        <v>0</v>
      </c>
      <c r="I38" s="191">
        <f t="shared" si="2"/>
        <v>0</v>
      </c>
      <c r="J38" s="173"/>
      <c r="K38" s="191">
        <f>IF(ISERROR(+I38+'App.2-CC_DepExp_Yr2'!K38-J38), 0, +I38+'App.2-CC_DepExp_Yr2'!K38-J38)</f>
        <v>0</v>
      </c>
    </row>
    <row r="39" spans="1:11" x14ac:dyDescent="0.2">
      <c r="A39" s="1058">
        <v>1915</v>
      </c>
      <c r="B39" s="180" t="s">
        <v>213</v>
      </c>
      <c r="C39" s="173"/>
      <c r="D39" s="250"/>
      <c r="E39" s="251">
        <f t="shared" si="0"/>
        <v>0</v>
      </c>
      <c r="F39" s="191">
        <f>IF(D39=0,+'App.2-CC_DepExp_Yr2'!K39,+'App.2-CC_DepExp_Yr2'!K39+((C39*0.5)/D39))</f>
        <v>0</v>
      </c>
      <c r="G39" s="173"/>
      <c r="H39" s="191">
        <f t="shared" si="1"/>
        <v>0</v>
      </c>
      <c r="I39" s="191">
        <f t="shared" si="2"/>
        <v>0</v>
      </c>
      <c r="J39" s="173"/>
      <c r="K39" s="191">
        <f>IF(ISERROR(+I39+'App.2-CC_DepExp_Yr2'!K39-J39), 0, +I39+'App.2-CC_DepExp_Yr2'!K39-J39)</f>
        <v>0</v>
      </c>
    </row>
    <row r="40" spans="1:11" x14ac:dyDescent="0.2">
      <c r="A40" s="1058">
        <v>1915</v>
      </c>
      <c r="B40" s="180" t="s">
        <v>214</v>
      </c>
      <c r="C40" s="173"/>
      <c r="D40" s="250"/>
      <c r="E40" s="251">
        <f t="shared" si="0"/>
        <v>0</v>
      </c>
      <c r="F40" s="191">
        <f>IF(D40=0,+'App.2-CC_DepExp_Yr2'!K40,+'App.2-CC_DepExp_Yr2'!K40+((C40*0.5)/D40))</f>
        <v>0</v>
      </c>
      <c r="G40" s="173"/>
      <c r="H40" s="191">
        <f t="shared" si="1"/>
        <v>0</v>
      </c>
      <c r="I40" s="191">
        <f t="shared" si="2"/>
        <v>0</v>
      </c>
      <c r="J40" s="173"/>
      <c r="K40" s="191">
        <f>IF(ISERROR(+I40+'App.2-CC_DepExp_Yr2'!K40-J40), 0, +I40+'App.2-CC_DepExp_Yr2'!K40-J40)</f>
        <v>0</v>
      </c>
    </row>
    <row r="41" spans="1:11" x14ac:dyDescent="0.2">
      <c r="A41" s="1058">
        <v>1920</v>
      </c>
      <c r="B41" s="180" t="s">
        <v>215</v>
      </c>
      <c r="C41" s="173"/>
      <c r="D41" s="250"/>
      <c r="E41" s="251">
        <f t="shared" si="0"/>
        <v>0</v>
      </c>
      <c r="F41" s="191">
        <f>IF(D41=0,+'App.2-CC_DepExp_Yr2'!K41,+'App.2-CC_DepExp_Yr2'!K41+((C41*0.5)/D41))</f>
        <v>0</v>
      </c>
      <c r="G41" s="173"/>
      <c r="H41" s="191">
        <f t="shared" si="1"/>
        <v>0</v>
      </c>
      <c r="I41" s="191">
        <f t="shared" si="2"/>
        <v>0</v>
      </c>
      <c r="J41" s="173"/>
      <c r="K41" s="191">
        <f>IF(ISERROR(+I41+'App.2-CC_DepExp_Yr2'!K41-J41), 0, +I41+'App.2-CC_DepExp_Yr2'!K41-J41)</f>
        <v>0</v>
      </c>
    </row>
    <row r="42" spans="1:11" x14ac:dyDescent="0.2">
      <c r="A42" s="185">
        <v>1920</v>
      </c>
      <c r="B42" s="172" t="s">
        <v>217</v>
      </c>
      <c r="C42" s="173"/>
      <c r="D42" s="250"/>
      <c r="E42" s="251">
        <f t="shared" si="0"/>
        <v>0</v>
      </c>
      <c r="F42" s="191">
        <f>IF(D42=0,+'App.2-CC_DepExp_Yr2'!K42,+'App.2-CC_DepExp_Yr2'!K42+((C42*0.5)/D42))</f>
        <v>0</v>
      </c>
      <c r="G42" s="173"/>
      <c r="H42" s="191">
        <f t="shared" si="1"/>
        <v>0</v>
      </c>
      <c r="I42" s="191">
        <f t="shared" si="2"/>
        <v>0</v>
      </c>
      <c r="J42" s="173"/>
      <c r="K42" s="191">
        <f>IF(ISERROR(+I42+'App.2-CC_DepExp_Yr2'!K42-J42), 0, +I42+'App.2-CC_DepExp_Yr2'!K42-J42)</f>
        <v>0</v>
      </c>
    </row>
    <row r="43" spans="1:11" x14ac:dyDescent="0.2">
      <c r="A43" s="185">
        <v>1920</v>
      </c>
      <c r="B43" s="172" t="s">
        <v>216</v>
      </c>
      <c r="C43" s="173"/>
      <c r="D43" s="250"/>
      <c r="E43" s="251">
        <f t="shared" si="0"/>
        <v>0</v>
      </c>
      <c r="F43" s="191">
        <f>IF(D43=0,+'App.2-CC_DepExp_Yr2'!K43,+'App.2-CC_DepExp_Yr2'!K43+((C43*0.5)/D43))</f>
        <v>0</v>
      </c>
      <c r="G43" s="173"/>
      <c r="H43" s="191">
        <f t="shared" si="1"/>
        <v>0</v>
      </c>
      <c r="I43" s="191">
        <f t="shared" si="2"/>
        <v>0</v>
      </c>
      <c r="J43" s="173"/>
      <c r="K43" s="191">
        <f>IF(ISERROR(+I43+'App.2-CC_DepExp_Yr2'!K43-J43), 0, +I43+'App.2-CC_DepExp_Yr2'!K43-J43)</f>
        <v>0</v>
      </c>
    </row>
    <row r="44" spans="1:11" x14ac:dyDescent="0.2">
      <c r="A44" s="1058">
        <v>1930</v>
      </c>
      <c r="B44" s="180" t="s">
        <v>286</v>
      </c>
      <c r="C44" s="173"/>
      <c r="D44" s="250"/>
      <c r="E44" s="251">
        <f t="shared" si="0"/>
        <v>0</v>
      </c>
      <c r="F44" s="191">
        <f>IF(D44=0,+'App.2-CC_DepExp_Yr2'!K44,+'App.2-CC_DepExp_Yr2'!K44+((C44*0.5)/D44))</f>
        <v>0</v>
      </c>
      <c r="G44" s="173"/>
      <c r="H44" s="191">
        <f t="shared" si="1"/>
        <v>0</v>
      </c>
      <c r="I44" s="191">
        <f t="shared" si="2"/>
        <v>0</v>
      </c>
      <c r="J44" s="173"/>
      <c r="K44" s="191">
        <f>IF(ISERROR(+I44+'App.2-CC_DepExp_Yr2'!K44-J44), 0, +I44+'App.2-CC_DepExp_Yr2'!K44-J44)</f>
        <v>0</v>
      </c>
    </row>
    <row r="45" spans="1:11" x14ac:dyDescent="0.2">
      <c r="A45" s="1058">
        <v>1935</v>
      </c>
      <c r="B45" s="180" t="s">
        <v>287</v>
      </c>
      <c r="C45" s="173"/>
      <c r="D45" s="250"/>
      <c r="E45" s="251">
        <f t="shared" si="0"/>
        <v>0</v>
      </c>
      <c r="F45" s="191">
        <f>IF(D45=0,+'App.2-CC_DepExp_Yr2'!K45,+'App.2-CC_DepExp_Yr2'!K45+((C45*0.5)/D45))</f>
        <v>0</v>
      </c>
      <c r="G45" s="173"/>
      <c r="H45" s="191">
        <f t="shared" si="1"/>
        <v>0</v>
      </c>
      <c r="I45" s="191">
        <f t="shared" si="2"/>
        <v>0</v>
      </c>
      <c r="J45" s="173"/>
      <c r="K45" s="191">
        <f>IF(ISERROR(+I45+'App.2-CC_DepExp_Yr2'!K45-J45), 0, +I45+'App.2-CC_DepExp_Yr2'!K45-J45)</f>
        <v>0</v>
      </c>
    </row>
    <row r="46" spans="1:11" x14ac:dyDescent="0.2">
      <c r="A46" s="1058">
        <v>1940</v>
      </c>
      <c r="B46" s="180" t="s">
        <v>288</v>
      </c>
      <c r="C46" s="173"/>
      <c r="D46" s="250"/>
      <c r="E46" s="251">
        <f t="shared" si="0"/>
        <v>0</v>
      </c>
      <c r="F46" s="191">
        <f>IF(D46=0,+'App.2-CC_DepExp_Yr2'!K46,+'App.2-CC_DepExp_Yr2'!K46+((C46*0.5)/D46))</f>
        <v>0</v>
      </c>
      <c r="G46" s="173"/>
      <c r="H46" s="191">
        <f t="shared" si="1"/>
        <v>0</v>
      </c>
      <c r="I46" s="191">
        <f t="shared" si="2"/>
        <v>0</v>
      </c>
      <c r="J46" s="173"/>
      <c r="K46" s="191">
        <f>IF(ISERROR(+I46+'App.2-CC_DepExp_Yr2'!K46-J46), 0, +I46+'App.2-CC_DepExp_Yr2'!K46-J46)</f>
        <v>0</v>
      </c>
    </row>
    <row r="47" spans="1:11" x14ac:dyDescent="0.2">
      <c r="A47" s="1058">
        <v>1945</v>
      </c>
      <c r="B47" s="180" t="s">
        <v>289</v>
      </c>
      <c r="C47" s="173"/>
      <c r="D47" s="250"/>
      <c r="E47" s="251">
        <f t="shared" si="0"/>
        <v>0</v>
      </c>
      <c r="F47" s="191">
        <f>IF(D47=0,+'App.2-CC_DepExp_Yr2'!K47,+'App.2-CC_DepExp_Yr2'!K47+((C47*0.5)/D47))</f>
        <v>0</v>
      </c>
      <c r="G47" s="173"/>
      <c r="H47" s="191">
        <f t="shared" si="1"/>
        <v>0</v>
      </c>
      <c r="I47" s="191">
        <f t="shared" si="2"/>
        <v>0</v>
      </c>
      <c r="J47" s="173"/>
      <c r="K47" s="191">
        <f>IF(ISERROR(+I47+'App.2-CC_DepExp_Yr2'!K47-J47), 0, +I47+'App.2-CC_DepExp_Yr2'!K47-J47)</f>
        <v>0</v>
      </c>
    </row>
    <row r="48" spans="1:11" x14ac:dyDescent="0.2">
      <c r="A48" s="1058">
        <v>1950</v>
      </c>
      <c r="B48" s="180" t="s">
        <v>218</v>
      </c>
      <c r="C48" s="173"/>
      <c r="D48" s="250"/>
      <c r="E48" s="251">
        <f t="shared" si="0"/>
        <v>0</v>
      </c>
      <c r="F48" s="191">
        <f>IF(D48=0,+'App.2-CC_DepExp_Yr2'!K48,+'App.2-CC_DepExp_Yr2'!K48+((C48*0.5)/D48))</f>
        <v>0</v>
      </c>
      <c r="G48" s="173"/>
      <c r="H48" s="191">
        <f t="shared" si="1"/>
        <v>0</v>
      </c>
      <c r="I48" s="191">
        <f t="shared" si="2"/>
        <v>0</v>
      </c>
      <c r="J48" s="173"/>
      <c r="K48" s="191">
        <f>IF(ISERROR(+I48+'App.2-CC_DepExp_Yr2'!K48-J48), 0, +I48+'App.2-CC_DepExp_Yr2'!K48-J48)</f>
        <v>0</v>
      </c>
    </row>
    <row r="49" spans="1:11" x14ac:dyDescent="0.2">
      <c r="A49" s="1058">
        <v>1955</v>
      </c>
      <c r="B49" s="180" t="s">
        <v>290</v>
      </c>
      <c r="C49" s="173"/>
      <c r="D49" s="250"/>
      <c r="E49" s="251">
        <f t="shared" si="0"/>
        <v>0</v>
      </c>
      <c r="F49" s="191">
        <f>IF(D49=0,+'App.2-CC_DepExp_Yr2'!K49,+'App.2-CC_DepExp_Yr2'!K49+((C49*0.5)/D49))</f>
        <v>0</v>
      </c>
      <c r="G49" s="173"/>
      <c r="H49" s="191">
        <f t="shared" si="1"/>
        <v>0</v>
      </c>
      <c r="I49" s="191">
        <f t="shared" si="2"/>
        <v>0</v>
      </c>
      <c r="J49" s="173"/>
      <c r="K49" s="191">
        <f>IF(ISERROR(+I49+'App.2-CC_DepExp_Yr2'!K49-J49), 0, +I49+'App.2-CC_DepExp_Yr2'!K49-J49)</f>
        <v>0</v>
      </c>
    </row>
    <row r="50" spans="1:11" x14ac:dyDescent="0.2">
      <c r="A50" s="181">
        <v>1955</v>
      </c>
      <c r="B50" s="184" t="s">
        <v>219</v>
      </c>
      <c r="C50" s="173"/>
      <c r="D50" s="250"/>
      <c r="E50" s="251">
        <f t="shared" si="0"/>
        <v>0</v>
      </c>
      <c r="F50" s="191">
        <f>IF(D50=0,+'App.2-CC_DepExp_Yr2'!K50,+'App.2-CC_DepExp_Yr2'!K50+((C50*0.5)/D50))</f>
        <v>0</v>
      </c>
      <c r="G50" s="173"/>
      <c r="H50" s="191">
        <f t="shared" si="1"/>
        <v>0</v>
      </c>
      <c r="I50" s="191">
        <f t="shared" si="2"/>
        <v>0</v>
      </c>
      <c r="J50" s="173"/>
      <c r="K50" s="191">
        <f>IF(ISERROR(+I50+'App.2-CC_DepExp_Yr2'!K50-J50), 0, +I50+'App.2-CC_DepExp_Yr2'!K50-J50)</f>
        <v>0</v>
      </c>
    </row>
    <row r="51" spans="1:11" x14ac:dyDescent="0.2">
      <c r="A51" s="185">
        <v>1960</v>
      </c>
      <c r="B51" s="172" t="s">
        <v>220</v>
      </c>
      <c r="C51" s="173"/>
      <c r="D51" s="250"/>
      <c r="E51" s="251">
        <f t="shared" si="0"/>
        <v>0</v>
      </c>
      <c r="F51" s="191">
        <f>IF(D51=0,+'App.2-CC_DepExp_Yr2'!K51,+'App.2-CC_DepExp_Yr2'!K51+((C51*0.5)/D51))</f>
        <v>0</v>
      </c>
      <c r="G51" s="173"/>
      <c r="H51" s="191">
        <f t="shared" si="1"/>
        <v>0</v>
      </c>
      <c r="I51" s="191">
        <f t="shared" si="2"/>
        <v>0</v>
      </c>
      <c r="J51" s="173"/>
      <c r="K51" s="191">
        <f>IF(ISERROR(+I51+'App.2-CC_DepExp_Yr2'!K51-J51), 0, +I51+'App.2-CC_DepExp_Yr2'!K51-J51)</f>
        <v>0</v>
      </c>
    </row>
    <row r="52" spans="1:11" x14ac:dyDescent="0.2">
      <c r="A52" s="181">
        <v>1970</v>
      </c>
      <c r="B52" s="256" t="s">
        <v>501</v>
      </c>
      <c r="C52" s="173"/>
      <c r="D52" s="250"/>
      <c r="E52" s="251">
        <f t="shared" si="0"/>
        <v>0</v>
      </c>
      <c r="F52" s="191">
        <f>IF(D52=0,+'App.2-CC_DepExp_Yr2'!K52,+'App.2-CC_DepExp_Yr2'!K52+((C52*0.5)/D52))</f>
        <v>0</v>
      </c>
      <c r="G52" s="173"/>
      <c r="H52" s="191">
        <f t="shared" si="1"/>
        <v>0</v>
      </c>
      <c r="I52" s="191">
        <f t="shared" si="2"/>
        <v>0</v>
      </c>
      <c r="J52" s="173"/>
      <c r="K52" s="191">
        <f>IF(ISERROR(+I52+'App.2-CC_DepExp_Yr2'!K52-J52), 0, +I52+'App.2-CC_DepExp_Yr2'!K52-J52)</f>
        <v>0</v>
      </c>
    </row>
    <row r="53" spans="1:11" x14ac:dyDescent="0.2">
      <c r="A53" s="1058">
        <v>1975</v>
      </c>
      <c r="B53" s="180" t="s">
        <v>291</v>
      </c>
      <c r="C53" s="173"/>
      <c r="D53" s="250"/>
      <c r="E53" s="251">
        <f t="shared" si="0"/>
        <v>0</v>
      </c>
      <c r="F53" s="191">
        <f>IF(D53=0,+'App.2-CC_DepExp_Yr2'!K53,+'App.2-CC_DepExp_Yr2'!K53+((C53*0.5)/D53))</f>
        <v>0</v>
      </c>
      <c r="G53" s="173"/>
      <c r="H53" s="191">
        <f t="shared" si="1"/>
        <v>0</v>
      </c>
      <c r="I53" s="191">
        <f t="shared" si="2"/>
        <v>0</v>
      </c>
      <c r="J53" s="173"/>
      <c r="K53" s="191">
        <f>IF(ISERROR(+I53+'App.2-CC_DepExp_Yr2'!K53-J53), 0, +I53+'App.2-CC_DepExp_Yr2'!K53-J53)</f>
        <v>0</v>
      </c>
    </row>
    <row r="54" spans="1:11" x14ac:dyDescent="0.2">
      <c r="A54" s="1058">
        <v>1980</v>
      </c>
      <c r="B54" s="180" t="s">
        <v>292</v>
      </c>
      <c r="C54" s="173"/>
      <c r="D54" s="250"/>
      <c r="E54" s="251">
        <f t="shared" si="0"/>
        <v>0</v>
      </c>
      <c r="F54" s="191">
        <f>IF(D54=0,+'App.2-CC_DepExp_Yr2'!K54,+'App.2-CC_DepExp_Yr2'!K54+((C54*0.5)/D54))</f>
        <v>0</v>
      </c>
      <c r="G54" s="173"/>
      <c r="H54" s="191">
        <f t="shared" si="1"/>
        <v>0</v>
      </c>
      <c r="I54" s="191">
        <f t="shared" si="2"/>
        <v>0</v>
      </c>
      <c r="J54" s="173"/>
      <c r="K54" s="191">
        <f>IF(ISERROR(+I54+'App.2-CC_DepExp_Yr2'!K54-J54), 0, +I54+'App.2-CC_DepExp_Yr2'!K54-J54)</f>
        <v>0</v>
      </c>
    </row>
    <row r="55" spans="1:11" x14ac:dyDescent="0.2">
      <c r="A55" s="1058">
        <v>1985</v>
      </c>
      <c r="B55" s="180" t="s">
        <v>293</v>
      </c>
      <c r="C55" s="173"/>
      <c r="D55" s="250"/>
      <c r="E55" s="251">
        <f t="shared" si="0"/>
        <v>0</v>
      </c>
      <c r="F55" s="191">
        <f>IF(D55=0,+'App.2-CC_DepExp_Yr2'!K55,+'App.2-CC_DepExp_Yr2'!K55+((C55*0.5)/D55))</f>
        <v>0</v>
      </c>
      <c r="G55" s="173"/>
      <c r="H55" s="191">
        <f t="shared" si="1"/>
        <v>0</v>
      </c>
      <c r="I55" s="191">
        <f t="shared" si="2"/>
        <v>0</v>
      </c>
      <c r="J55" s="173"/>
      <c r="K55" s="191">
        <f>IF(ISERROR(+I55+'App.2-CC_DepExp_Yr2'!K55-J55), 0, +I55+'App.2-CC_DepExp_Yr2'!K55-J55)</f>
        <v>0</v>
      </c>
    </row>
    <row r="56" spans="1:11" x14ac:dyDescent="0.2">
      <c r="A56" s="1058">
        <v>1990</v>
      </c>
      <c r="B56" s="1061" t="s">
        <v>502</v>
      </c>
      <c r="C56" s="173"/>
      <c r="D56" s="250"/>
      <c r="E56" s="251">
        <f t="shared" si="0"/>
        <v>0</v>
      </c>
      <c r="F56" s="191">
        <f>IF(D56=0,+'App.2-CC_DepExp_Yr2'!K56,+'App.2-CC_DepExp_Yr2'!K56+((C56*0.5)/D56))</f>
        <v>0</v>
      </c>
      <c r="G56" s="173"/>
      <c r="H56" s="191">
        <f t="shared" si="1"/>
        <v>0</v>
      </c>
      <c r="I56" s="191">
        <f t="shared" si="2"/>
        <v>0</v>
      </c>
      <c r="J56" s="173"/>
      <c r="K56" s="191">
        <f>IF(ISERROR(+I56+'App.2-CC_DepExp_Yr2'!K56-J56), 0, +I56+'App.2-CC_DepExp_Yr2'!K56-J56)</f>
        <v>0</v>
      </c>
    </row>
    <row r="57" spans="1:11" ht="13.5" thickBot="1" x14ac:dyDescent="0.25">
      <c r="A57" s="1058">
        <v>1995</v>
      </c>
      <c r="B57" s="180" t="s">
        <v>294</v>
      </c>
      <c r="C57" s="259"/>
      <c r="D57" s="259"/>
      <c r="E57" s="306">
        <f>IF(D57=0,0,1/D57)</f>
        <v>0</v>
      </c>
      <c r="F57" s="285">
        <f>IF(D57=0,+'App.2-CC_DepExp_Yr2'!K57,+'App.2-CC_DepExp_Yr2'!K57+((C57*0.5)/D57))</f>
        <v>0</v>
      </c>
      <c r="G57" s="257"/>
      <c r="H57" s="285">
        <f t="shared" si="1"/>
        <v>0</v>
      </c>
      <c r="I57" s="285">
        <f t="shared" si="2"/>
        <v>0</v>
      </c>
      <c r="J57" s="257"/>
      <c r="K57" s="285">
        <f>IF(ISERROR(+I57+'App.2-CC_DepExp_Yr2'!K57-J57), 0, +I57+'App.2-CC_DepExp_Yr2'!K57-J57)</f>
        <v>0</v>
      </c>
    </row>
    <row r="58" spans="1:11" ht="14.25" thickTop="1" thickBot="1" x14ac:dyDescent="0.25">
      <c r="A58" s="300"/>
      <c r="B58" s="301" t="s">
        <v>295</v>
      </c>
      <c r="C58" s="307">
        <f>SUM(C20:C57)</f>
        <v>0</v>
      </c>
      <c r="D58" s="308"/>
      <c r="E58" s="309"/>
      <c r="F58" s="310">
        <f t="shared" ref="F58:K58" si="3">SUM(F20:F57)</f>
        <v>0</v>
      </c>
      <c r="G58" s="286">
        <f t="shared" si="3"/>
        <v>0</v>
      </c>
      <c r="H58" s="286">
        <f t="shared" si="3"/>
        <v>0</v>
      </c>
      <c r="I58" s="286">
        <f t="shared" si="3"/>
        <v>0</v>
      </c>
      <c r="J58" s="286">
        <f t="shared" si="3"/>
        <v>0</v>
      </c>
      <c r="K58" s="286">
        <f t="shared" si="3"/>
        <v>0</v>
      </c>
    </row>
    <row r="59" spans="1:11" ht="32.25" customHeight="1" x14ac:dyDescent="0.2">
      <c r="B59" s="1707" t="s">
        <v>1078</v>
      </c>
      <c r="C59" s="1707"/>
      <c r="D59" s="1707"/>
      <c r="E59" s="1708"/>
      <c r="F59" s="173"/>
    </row>
    <row r="60" spans="1:11" ht="17.25" customHeight="1" x14ac:dyDescent="0.2">
      <c r="B60" s="290" t="s">
        <v>937</v>
      </c>
      <c r="C60" s="312"/>
      <c r="D60" s="312"/>
      <c r="E60" s="312"/>
      <c r="F60" s="191">
        <f>+F59+F58</f>
        <v>0</v>
      </c>
    </row>
    <row r="61" spans="1:11" ht="17.25" customHeight="1" x14ac:dyDescent="0.2">
      <c r="B61" s="290"/>
      <c r="C61" s="312"/>
      <c r="D61" s="312"/>
      <c r="E61" s="312"/>
      <c r="F61" s="291"/>
    </row>
    <row r="62" spans="1:11" x14ac:dyDescent="0.2">
      <c r="A62" s="152" t="s">
        <v>11</v>
      </c>
      <c r="H62" s="56"/>
    </row>
    <row r="63" spans="1:11" ht="27" customHeight="1" x14ac:dyDescent="0.2">
      <c r="A63" s="305">
        <v>1</v>
      </c>
      <c r="B63" s="1593" t="s">
        <v>424</v>
      </c>
      <c r="C63" s="1593"/>
      <c r="D63" s="1593"/>
      <c r="E63" s="1593"/>
      <c r="F63" s="1593"/>
      <c r="G63" s="1593"/>
      <c r="H63" s="1593"/>
      <c r="I63" s="1593"/>
      <c r="J63" s="1593"/>
      <c r="K63" s="1593"/>
    </row>
    <row r="64" spans="1:11" x14ac:dyDescent="0.2">
      <c r="A64" s="305">
        <v>2</v>
      </c>
      <c r="B64" s="1593" t="s">
        <v>865</v>
      </c>
      <c r="C64" s="1593"/>
      <c r="D64" s="1593"/>
      <c r="E64" s="1593"/>
      <c r="F64" s="1593"/>
      <c r="G64" s="1593"/>
      <c r="H64" s="1593"/>
      <c r="I64" s="1593"/>
      <c r="J64" s="1593"/>
      <c r="K64" s="1593"/>
    </row>
    <row r="65" spans="1:15" ht="27.75" customHeight="1" x14ac:dyDescent="0.2">
      <c r="A65" s="270">
        <v>3</v>
      </c>
      <c r="B65" s="1590" t="s">
        <v>481</v>
      </c>
      <c r="C65" s="1590"/>
      <c r="D65" s="1590"/>
      <c r="E65" s="1590"/>
      <c r="F65" s="1590"/>
      <c r="G65" s="1590"/>
      <c r="H65" s="1590"/>
      <c r="I65" s="1590"/>
      <c r="J65" s="1590"/>
      <c r="K65" s="1590"/>
      <c r="L65" s="1066"/>
      <c r="M65" s="1066"/>
      <c r="N65" s="1066"/>
      <c r="O65" s="1066"/>
    </row>
    <row r="66" spans="1:15" x14ac:dyDescent="0.2">
      <c r="A66" s="270"/>
      <c r="B66" s="1051"/>
      <c r="C66" s="1051"/>
      <c r="D66" s="1051"/>
      <c r="E66" s="1051"/>
      <c r="F66" s="1051"/>
      <c r="G66" s="1051"/>
      <c r="H66" s="1051"/>
      <c r="I66" s="1051"/>
      <c r="J66" s="1051"/>
      <c r="K66" s="1051"/>
      <c r="L66" s="1066"/>
      <c r="M66" s="1066"/>
      <c r="N66" s="1066"/>
      <c r="O66" s="1066"/>
    </row>
    <row r="67" spans="1:15" x14ac:dyDescent="0.2">
      <c r="A67" s="152" t="s">
        <v>226</v>
      </c>
      <c r="B67" s="1684" t="s">
        <v>190</v>
      </c>
      <c r="C67" s="1684"/>
      <c r="D67" s="1684"/>
      <c r="E67" s="1684"/>
      <c r="F67" s="1684"/>
      <c r="G67" s="1684"/>
      <c r="H67" s="1684"/>
      <c r="I67" s="1684"/>
      <c r="J67" s="1684"/>
      <c r="K67" s="1684"/>
    </row>
    <row r="68" spans="1:15" ht="12.75" customHeight="1" x14ac:dyDescent="0.2">
      <c r="B68" s="1684"/>
      <c r="C68" s="1684"/>
      <c r="D68" s="1684"/>
      <c r="E68" s="1684"/>
      <c r="F68" s="1684"/>
      <c r="G68" s="1684"/>
      <c r="H68" s="1684"/>
      <c r="I68" s="1684"/>
      <c r="J68" s="1684"/>
      <c r="K68" s="1684"/>
      <c r="L68" s="271"/>
      <c r="M68" s="271"/>
    </row>
    <row r="69" spans="1:15" x14ac:dyDescent="0.2">
      <c r="L69" s="271"/>
      <c r="M69" s="271"/>
    </row>
    <row r="70" spans="1:15" x14ac:dyDescent="0.2">
      <c r="L70" s="271"/>
      <c r="M70" s="271"/>
    </row>
    <row r="76" spans="1:15" x14ac:dyDescent="0.2">
      <c r="L76" s="1068"/>
    </row>
    <row r="77" spans="1:15" x14ac:dyDescent="0.2">
      <c r="E77" s="56"/>
      <c r="F77" s="56"/>
      <c r="G77" s="56"/>
      <c r="H77" s="56"/>
      <c r="I77" s="56"/>
      <c r="J77" s="56"/>
      <c r="K77" s="56"/>
      <c r="L77" s="56"/>
      <c r="M77" s="56"/>
    </row>
    <row r="78" spans="1:15" x14ac:dyDescent="0.2">
      <c r="K78" s="56"/>
      <c r="L78" s="56"/>
      <c r="M78" s="56"/>
    </row>
    <row r="79" spans="1:15" x14ac:dyDescent="0.2">
      <c r="K79" s="56"/>
      <c r="L79" s="56"/>
      <c r="M79" s="56"/>
    </row>
    <row r="80" spans="1:15" x14ac:dyDescent="0.2">
      <c r="K80" s="56"/>
      <c r="L80" s="56"/>
      <c r="M80" s="56"/>
    </row>
    <row r="82" spans="5:5" x14ac:dyDescent="0.2">
      <c r="E82" s="56"/>
    </row>
    <row r="83" spans="5:5" x14ac:dyDescent="0.2">
      <c r="E83" s="56"/>
    </row>
  </sheetData>
  <mergeCells count="17">
    <mergeCell ref="B63:K63"/>
    <mergeCell ref="B64:K64"/>
    <mergeCell ref="B65:K65"/>
    <mergeCell ref="B67:K68"/>
    <mergeCell ref="B59:E59"/>
    <mergeCell ref="A9:K9"/>
    <mergeCell ref="A10:K10"/>
    <mergeCell ref="A11:K11"/>
    <mergeCell ref="A18:A19"/>
    <mergeCell ref="B18:B19"/>
    <mergeCell ref="G18:G19"/>
    <mergeCell ref="J18:J19"/>
    <mergeCell ref="A13:B13"/>
    <mergeCell ref="A14:B14"/>
    <mergeCell ref="A15:B15"/>
    <mergeCell ref="C14:I14"/>
    <mergeCell ref="C15:I15"/>
  </mergeCells>
  <dataValidations count="1">
    <dataValidation allowBlank="1" showInputMessage="1" showErrorMessage="1" promptTitle="Date Format" prompt="E.g:  &quot;August 1, 2011&quot;" sqref="H7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H65550 JE65550 TA65550 ACW65550 AMS65550 AWO65550 BGK65550 BQG65550 CAC65550 CJY65550 CTU65550 DDQ65550 DNM65550 DXI65550 EHE65550 ERA65550 FAW65550 FKS65550 FUO65550 GEK65550 GOG65550 GYC65550 HHY65550 HRU65550 IBQ65550 ILM65550 IVI65550 JFE65550 JPA65550 JYW65550 KIS65550 KSO65550 LCK65550 LMG65550 LWC65550 MFY65550 MPU65550 MZQ65550 NJM65550 NTI65550 ODE65550 ONA65550 OWW65550 PGS65550 PQO65550 QAK65550 QKG65550 QUC65550 RDY65550 RNU65550 RXQ65550 SHM65550 SRI65550 TBE65550 TLA65550 TUW65550 UES65550 UOO65550 UYK65550 VIG65550 VSC65550 WBY65550 WLU65550 WVQ65550 H131086 JE131086 TA131086 ACW131086 AMS131086 AWO131086 BGK131086 BQG131086 CAC131086 CJY131086 CTU131086 DDQ131086 DNM131086 DXI131086 EHE131086 ERA131086 FAW131086 FKS131086 FUO131086 GEK131086 GOG131086 GYC131086 HHY131086 HRU131086 IBQ131086 ILM131086 IVI131086 JFE131086 JPA131086 JYW131086 KIS131086 KSO131086 LCK131086 LMG131086 LWC131086 MFY131086 MPU131086 MZQ131086 NJM131086 NTI131086 ODE131086 ONA131086 OWW131086 PGS131086 PQO131086 QAK131086 QKG131086 QUC131086 RDY131086 RNU131086 RXQ131086 SHM131086 SRI131086 TBE131086 TLA131086 TUW131086 UES131086 UOO131086 UYK131086 VIG131086 VSC131086 WBY131086 WLU131086 WVQ131086 H196622 JE196622 TA196622 ACW196622 AMS196622 AWO196622 BGK196622 BQG196622 CAC196622 CJY196622 CTU196622 DDQ196622 DNM196622 DXI196622 EHE196622 ERA196622 FAW196622 FKS196622 FUO196622 GEK196622 GOG196622 GYC196622 HHY196622 HRU196622 IBQ196622 ILM196622 IVI196622 JFE196622 JPA196622 JYW196622 KIS196622 KSO196622 LCK196622 LMG196622 LWC196622 MFY196622 MPU196622 MZQ196622 NJM196622 NTI196622 ODE196622 ONA196622 OWW196622 PGS196622 PQO196622 QAK196622 QKG196622 QUC196622 RDY196622 RNU196622 RXQ196622 SHM196622 SRI196622 TBE196622 TLA196622 TUW196622 UES196622 UOO196622 UYK196622 VIG196622 VSC196622 WBY196622 WLU196622 WVQ196622 H262158 JE262158 TA262158 ACW262158 AMS262158 AWO262158 BGK262158 BQG262158 CAC262158 CJY262158 CTU262158 DDQ262158 DNM262158 DXI262158 EHE262158 ERA262158 FAW262158 FKS262158 FUO262158 GEK262158 GOG262158 GYC262158 HHY262158 HRU262158 IBQ262158 ILM262158 IVI262158 JFE262158 JPA262158 JYW262158 KIS262158 KSO262158 LCK262158 LMG262158 LWC262158 MFY262158 MPU262158 MZQ262158 NJM262158 NTI262158 ODE262158 ONA262158 OWW262158 PGS262158 PQO262158 QAK262158 QKG262158 QUC262158 RDY262158 RNU262158 RXQ262158 SHM262158 SRI262158 TBE262158 TLA262158 TUW262158 UES262158 UOO262158 UYK262158 VIG262158 VSC262158 WBY262158 WLU262158 WVQ262158 H327694 JE327694 TA327694 ACW327694 AMS327694 AWO327694 BGK327694 BQG327694 CAC327694 CJY327694 CTU327694 DDQ327694 DNM327694 DXI327694 EHE327694 ERA327694 FAW327694 FKS327694 FUO327694 GEK327694 GOG327694 GYC327694 HHY327694 HRU327694 IBQ327694 ILM327694 IVI327694 JFE327694 JPA327694 JYW327694 KIS327694 KSO327694 LCK327694 LMG327694 LWC327694 MFY327694 MPU327694 MZQ327694 NJM327694 NTI327694 ODE327694 ONA327694 OWW327694 PGS327694 PQO327694 QAK327694 QKG327694 QUC327694 RDY327694 RNU327694 RXQ327694 SHM327694 SRI327694 TBE327694 TLA327694 TUW327694 UES327694 UOO327694 UYK327694 VIG327694 VSC327694 WBY327694 WLU327694 WVQ327694 H393230 JE393230 TA393230 ACW393230 AMS393230 AWO393230 BGK393230 BQG393230 CAC393230 CJY393230 CTU393230 DDQ393230 DNM393230 DXI393230 EHE393230 ERA393230 FAW393230 FKS393230 FUO393230 GEK393230 GOG393230 GYC393230 HHY393230 HRU393230 IBQ393230 ILM393230 IVI393230 JFE393230 JPA393230 JYW393230 KIS393230 KSO393230 LCK393230 LMG393230 LWC393230 MFY393230 MPU393230 MZQ393230 NJM393230 NTI393230 ODE393230 ONA393230 OWW393230 PGS393230 PQO393230 QAK393230 QKG393230 QUC393230 RDY393230 RNU393230 RXQ393230 SHM393230 SRI393230 TBE393230 TLA393230 TUW393230 UES393230 UOO393230 UYK393230 VIG393230 VSC393230 WBY393230 WLU393230 WVQ393230 H458766 JE458766 TA458766 ACW458766 AMS458766 AWO458766 BGK458766 BQG458766 CAC458766 CJY458766 CTU458766 DDQ458766 DNM458766 DXI458766 EHE458766 ERA458766 FAW458766 FKS458766 FUO458766 GEK458766 GOG458766 GYC458766 HHY458766 HRU458766 IBQ458766 ILM458766 IVI458766 JFE458766 JPA458766 JYW458766 KIS458766 KSO458766 LCK458766 LMG458766 LWC458766 MFY458766 MPU458766 MZQ458766 NJM458766 NTI458766 ODE458766 ONA458766 OWW458766 PGS458766 PQO458766 QAK458766 QKG458766 QUC458766 RDY458766 RNU458766 RXQ458766 SHM458766 SRI458766 TBE458766 TLA458766 TUW458766 UES458766 UOO458766 UYK458766 VIG458766 VSC458766 WBY458766 WLU458766 WVQ458766 H524302 JE524302 TA524302 ACW524302 AMS524302 AWO524302 BGK524302 BQG524302 CAC524302 CJY524302 CTU524302 DDQ524302 DNM524302 DXI524302 EHE524302 ERA524302 FAW524302 FKS524302 FUO524302 GEK524302 GOG524302 GYC524302 HHY524302 HRU524302 IBQ524302 ILM524302 IVI524302 JFE524302 JPA524302 JYW524302 KIS524302 KSO524302 LCK524302 LMG524302 LWC524302 MFY524302 MPU524302 MZQ524302 NJM524302 NTI524302 ODE524302 ONA524302 OWW524302 PGS524302 PQO524302 QAK524302 QKG524302 QUC524302 RDY524302 RNU524302 RXQ524302 SHM524302 SRI524302 TBE524302 TLA524302 TUW524302 UES524302 UOO524302 UYK524302 VIG524302 VSC524302 WBY524302 WLU524302 WVQ524302 H589838 JE589838 TA589838 ACW589838 AMS589838 AWO589838 BGK589838 BQG589838 CAC589838 CJY589838 CTU589838 DDQ589838 DNM589838 DXI589838 EHE589838 ERA589838 FAW589838 FKS589838 FUO589838 GEK589838 GOG589838 GYC589838 HHY589838 HRU589838 IBQ589838 ILM589838 IVI589838 JFE589838 JPA589838 JYW589838 KIS589838 KSO589838 LCK589838 LMG589838 LWC589838 MFY589838 MPU589838 MZQ589838 NJM589838 NTI589838 ODE589838 ONA589838 OWW589838 PGS589838 PQO589838 QAK589838 QKG589838 QUC589838 RDY589838 RNU589838 RXQ589838 SHM589838 SRI589838 TBE589838 TLA589838 TUW589838 UES589838 UOO589838 UYK589838 VIG589838 VSC589838 WBY589838 WLU589838 WVQ589838 H655374 JE655374 TA655374 ACW655374 AMS655374 AWO655374 BGK655374 BQG655374 CAC655374 CJY655374 CTU655374 DDQ655374 DNM655374 DXI655374 EHE655374 ERA655374 FAW655374 FKS655374 FUO655374 GEK655374 GOG655374 GYC655374 HHY655374 HRU655374 IBQ655374 ILM655374 IVI655374 JFE655374 JPA655374 JYW655374 KIS655374 KSO655374 LCK655374 LMG655374 LWC655374 MFY655374 MPU655374 MZQ655374 NJM655374 NTI655374 ODE655374 ONA655374 OWW655374 PGS655374 PQO655374 QAK655374 QKG655374 QUC655374 RDY655374 RNU655374 RXQ655374 SHM655374 SRI655374 TBE655374 TLA655374 TUW655374 UES655374 UOO655374 UYK655374 VIG655374 VSC655374 WBY655374 WLU655374 WVQ655374 H720910 JE720910 TA720910 ACW720910 AMS720910 AWO720910 BGK720910 BQG720910 CAC720910 CJY720910 CTU720910 DDQ720910 DNM720910 DXI720910 EHE720910 ERA720910 FAW720910 FKS720910 FUO720910 GEK720910 GOG720910 GYC720910 HHY720910 HRU720910 IBQ720910 ILM720910 IVI720910 JFE720910 JPA720910 JYW720910 KIS720910 KSO720910 LCK720910 LMG720910 LWC720910 MFY720910 MPU720910 MZQ720910 NJM720910 NTI720910 ODE720910 ONA720910 OWW720910 PGS720910 PQO720910 QAK720910 QKG720910 QUC720910 RDY720910 RNU720910 RXQ720910 SHM720910 SRI720910 TBE720910 TLA720910 TUW720910 UES720910 UOO720910 UYK720910 VIG720910 VSC720910 WBY720910 WLU720910 WVQ720910 H786446 JE786446 TA786446 ACW786446 AMS786446 AWO786446 BGK786446 BQG786446 CAC786446 CJY786446 CTU786446 DDQ786446 DNM786446 DXI786446 EHE786446 ERA786446 FAW786446 FKS786446 FUO786446 GEK786446 GOG786446 GYC786446 HHY786446 HRU786446 IBQ786446 ILM786446 IVI786446 JFE786446 JPA786446 JYW786446 KIS786446 KSO786446 LCK786446 LMG786446 LWC786446 MFY786446 MPU786446 MZQ786446 NJM786446 NTI786446 ODE786446 ONA786446 OWW786446 PGS786446 PQO786446 QAK786446 QKG786446 QUC786446 RDY786446 RNU786446 RXQ786446 SHM786446 SRI786446 TBE786446 TLA786446 TUW786446 UES786446 UOO786446 UYK786446 VIG786446 VSC786446 WBY786446 WLU786446 WVQ786446 H851982 JE851982 TA851982 ACW851982 AMS851982 AWO851982 BGK851982 BQG851982 CAC851982 CJY851982 CTU851982 DDQ851982 DNM851982 DXI851982 EHE851982 ERA851982 FAW851982 FKS851982 FUO851982 GEK851982 GOG851982 GYC851982 HHY851982 HRU851982 IBQ851982 ILM851982 IVI851982 JFE851982 JPA851982 JYW851982 KIS851982 KSO851982 LCK851982 LMG851982 LWC851982 MFY851982 MPU851982 MZQ851982 NJM851982 NTI851982 ODE851982 ONA851982 OWW851982 PGS851982 PQO851982 QAK851982 QKG851982 QUC851982 RDY851982 RNU851982 RXQ851982 SHM851982 SRI851982 TBE851982 TLA851982 TUW851982 UES851982 UOO851982 UYK851982 VIG851982 VSC851982 WBY851982 WLU851982 WVQ851982 H917518 JE917518 TA917518 ACW917518 AMS917518 AWO917518 BGK917518 BQG917518 CAC917518 CJY917518 CTU917518 DDQ917518 DNM917518 DXI917518 EHE917518 ERA917518 FAW917518 FKS917518 FUO917518 GEK917518 GOG917518 GYC917518 HHY917518 HRU917518 IBQ917518 ILM917518 IVI917518 JFE917518 JPA917518 JYW917518 KIS917518 KSO917518 LCK917518 LMG917518 LWC917518 MFY917518 MPU917518 MZQ917518 NJM917518 NTI917518 ODE917518 ONA917518 OWW917518 PGS917518 PQO917518 QAK917518 QKG917518 QUC917518 RDY917518 RNU917518 RXQ917518 SHM917518 SRI917518 TBE917518 TLA917518 TUW917518 UES917518 UOO917518 UYK917518 VIG917518 VSC917518 WBY917518 WLU917518 WVQ917518 H983054 JE983054 TA983054 ACW983054 AMS983054 AWO983054 BGK983054 BQG983054 CAC983054 CJY983054 CTU983054 DDQ983054 DNM983054 DXI983054 EHE983054 ERA983054 FAW983054 FKS983054 FUO983054 GEK983054 GOG983054 GYC983054 HHY983054 HRU983054 IBQ983054 ILM983054 IVI983054 JFE983054 JPA983054 JYW983054 KIS983054 KSO983054 LCK983054 LMG983054 LWC983054 MFY983054 MPU983054 MZQ983054 NJM983054 NTI983054 ODE983054 ONA983054 OWW983054 PGS983054 PQO983054 QAK983054 QKG983054 QUC983054 RDY983054 RNU983054 RXQ983054 SHM983054 SRI983054 TBE983054 TLA983054 TUW983054 UES983054 UOO983054 UYK983054 VIG983054 VSC983054 WBY983054 WLU983054 WVQ983054"/>
  </dataValidations>
  <printOptions horizontalCentered="1"/>
  <pageMargins left="0.74803149606299213" right="0.74803149606299213" top="0.70866141732283472" bottom="0.39370078740157483" header="0.39370078740157483" footer="0.27559055118110237"/>
  <pageSetup scale="4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2760" r:id="rId4" name="Check Box 8">
              <controlPr defaultSize="0" autoFill="0" autoLine="0" autoPict="0">
                <anchor moveWithCells="1">
                  <from>
                    <xdr:col>0</xdr:col>
                    <xdr:colOff>323850</xdr:colOff>
                    <xdr:row>13</xdr:row>
                    <xdr:rowOff>47625</xdr:rowOff>
                  </from>
                  <to>
                    <xdr:col>0</xdr:col>
                    <xdr:colOff>590550</xdr:colOff>
                    <xdr:row>13</xdr:row>
                    <xdr:rowOff>447675</xdr:rowOff>
                  </to>
                </anchor>
              </controlPr>
            </control>
          </mc:Choice>
        </mc:AlternateContent>
        <mc:AlternateContent xmlns:mc="http://schemas.openxmlformats.org/markup-compatibility/2006">
          <mc:Choice Requires="x14">
            <control shapeId="202761" r:id="rId5" name="Check Box 9">
              <controlPr defaultSize="0" autoFill="0" autoLine="0" autoPict="0">
                <anchor moveWithCells="1">
                  <from>
                    <xdr:col>0</xdr:col>
                    <xdr:colOff>304800</xdr:colOff>
                    <xdr:row>14</xdr:row>
                    <xdr:rowOff>47625</xdr:rowOff>
                  </from>
                  <to>
                    <xdr:col>0</xdr:col>
                    <xdr:colOff>571500</xdr:colOff>
                    <xdr:row>14</xdr:row>
                    <xdr:rowOff>466725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3">
    <tabColor rgb="FF00B0F0"/>
    <pageSetUpPr fitToPage="1"/>
  </sheetPr>
  <dimension ref="A1:M73"/>
  <sheetViews>
    <sheetView showGridLines="0" view="pageBreakPreview" zoomScale="60" zoomScaleNormal="100" workbookViewId="0">
      <selection activeCell="S62" sqref="S62"/>
    </sheetView>
  </sheetViews>
  <sheetFormatPr defaultRowHeight="12.75" x14ac:dyDescent="0.2"/>
  <cols>
    <col min="1" max="1" width="9.140625" style="52"/>
    <col min="2" max="2" width="41.140625" style="52" customWidth="1"/>
    <col min="3" max="3" width="10" style="52" customWidth="1"/>
    <col min="4" max="4" width="10.140625" style="52" customWidth="1"/>
    <col min="5" max="5" width="12.28515625" style="52" customWidth="1"/>
    <col min="6" max="6" width="15.7109375" style="52" customWidth="1"/>
    <col min="7" max="7" width="17.7109375" style="52" customWidth="1"/>
    <col min="8" max="8" width="12.7109375" style="52" customWidth="1"/>
    <col min="9" max="9" width="14.42578125" style="52" customWidth="1"/>
    <col min="10" max="10" width="16.85546875" style="52" customWidth="1"/>
    <col min="11" max="11" width="14.28515625" style="52" customWidth="1"/>
    <col min="12" max="254" width="9.140625" style="52"/>
    <col min="255" max="255" width="2.7109375" style="52" customWidth="1"/>
    <col min="256" max="256" width="9.140625" style="52"/>
    <col min="257" max="257" width="40.28515625" style="52" bestFit="1" customWidth="1"/>
    <col min="258" max="258" width="10" style="52" customWidth="1"/>
    <col min="259" max="259" width="10.140625" style="52" customWidth="1"/>
    <col min="260" max="260" width="12.28515625" style="52" customWidth="1"/>
    <col min="261" max="261" width="15.7109375" style="52" customWidth="1"/>
    <col min="262" max="262" width="12.85546875" style="52" customWidth="1"/>
    <col min="263" max="263" width="12.7109375" style="52" customWidth="1"/>
    <col min="264" max="264" width="12.85546875" style="52" customWidth="1"/>
    <col min="265" max="265" width="14.42578125" style="52" customWidth="1"/>
    <col min="266" max="510" width="9.140625" style="52"/>
    <col min="511" max="511" width="2.7109375" style="52" customWidth="1"/>
    <col min="512" max="512" width="9.140625" style="52"/>
    <col min="513" max="513" width="40.28515625" style="52" bestFit="1" customWidth="1"/>
    <col min="514" max="514" width="10" style="52" customWidth="1"/>
    <col min="515" max="515" width="10.140625" style="52" customWidth="1"/>
    <col min="516" max="516" width="12.28515625" style="52" customWidth="1"/>
    <col min="517" max="517" width="15.7109375" style="52" customWidth="1"/>
    <col min="518" max="518" width="12.85546875" style="52" customWidth="1"/>
    <col min="519" max="519" width="12.7109375" style="52" customWidth="1"/>
    <col min="520" max="520" width="12.85546875" style="52" customWidth="1"/>
    <col min="521" max="521" width="14.42578125" style="52" customWidth="1"/>
    <col min="522" max="766" width="9.140625" style="52"/>
    <col min="767" max="767" width="2.7109375" style="52" customWidth="1"/>
    <col min="768" max="768" width="9.140625" style="52"/>
    <col min="769" max="769" width="40.28515625" style="52" bestFit="1" customWidth="1"/>
    <col min="770" max="770" width="10" style="52" customWidth="1"/>
    <col min="771" max="771" width="10.140625" style="52" customWidth="1"/>
    <col min="772" max="772" width="12.28515625" style="52" customWidth="1"/>
    <col min="773" max="773" width="15.7109375" style="52" customWidth="1"/>
    <col min="774" max="774" width="12.85546875" style="52" customWidth="1"/>
    <col min="775" max="775" width="12.7109375" style="52" customWidth="1"/>
    <col min="776" max="776" width="12.85546875" style="52" customWidth="1"/>
    <col min="777" max="777" width="14.42578125" style="52" customWidth="1"/>
    <col min="778" max="1022" width="9.140625" style="52"/>
    <col min="1023" max="1023" width="2.7109375" style="52" customWidth="1"/>
    <col min="1024" max="1024" width="9.140625" style="52"/>
    <col min="1025" max="1025" width="40.28515625" style="52" bestFit="1" customWidth="1"/>
    <col min="1026" max="1026" width="10" style="52" customWidth="1"/>
    <col min="1027" max="1027" width="10.140625" style="52" customWidth="1"/>
    <col min="1028" max="1028" width="12.28515625" style="52" customWidth="1"/>
    <col min="1029" max="1029" width="15.7109375" style="52" customWidth="1"/>
    <col min="1030" max="1030" width="12.85546875" style="52" customWidth="1"/>
    <col min="1031" max="1031" width="12.7109375" style="52" customWidth="1"/>
    <col min="1032" max="1032" width="12.85546875" style="52" customWidth="1"/>
    <col min="1033" max="1033" width="14.42578125" style="52" customWidth="1"/>
    <col min="1034" max="1278" width="9.140625" style="52"/>
    <col min="1279" max="1279" width="2.7109375" style="52" customWidth="1"/>
    <col min="1280" max="1280" width="9.140625" style="52"/>
    <col min="1281" max="1281" width="40.28515625" style="52" bestFit="1" customWidth="1"/>
    <col min="1282" max="1282" width="10" style="52" customWidth="1"/>
    <col min="1283" max="1283" width="10.140625" style="52" customWidth="1"/>
    <col min="1284" max="1284" width="12.28515625" style="52" customWidth="1"/>
    <col min="1285" max="1285" width="15.7109375" style="52" customWidth="1"/>
    <col min="1286" max="1286" width="12.85546875" style="52" customWidth="1"/>
    <col min="1287" max="1287" width="12.7109375" style="52" customWidth="1"/>
    <col min="1288" max="1288" width="12.85546875" style="52" customWidth="1"/>
    <col min="1289" max="1289" width="14.42578125" style="52" customWidth="1"/>
    <col min="1290" max="1534" width="9.140625" style="52"/>
    <col min="1535" max="1535" width="2.7109375" style="52" customWidth="1"/>
    <col min="1536" max="1536" width="9.140625" style="52"/>
    <col min="1537" max="1537" width="40.28515625" style="52" bestFit="1" customWidth="1"/>
    <col min="1538" max="1538" width="10" style="52" customWidth="1"/>
    <col min="1539" max="1539" width="10.140625" style="52" customWidth="1"/>
    <col min="1540" max="1540" width="12.28515625" style="52" customWidth="1"/>
    <col min="1541" max="1541" width="15.7109375" style="52" customWidth="1"/>
    <col min="1542" max="1542" width="12.85546875" style="52" customWidth="1"/>
    <col min="1543" max="1543" width="12.7109375" style="52" customWidth="1"/>
    <col min="1544" max="1544" width="12.85546875" style="52" customWidth="1"/>
    <col min="1545" max="1545" width="14.42578125" style="52" customWidth="1"/>
    <col min="1546" max="1790" width="9.140625" style="52"/>
    <col min="1791" max="1791" width="2.7109375" style="52" customWidth="1"/>
    <col min="1792" max="1792" width="9.140625" style="52"/>
    <col min="1793" max="1793" width="40.28515625" style="52" bestFit="1" customWidth="1"/>
    <col min="1794" max="1794" width="10" style="52" customWidth="1"/>
    <col min="1795" max="1795" width="10.140625" style="52" customWidth="1"/>
    <col min="1796" max="1796" width="12.28515625" style="52" customWidth="1"/>
    <col min="1797" max="1797" width="15.7109375" style="52" customWidth="1"/>
    <col min="1798" max="1798" width="12.85546875" style="52" customWidth="1"/>
    <col min="1799" max="1799" width="12.7109375" style="52" customWidth="1"/>
    <col min="1800" max="1800" width="12.85546875" style="52" customWidth="1"/>
    <col min="1801" max="1801" width="14.42578125" style="52" customWidth="1"/>
    <col min="1802" max="2046" width="9.140625" style="52"/>
    <col min="2047" max="2047" width="2.7109375" style="52" customWidth="1"/>
    <col min="2048" max="2048" width="9.140625" style="52"/>
    <col min="2049" max="2049" width="40.28515625" style="52" bestFit="1" customWidth="1"/>
    <col min="2050" max="2050" width="10" style="52" customWidth="1"/>
    <col min="2051" max="2051" width="10.140625" style="52" customWidth="1"/>
    <col min="2052" max="2052" width="12.28515625" style="52" customWidth="1"/>
    <col min="2053" max="2053" width="15.7109375" style="52" customWidth="1"/>
    <col min="2054" max="2054" width="12.85546875" style="52" customWidth="1"/>
    <col min="2055" max="2055" width="12.7109375" style="52" customWidth="1"/>
    <col min="2056" max="2056" width="12.85546875" style="52" customWidth="1"/>
    <col min="2057" max="2057" width="14.42578125" style="52" customWidth="1"/>
    <col min="2058" max="2302" width="9.140625" style="52"/>
    <col min="2303" max="2303" width="2.7109375" style="52" customWidth="1"/>
    <col min="2304" max="2304" width="9.140625" style="52"/>
    <col min="2305" max="2305" width="40.28515625" style="52" bestFit="1" customWidth="1"/>
    <col min="2306" max="2306" width="10" style="52" customWidth="1"/>
    <col min="2307" max="2307" width="10.140625" style="52" customWidth="1"/>
    <col min="2308" max="2308" width="12.28515625" style="52" customWidth="1"/>
    <col min="2309" max="2309" width="15.7109375" style="52" customWidth="1"/>
    <col min="2310" max="2310" width="12.85546875" style="52" customWidth="1"/>
    <col min="2311" max="2311" width="12.7109375" style="52" customWidth="1"/>
    <col min="2312" max="2312" width="12.85546875" style="52" customWidth="1"/>
    <col min="2313" max="2313" width="14.42578125" style="52" customWidth="1"/>
    <col min="2314" max="2558" width="9.140625" style="52"/>
    <col min="2559" max="2559" width="2.7109375" style="52" customWidth="1"/>
    <col min="2560" max="2560" width="9.140625" style="52"/>
    <col min="2561" max="2561" width="40.28515625" style="52" bestFit="1" customWidth="1"/>
    <col min="2562" max="2562" width="10" style="52" customWidth="1"/>
    <col min="2563" max="2563" width="10.140625" style="52" customWidth="1"/>
    <col min="2564" max="2564" width="12.28515625" style="52" customWidth="1"/>
    <col min="2565" max="2565" width="15.7109375" style="52" customWidth="1"/>
    <col min="2566" max="2566" width="12.85546875" style="52" customWidth="1"/>
    <col min="2567" max="2567" width="12.7109375" style="52" customWidth="1"/>
    <col min="2568" max="2568" width="12.85546875" style="52" customWidth="1"/>
    <col min="2569" max="2569" width="14.42578125" style="52" customWidth="1"/>
    <col min="2570" max="2814" width="9.140625" style="52"/>
    <col min="2815" max="2815" width="2.7109375" style="52" customWidth="1"/>
    <col min="2816" max="2816" width="9.140625" style="52"/>
    <col min="2817" max="2817" width="40.28515625" style="52" bestFit="1" customWidth="1"/>
    <col min="2818" max="2818" width="10" style="52" customWidth="1"/>
    <col min="2819" max="2819" width="10.140625" style="52" customWidth="1"/>
    <col min="2820" max="2820" width="12.28515625" style="52" customWidth="1"/>
    <col min="2821" max="2821" width="15.7109375" style="52" customWidth="1"/>
    <col min="2822" max="2822" width="12.85546875" style="52" customWidth="1"/>
    <col min="2823" max="2823" width="12.7109375" style="52" customWidth="1"/>
    <col min="2824" max="2824" width="12.85546875" style="52" customWidth="1"/>
    <col min="2825" max="2825" width="14.42578125" style="52" customWidth="1"/>
    <col min="2826" max="3070" width="9.140625" style="52"/>
    <col min="3071" max="3071" width="2.7109375" style="52" customWidth="1"/>
    <col min="3072" max="3072" width="9.140625" style="52"/>
    <col min="3073" max="3073" width="40.28515625" style="52" bestFit="1" customWidth="1"/>
    <col min="3074" max="3074" width="10" style="52" customWidth="1"/>
    <col min="3075" max="3075" width="10.140625" style="52" customWidth="1"/>
    <col min="3076" max="3076" width="12.28515625" style="52" customWidth="1"/>
    <col min="3077" max="3077" width="15.7109375" style="52" customWidth="1"/>
    <col min="3078" max="3078" width="12.85546875" style="52" customWidth="1"/>
    <col min="3079" max="3079" width="12.7109375" style="52" customWidth="1"/>
    <col min="3080" max="3080" width="12.85546875" style="52" customWidth="1"/>
    <col min="3081" max="3081" width="14.42578125" style="52" customWidth="1"/>
    <col min="3082" max="3326" width="9.140625" style="52"/>
    <col min="3327" max="3327" width="2.7109375" style="52" customWidth="1"/>
    <col min="3328" max="3328" width="9.140625" style="52"/>
    <col min="3329" max="3329" width="40.28515625" style="52" bestFit="1" customWidth="1"/>
    <col min="3330" max="3330" width="10" style="52" customWidth="1"/>
    <col min="3331" max="3331" width="10.140625" style="52" customWidth="1"/>
    <col min="3332" max="3332" width="12.28515625" style="52" customWidth="1"/>
    <col min="3333" max="3333" width="15.7109375" style="52" customWidth="1"/>
    <col min="3334" max="3334" width="12.85546875" style="52" customWidth="1"/>
    <col min="3335" max="3335" width="12.7109375" style="52" customWidth="1"/>
    <col min="3336" max="3336" width="12.85546875" style="52" customWidth="1"/>
    <col min="3337" max="3337" width="14.42578125" style="52" customWidth="1"/>
    <col min="3338" max="3582" width="9.140625" style="52"/>
    <col min="3583" max="3583" width="2.7109375" style="52" customWidth="1"/>
    <col min="3584" max="3584" width="9.140625" style="52"/>
    <col min="3585" max="3585" width="40.28515625" style="52" bestFit="1" customWidth="1"/>
    <col min="3586" max="3586" width="10" style="52" customWidth="1"/>
    <col min="3587" max="3587" width="10.140625" style="52" customWidth="1"/>
    <col min="3588" max="3588" width="12.28515625" style="52" customWidth="1"/>
    <col min="3589" max="3589" width="15.7109375" style="52" customWidth="1"/>
    <col min="3590" max="3590" width="12.85546875" style="52" customWidth="1"/>
    <col min="3591" max="3591" width="12.7109375" style="52" customWidth="1"/>
    <col min="3592" max="3592" width="12.85546875" style="52" customWidth="1"/>
    <col min="3593" max="3593" width="14.42578125" style="52" customWidth="1"/>
    <col min="3594" max="3838" width="9.140625" style="52"/>
    <col min="3839" max="3839" width="2.7109375" style="52" customWidth="1"/>
    <col min="3840" max="3840" width="9.140625" style="52"/>
    <col min="3841" max="3841" width="40.28515625" style="52" bestFit="1" customWidth="1"/>
    <col min="3842" max="3842" width="10" style="52" customWidth="1"/>
    <col min="3843" max="3843" width="10.140625" style="52" customWidth="1"/>
    <col min="3844" max="3844" width="12.28515625" style="52" customWidth="1"/>
    <col min="3845" max="3845" width="15.7109375" style="52" customWidth="1"/>
    <col min="3846" max="3846" width="12.85546875" style="52" customWidth="1"/>
    <col min="3847" max="3847" width="12.7109375" style="52" customWidth="1"/>
    <col min="3848" max="3848" width="12.85546875" style="52" customWidth="1"/>
    <col min="3849" max="3849" width="14.42578125" style="52" customWidth="1"/>
    <col min="3850" max="4094" width="9.140625" style="52"/>
    <col min="4095" max="4095" width="2.7109375" style="52" customWidth="1"/>
    <col min="4096" max="4096" width="9.140625" style="52"/>
    <col min="4097" max="4097" width="40.28515625" style="52" bestFit="1" customWidth="1"/>
    <col min="4098" max="4098" width="10" style="52" customWidth="1"/>
    <col min="4099" max="4099" width="10.140625" style="52" customWidth="1"/>
    <col min="4100" max="4100" width="12.28515625" style="52" customWidth="1"/>
    <col min="4101" max="4101" width="15.7109375" style="52" customWidth="1"/>
    <col min="4102" max="4102" width="12.85546875" style="52" customWidth="1"/>
    <col min="4103" max="4103" width="12.7109375" style="52" customWidth="1"/>
    <col min="4104" max="4104" width="12.85546875" style="52" customWidth="1"/>
    <col min="4105" max="4105" width="14.42578125" style="52" customWidth="1"/>
    <col min="4106" max="4350" width="9.140625" style="52"/>
    <col min="4351" max="4351" width="2.7109375" style="52" customWidth="1"/>
    <col min="4352" max="4352" width="9.140625" style="52"/>
    <col min="4353" max="4353" width="40.28515625" style="52" bestFit="1" customWidth="1"/>
    <col min="4354" max="4354" width="10" style="52" customWidth="1"/>
    <col min="4355" max="4355" width="10.140625" style="52" customWidth="1"/>
    <col min="4356" max="4356" width="12.28515625" style="52" customWidth="1"/>
    <col min="4357" max="4357" width="15.7109375" style="52" customWidth="1"/>
    <col min="4358" max="4358" width="12.85546875" style="52" customWidth="1"/>
    <col min="4359" max="4359" width="12.7109375" style="52" customWidth="1"/>
    <col min="4360" max="4360" width="12.85546875" style="52" customWidth="1"/>
    <col min="4361" max="4361" width="14.42578125" style="52" customWidth="1"/>
    <col min="4362" max="4606" width="9.140625" style="52"/>
    <col min="4607" max="4607" width="2.7109375" style="52" customWidth="1"/>
    <col min="4608" max="4608" width="9.140625" style="52"/>
    <col min="4609" max="4609" width="40.28515625" style="52" bestFit="1" customWidth="1"/>
    <col min="4610" max="4610" width="10" style="52" customWidth="1"/>
    <col min="4611" max="4611" width="10.140625" style="52" customWidth="1"/>
    <col min="4612" max="4612" width="12.28515625" style="52" customWidth="1"/>
    <col min="4613" max="4613" width="15.7109375" style="52" customWidth="1"/>
    <col min="4614" max="4614" width="12.85546875" style="52" customWidth="1"/>
    <col min="4615" max="4615" width="12.7109375" style="52" customWidth="1"/>
    <col min="4616" max="4616" width="12.85546875" style="52" customWidth="1"/>
    <col min="4617" max="4617" width="14.42578125" style="52" customWidth="1"/>
    <col min="4618" max="4862" width="9.140625" style="52"/>
    <col min="4863" max="4863" width="2.7109375" style="52" customWidth="1"/>
    <col min="4864" max="4864" width="9.140625" style="52"/>
    <col min="4865" max="4865" width="40.28515625" style="52" bestFit="1" customWidth="1"/>
    <col min="4866" max="4866" width="10" style="52" customWidth="1"/>
    <col min="4867" max="4867" width="10.140625" style="52" customWidth="1"/>
    <col min="4868" max="4868" width="12.28515625" style="52" customWidth="1"/>
    <col min="4869" max="4869" width="15.7109375" style="52" customWidth="1"/>
    <col min="4870" max="4870" width="12.85546875" style="52" customWidth="1"/>
    <col min="4871" max="4871" width="12.7109375" style="52" customWidth="1"/>
    <col min="4872" max="4872" width="12.85546875" style="52" customWidth="1"/>
    <col min="4873" max="4873" width="14.42578125" style="52" customWidth="1"/>
    <col min="4874" max="5118" width="9.140625" style="52"/>
    <col min="5119" max="5119" width="2.7109375" style="52" customWidth="1"/>
    <col min="5120" max="5120" width="9.140625" style="52"/>
    <col min="5121" max="5121" width="40.28515625" style="52" bestFit="1" customWidth="1"/>
    <col min="5122" max="5122" width="10" style="52" customWidth="1"/>
    <col min="5123" max="5123" width="10.140625" style="52" customWidth="1"/>
    <col min="5124" max="5124" width="12.28515625" style="52" customWidth="1"/>
    <col min="5125" max="5125" width="15.7109375" style="52" customWidth="1"/>
    <col min="5126" max="5126" width="12.85546875" style="52" customWidth="1"/>
    <col min="5127" max="5127" width="12.7109375" style="52" customWidth="1"/>
    <col min="5128" max="5128" width="12.85546875" style="52" customWidth="1"/>
    <col min="5129" max="5129" width="14.42578125" style="52" customWidth="1"/>
    <col min="5130" max="5374" width="9.140625" style="52"/>
    <col min="5375" max="5375" width="2.7109375" style="52" customWidth="1"/>
    <col min="5376" max="5376" width="9.140625" style="52"/>
    <col min="5377" max="5377" width="40.28515625" style="52" bestFit="1" customWidth="1"/>
    <col min="5378" max="5378" width="10" style="52" customWidth="1"/>
    <col min="5379" max="5379" width="10.140625" style="52" customWidth="1"/>
    <col min="5380" max="5380" width="12.28515625" style="52" customWidth="1"/>
    <col min="5381" max="5381" width="15.7109375" style="52" customWidth="1"/>
    <col min="5382" max="5382" width="12.85546875" style="52" customWidth="1"/>
    <col min="5383" max="5383" width="12.7109375" style="52" customWidth="1"/>
    <col min="5384" max="5384" width="12.85546875" style="52" customWidth="1"/>
    <col min="5385" max="5385" width="14.42578125" style="52" customWidth="1"/>
    <col min="5386" max="5630" width="9.140625" style="52"/>
    <col min="5631" max="5631" width="2.7109375" style="52" customWidth="1"/>
    <col min="5632" max="5632" width="9.140625" style="52"/>
    <col min="5633" max="5633" width="40.28515625" style="52" bestFit="1" customWidth="1"/>
    <col min="5634" max="5634" width="10" style="52" customWidth="1"/>
    <col min="5635" max="5635" width="10.140625" style="52" customWidth="1"/>
    <col min="5636" max="5636" width="12.28515625" style="52" customWidth="1"/>
    <col min="5637" max="5637" width="15.7109375" style="52" customWidth="1"/>
    <col min="5638" max="5638" width="12.85546875" style="52" customWidth="1"/>
    <col min="5639" max="5639" width="12.7109375" style="52" customWidth="1"/>
    <col min="5640" max="5640" width="12.85546875" style="52" customWidth="1"/>
    <col min="5641" max="5641" width="14.42578125" style="52" customWidth="1"/>
    <col min="5642" max="5886" width="9.140625" style="52"/>
    <col min="5887" max="5887" width="2.7109375" style="52" customWidth="1"/>
    <col min="5888" max="5888" width="9.140625" style="52"/>
    <col min="5889" max="5889" width="40.28515625" style="52" bestFit="1" customWidth="1"/>
    <col min="5890" max="5890" width="10" style="52" customWidth="1"/>
    <col min="5891" max="5891" width="10.140625" style="52" customWidth="1"/>
    <col min="5892" max="5892" width="12.28515625" style="52" customWidth="1"/>
    <col min="5893" max="5893" width="15.7109375" style="52" customWidth="1"/>
    <col min="5894" max="5894" width="12.85546875" style="52" customWidth="1"/>
    <col min="5895" max="5895" width="12.7109375" style="52" customWidth="1"/>
    <col min="5896" max="5896" width="12.85546875" style="52" customWidth="1"/>
    <col min="5897" max="5897" width="14.42578125" style="52" customWidth="1"/>
    <col min="5898" max="6142" width="9.140625" style="52"/>
    <col min="6143" max="6143" width="2.7109375" style="52" customWidth="1"/>
    <col min="6144" max="6144" width="9.140625" style="52"/>
    <col min="6145" max="6145" width="40.28515625" style="52" bestFit="1" customWidth="1"/>
    <col min="6146" max="6146" width="10" style="52" customWidth="1"/>
    <col min="6147" max="6147" width="10.140625" style="52" customWidth="1"/>
    <col min="6148" max="6148" width="12.28515625" style="52" customWidth="1"/>
    <col min="6149" max="6149" width="15.7109375" style="52" customWidth="1"/>
    <col min="6150" max="6150" width="12.85546875" style="52" customWidth="1"/>
    <col min="6151" max="6151" width="12.7109375" style="52" customWidth="1"/>
    <col min="6152" max="6152" width="12.85546875" style="52" customWidth="1"/>
    <col min="6153" max="6153" width="14.42578125" style="52" customWidth="1"/>
    <col min="6154" max="6398" width="9.140625" style="52"/>
    <col min="6399" max="6399" width="2.7109375" style="52" customWidth="1"/>
    <col min="6400" max="6400" width="9.140625" style="52"/>
    <col min="6401" max="6401" width="40.28515625" style="52" bestFit="1" customWidth="1"/>
    <col min="6402" max="6402" width="10" style="52" customWidth="1"/>
    <col min="6403" max="6403" width="10.140625" style="52" customWidth="1"/>
    <col min="6404" max="6404" width="12.28515625" style="52" customWidth="1"/>
    <col min="6405" max="6405" width="15.7109375" style="52" customWidth="1"/>
    <col min="6406" max="6406" width="12.85546875" style="52" customWidth="1"/>
    <col min="6407" max="6407" width="12.7109375" style="52" customWidth="1"/>
    <col min="6408" max="6408" width="12.85546875" style="52" customWidth="1"/>
    <col min="6409" max="6409" width="14.42578125" style="52" customWidth="1"/>
    <col min="6410" max="6654" width="9.140625" style="52"/>
    <col min="6655" max="6655" width="2.7109375" style="52" customWidth="1"/>
    <col min="6656" max="6656" width="9.140625" style="52"/>
    <col min="6657" max="6657" width="40.28515625" style="52" bestFit="1" customWidth="1"/>
    <col min="6658" max="6658" width="10" style="52" customWidth="1"/>
    <col min="6659" max="6659" width="10.140625" style="52" customWidth="1"/>
    <col min="6660" max="6660" width="12.28515625" style="52" customWidth="1"/>
    <col min="6661" max="6661" width="15.7109375" style="52" customWidth="1"/>
    <col min="6662" max="6662" width="12.85546875" style="52" customWidth="1"/>
    <col min="6663" max="6663" width="12.7109375" style="52" customWidth="1"/>
    <col min="6664" max="6664" width="12.85546875" style="52" customWidth="1"/>
    <col min="6665" max="6665" width="14.42578125" style="52" customWidth="1"/>
    <col min="6666" max="6910" width="9.140625" style="52"/>
    <col min="6911" max="6911" width="2.7109375" style="52" customWidth="1"/>
    <col min="6912" max="6912" width="9.140625" style="52"/>
    <col min="6913" max="6913" width="40.28515625" style="52" bestFit="1" customWidth="1"/>
    <col min="6914" max="6914" width="10" style="52" customWidth="1"/>
    <col min="6915" max="6915" width="10.140625" style="52" customWidth="1"/>
    <col min="6916" max="6916" width="12.28515625" style="52" customWidth="1"/>
    <col min="6917" max="6917" width="15.7109375" style="52" customWidth="1"/>
    <col min="6918" max="6918" width="12.85546875" style="52" customWidth="1"/>
    <col min="6919" max="6919" width="12.7109375" style="52" customWidth="1"/>
    <col min="6920" max="6920" width="12.85546875" style="52" customWidth="1"/>
    <col min="6921" max="6921" width="14.42578125" style="52" customWidth="1"/>
    <col min="6922" max="7166" width="9.140625" style="52"/>
    <col min="7167" max="7167" width="2.7109375" style="52" customWidth="1"/>
    <col min="7168" max="7168" width="9.140625" style="52"/>
    <col min="7169" max="7169" width="40.28515625" style="52" bestFit="1" customWidth="1"/>
    <col min="7170" max="7170" width="10" style="52" customWidth="1"/>
    <col min="7171" max="7171" width="10.140625" style="52" customWidth="1"/>
    <col min="7172" max="7172" width="12.28515625" style="52" customWidth="1"/>
    <col min="7173" max="7173" width="15.7109375" style="52" customWidth="1"/>
    <col min="7174" max="7174" width="12.85546875" style="52" customWidth="1"/>
    <col min="7175" max="7175" width="12.7109375" style="52" customWidth="1"/>
    <col min="7176" max="7176" width="12.85546875" style="52" customWidth="1"/>
    <col min="7177" max="7177" width="14.42578125" style="52" customWidth="1"/>
    <col min="7178" max="7422" width="9.140625" style="52"/>
    <col min="7423" max="7423" width="2.7109375" style="52" customWidth="1"/>
    <col min="7424" max="7424" width="9.140625" style="52"/>
    <col min="7425" max="7425" width="40.28515625" style="52" bestFit="1" customWidth="1"/>
    <col min="7426" max="7426" width="10" style="52" customWidth="1"/>
    <col min="7427" max="7427" width="10.140625" style="52" customWidth="1"/>
    <col min="7428" max="7428" width="12.28515625" style="52" customWidth="1"/>
    <col min="7429" max="7429" width="15.7109375" style="52" customWidth="1"/>
    <col min="7430" max="7430" width="12.85546875" style="52" customWidth="1"/>
    <col min="7431" max="7431" width="12.7109375" style="52" customWidth="1"/>
    <col min="7432" max="7432" width="12.85546875" style="52" customWidth="1"/>
    <col min="7433" max="7433" width="14.42578125" style="52" customWidth="1"/>
    <col min="7434" max="7678" width="9.140625" style="52"/>
    <col min="7679" max="7679" width="2.7109375" style="52" customWidth="1"/>
    <col min="7680" max="7680" width="9.140625" style="52"/>
    <col min="7681" max="7681" width="40.28515625" style="52" bestFit="1" customWidth="1"/>
    <col min="7682" max="7682" width="10" style="52" customWidth="1"/>
    <col min="7683" max="7683" width="10.140625" style="52" customWidth="1"/>
    <col min="7684" max="7684" width="12.28515625" style="52" customWidth="1"/>
    <col min="7685" max="7685" width="15.7109375" style="52" customWidth="1"/>
    <col min="7686" max="7686" width="12.85546875" style="52" customWidth="1"/>
    <col min="7687" max="7687" width="12.7109375" style="52" customWidth="1"/>
    <col min="7688" max="7688" width="12.85546875" style="52" customWidth="1"/>
    <col min="7689" max="7689" width="14.42578125" style="52" customWidth="1"/>
    <col min="7690" max="7934" width="9.140625" style="52"/>
    <col min="7935" max="7935" width="2.7109375" style="52" customWidth="1"/>
    <col min="7936" max="7936" width="9.140625" style="52"/>
    <col min="7937" max="7937" width="40.28515625" style="52" bestFit="1" customWidth="1"/>
    <col min="7938" max="7938" width="10" style="52" customWidth="1"/>
    <col min="7939" max="7939" width="10.140625" style="52" customWidth="1"/>
    <col min="7940" max="7940" width="12.28515625" style="52" customWidth="1"/>
    <col min="7941" max="7941" width="15.7109375" style="52" customWidth="1"/>
    <col min="7942" max="7942" width="12.85546875" style="52" customWidth="1"/>
    <col min="7943" max="7943" width="12.7109375" style="52" customWidth="1"/>
    <col min="7944" max="7944" width="12.85546875" style="52" customWidth="1"/>
    <col min="7945" max="7945" width="14.42578125" style="52" customWidth="1"/>
    <col min="7946" max="8190" width="9.140625" style="52"/>
    <col min="8191" max="8191" width="2.7109375" style="52" customWidth="1"/>
    <col min="8192" max="8192" width="9.140625" style="52"/>
    <col min="8193" max="8193" width="40.28515625" style="52" bestFit="1" customWidth="1"/>
    <col min="8194" max="8194" width="10" style="52" customWidth="1"/>
    <col min="8195" max="8195" width="10.140625" style="52" customWidth="1"/>
    <col min="8196" max="8196" width="12.28515625" style="52" customWidth="1"/>
    <col min="8197" max="8197" width="15.7109375" style="52" customWidth="1"/>
    <col min="8198" max="8198" width="12.85546875" style="52" customWidth="1"/>
    <col min="8199" max="8199" width="12.7109375" style="52" customWidth="1"/>
    <col min="8200" max="8200" width="12.85546875" style="52" customWidth="1"/>
    <col min="8201" max="8201" width="14.42578125" style="52" customWidth="1"/>
    <col min="8202" max="8446" width="9.140625" style="52"/>
    <col min="8447" max="8447" width="2.7109375" style="52" customWidth="1"/>
    <col min="8448" max="8448" width="9.140625" style="52"/>
    <col min="8449" max="8449" width="40.28515625" style="52" bestFit="1" customWidth="1"/>
    <col min="8450" max="8450" width="10" style="52" customWidth="1"/>
    <col min="8451" max="8451" width="10.140625" style="52" customWidth="1"/>
    <col min="8452" max="8452" width="12.28515625" style="52" customWidth="1"/>
    <col min="8453" max="8453" width="15.7109375" style="52" customWidth="1"/>
    <col min="8454" max="8454" width="12.85546875" style="52" customWidth="1"/>
    <col min="8455" max="8455" width="12.7109375" style="52" customWidth="1"/>
    <col min="8456" max="8456" width="12.85546875" style="52" customWidth="1"/>
    <col min="8457" max="8457" width="14.42578125" style="52" customWidth="1"/>
    <col min="8458" max="8702" width="9.140625" style="52"/>
    <col min="8703" max="8703" width="2.7109375" style="52" customWidth="1"/>
    <col min="8704" max="8704" width="9.140625" style="52"/>
    <col min="8705" max="8705" width="40.28515625" style="52" bestFit="1" customWidth="1"/>
    <col min="8706" max="8706" width="10" style="52" customWidth="1"/>
    <col min="8707" max="8707" width="10.140625" style="52" customWidth="1"/>
    <col min="8708" max="8708" width="12.28515625" style="52" customWidth="1"/>
    <col min="8709" max="8709" width="15.7109375" style="52" customWidth="1"/>
    <col min="8710" max="8710" width="12.85546875" style="52" customWidth="1"/>
    <col min="8711" max="8711" width="12.7109375" style="52" customWidth="1"/>
    <col min="8712" max="8712" width="12.85546875" style="52" customWidth="1"/>
    <col min="8713" max="8713" width="14.42578125" style="52" customWidth="1"/>
    <col min="8714" max="8958" width="9.140625" style="52"/>
    <col min="8959" max="8959" width="2.7109375" style="52" customWidth="1"/>
    <col min="8960" max="8960" width="9.140625" style="52"/>
    <col min="8961" max="8961" width="40.28515625" style="52" bestFit="1" customWidth="1"/>
    <col min="8962" max="8962" width="10" style="52" customWidth="1"/>
    <col min="8963" max="8963" width="10.140625" style="52" customWidth="1"/>
    <col min="8964" max="8964" width="12.28515625" style="52" customWidth="1"/>
    <col min="8965" max="8965" width="15.7109375" style="52" customWidth="1"/>
    <col min="8966" max="8966" width="12.85546875" style="52" customWidth="1"/>
    <col min="8967" max="8967" width="12.7109375" style="52" customWidth="1"/>
    <col min="8968" max="8968" width="12.85546875" style="52" customWidth="1"/>
    <col min="8969" max="8969" width="14.42578125" style="52" customWidth="1"/>
    <col min="8970" max="9214" width="9.140625" style="52"/>
    <col min="9215" max="9215" width="2.7109375" style="52" customWidth="1"/>
    <col min="9216" max="9216" width="9.140625" style="52"/>
    <col min="9217" max="9217" width="40.28515625" style="52" bestFit="1" customWidth="1"/>
    <col min="9218" max="9218" width="10" style="52" customWidth="1"/>
    <col min="9219" max="9219" width="10.140625" style="52" customWidth="1"/>
    <col min="9220" max="9220" width="12.28515625" style="52" customWidth="1"/>
    <col min="9221" max="9221" width="15.7109375" style="52" customWidth="1"/>
    <col min="9222" max="9222" width="12.85546875" style="52" customWidth="1"/>
    <col min="9223" max="9223" width="12.7109375" style="52" customWidth="1"/>
    <col min="9224" max="9224" width="12.85546875" style="52" customWidth="1"/>
    <col min="9225" max="9225" width="14.42578125" style="52" customWidth="1"/>
    <col min="9226" max="9470" width="9.140625" style="52"/>
    <col min="9471" max="9471" width="2.7109375" style="52" customWidth="1"/>
    <col min="9472" max="9472" width="9.140625" style="52"/>
    <col min="9473" max="9473" width="40.28515625" style="52" bestFit="1" customWidth="1"/>
    <col min="9474" max="9474" width="10" style="52" customWidth="1"/>
    <col min="9475" max="9475" width="10.140625" style="52" customWidth="1"/>
    <col min="9476" max="9476" width="12.28515625" style="52" customWidth="1"/>
    <col min="9477" max="9477" width="15.7109375" style="52" customWidth="1"/>
    <col min="9478" max="9478" width="12.85546875" style="52" customWidth="1"/>
    <col min="9479" max="9479" width="12.7109375" style="52" customWidth="1"/>
    <col min="9480" max="9480" width="12.85546875" style="52" customWidth="1"/>
    <col min="9481" max="9481" width="14.42578125" style="52" customWidth="1"/>
    <col min="9482" max="9726" width="9.140625" style="52"/>
    <col min="9727" max="9727" width="2.7109375" style="52" customWidth="1"/>
    <col min="9728" max="9728" width="9.140625" style="52"/>
    <col min="9729" max="9729" width="40.28515625" style="52" bestFit="1" customWidth="1"/>
    <col min="9730" max="9730" width="10" style="52" customWidth="1"/>
    <col min="9731" max="9731" width="10.140625" style="52" customWidth="1"/>
    <col min="9732" max="9732" width="12.28515625" style="52" customWidth="1"/>
    <col min="9733" max="9733" width="15.7109375" style="52" customWidth="1"/>
    <col min="9734" max="9734" width="12.85546875" style="52" customWidth="1"/>
    <col min="9735" max="9735" width="12.7109375" style="52" customWidth="1"/>
    <col min="9736" max="9736" width="12.85546875" style="52" customWidth="1"/>
    <col min="9737" max="9737" width="14.42578125" style="52" customWidth="1"/>
    <col min="9738" max="9982" width="9.140625" style="52"/>
    <col min="9983" max="9983" width="2.7109375" style="52" customWidth="1"/>
    <col min="9984" max="9984" width="9.140625" style="52"/>
    <col min="9985" max="9985" width="40.28515625" style="52" bestFit="1" customWidth="1"/>
    <col min="9986" max="9986" width="10" style="52" customWidth="1"/>
    <col min="9987" max="9987" width="10.140625" style="52" customWidth="1"/>
    <col min="9988" max="9988" width="12.28515625" style="52" customWidth="1"/>
    <col min="9989" max="9989" width="15.7109375" style="52" customWidth="1"/>
    <col min="9990" max="9990" width="12.85546875" style="52" customWidth="1"/>
    <col min="9991" max="9991" width="12.7109375" style="52" customWidth="1"/>
    <col min="9992" max="9992" width="12.85546875" style="52" customWidth="1"/>
    <col min="9993" max="9993" width="14.42578125" style="52" customWidth="1"/>
    <col min="9994" max="10238" width="9.140625" style="52"/>
    <col min="10239" max="10239" width="2.7109375" style="52" customWidth="1"/>
    <col min="10240" max="10240" width="9.140625" style="52"/>
    <col min="10241" max="10241" width="40.28515625" style="52" bestFit="1" customWidth="1"/>
    <col min="10242" max="10242" width="10" style="52" customWidth="1"/>
    <col min="10243" max="10243" width="10.140625" style="52" customWidth="1"/>
    <col min="10244" max="10244" width="12.28515625" style="52" customWidth="1"/>
    <col min="10245" max="10245" width="15.7109375" style="52" customWidth="1"/>
    <col min="10246" max="10246" width="12.85546875" style="52" customWidth="1"/>
    <col min="10247" max="10247" width="12.7109375" style="52" customWidth="1"/>
    <col min="10248" max="10248" width="12.85546875" style="52" customWidth="1"/>
    <col min="10249" max="10249" width="14.42578125" style="52" customWidth="1"/>
    <col min="10250" max="10494" width="9.140625" style="52"/>
    <col min="10495" max="10495" width="2.7109375" style="52" customWidth="1"/>
    <col min="10496" max="10496" width="9.140625" style="52"/>
    <col min="10497" max="10497" width="40.28515625" style="52" bestFit="1" customWidth="1"/>
    <col min="10498" max="10498" width="10" style="52" customWidth="1"/>
    <col min="10499" max="10499" width="10.140625" style="52" customWidth="1"/>
    <col min="10500" max="10500" width="12.28515625" style="52" customWidth="1"/>
    <col min="10501" max="10501" width="15.7109375" style="52" customWidth="1"/>
    <col min="10502" max="10502" width="12.85546875" style="52" customWidth="1"/>
    <col min="10503" max="10503" width="12.7109375" style="52" customWidth="1"/>
    <col min="10504" max="10504" width="12.85546875" style="52" customWidth="1"/>
    <col min="10505" max="10505" width="14.42578125" style="52" customWidth="1"/>
    <col min="10506" max="10750" width="9.140625" style="52"/>
    <col min="10751" max="10751" width="2.7109375" style="52" customWidth="1"/>
    <col min="10752" max="10752" width="9.140625" style="52"/>
    <col min="10753" max="10753" width="40.28515625" style="52" bestFit="1" customWidth="1"/>
    <col min="10754" max="10754" width="10" style="52" customWidth="1"/>
    <col min="10755" max="10755" width="10.140625" style="52" customWidth="1"/>
    <col min="10756" max="10756" width="12.28515625" style="52" customWidth="1"/>
    <col min="10757" max="10757" width="15.7109375" style="52" customWidth="1"/>
    <col min="10758" max="10758" width="12.85546875" style="52" customWidth="1"/>
    <col min="10759" max="10759" width="12.7109375" style="52" customWidth="1"/>
    <col min="10760" max="10760" width="12.85546875" style="52" customWidth="1"/>
    <col min="10761" max="10761" width="14.42578125" style="52" customWidth="1"/>
    <col min="10762" max="11006" width="9.140625" style="52"/>
    <col min="11007" max="11007" width="2.7109375" style="52" customWidth="1"/>
    <col min="11008" max="11008" width="9.140625" style="52"/>
    <col min="11009" max="11009" width="40.28515625" style="52" bestFit="1" customWidth="1"/>
    <col min="11010" max="11010" width="10" style="52" customWidth="1"/>
    <col min="11011" max="11011" width="10.140625" style="52" customWidth="1"/>
    <col min="11012" max="11012" width="12.28515625" style="52" customWidth="1"/>
    <col min="11013" max="11013" width="15.7109375" style="52" customWidth="1"/>
    <col min="11014" max="11014" width="12.85546875" style="52" customWidth="1"/>
    <col min="11015" max="11015" width="12.7109375" style="52" customWidth="1"/>
    <col min="11016" max="11016" width="12.85546875" style="52" customWidth="1"/>
    <col min="11017" max="11017" width="14.42578125" style="52" customWidth="1"/>
    <col min="11018" max="11262" width="9.140625" style="52"/>
    <col min="11263" max="11263" width="2.7109375" style="52" customWidth="1"/>
    <col min="11264" max="11264" width="9.140625" style="52"/>
    <col min="11265" max="11265" width="40.28515625" style="52" bestFit="1" customWidth="1"/>
    <col min="11266" max="11266" width="10" style="52" customWidth="1"/>
    <col min="11267" max="11267" width="10.140625" style="52" customWidth="1"/>
    <col min="11268" max="11268" width="12.28515625" style="52" customWidth="1"/>
    <col min="11269" max="11269" width="15.7109375" style="52" customWidth="1"/>
    <col min="11270" max="11270" width="12.85546875" style="52" customWidth="1"/>
    <col min="11271" max="11271" width="12.7109375" style="52" customWidth="1"/>
    <col min="11272" max="11272" width="12.85546875" style="52" customWidth="1"/>
    <col min="11273" max="11273" width="14.42578125" style="52" customWidth="1"/>
    <col min="11274" max="11518" width="9.140625" style="52"/>
    <col min="11519" max="11519" width="2.7109375" style="52" customWidth="1"/>
    <col min="11520" max="11520" width="9.140625" style="52"/>
    <col min="11521" max="11521" width="40.28515625" style="52" bestFit="1" customWidth="1"/>
    <col min="11522" max="11522" width="10" style="52" customWidth="1"/>
    <col min="11523" max="11523" width="10.140625" style="52" customWidth="1"/>
    <col min="11524" max="11524" width="12.28515625" style="52" customWidth="1"/>
    <col min="11525" max="11525" width="15.7109375" style="52" customWidth="1"/>
    <col min="11526" max="11526" width="12.85546875" style="52" customWidth="1"/>
    <col min="11527" max="11527" width="12.7109375" style="52" customWidth="1"/>
    <col min="11528" max="11528" width="12.85546875" style="52" customWidth="1"/>
    <col min="11529" max="11529" width="14.42578125" style="52" customWidth="1"/>
    <col min="11530" max="11774" width="9.140625" style="52"/>
    <col min="11775" max="11775" width="2.7109375" style="52" customWidth="1"/>
    <col min="11776" max="11776" width="9.140625" style="52"/>
    <col min="11777" max="11777" width="40.28515625" style="52" bestFit="1" customWidth="1"/>
    <col min="11778" max="11778" width="10" style="52" customWidth="1"/>
    <col min="11779" max="11779" width="10.140625" style="52" customWidth="1"/>
    <col min="11780" max="11780" width="12.28515625" style="52" customWidth="1"/>
    <col min="11781" max="11781" width="15.7109375" style="52" customWidth="1"/>
    <col min="11782" max="11782" width="12.85546875" style="52" customWidth="1"/>
    <col min="11783" max="11783" width="12.7109375" style="52" customWidth="1"/>
    <col min="11784" max="11784" width="12.85546875" style="52" customWidth="1"/>
    <col min="11785" max="11785" width="14.42578125" style="52" customWidth="1"/>
    <col min="11786" max="12030" width="9.140625" style="52"/>
    <col min="12031" max="12031" width="2.7109375" style="52" customWidth="1"/>
    <col min="12032" max="12032" width="9.140625" style="52"/>
    <col min="12033" max="12033" width="40.28515625" style="52" bestFit="1" customWidth="1"/>
    <col min="12034" max="12034" width="10" style="52" customWidth="1"/>
    <col min="12035" max="12035" width="10.140625" style="52" customWidth="1"/>
    <col min="12036" max="12036" width="12.28515625" style="52" customWidth="1"/>
    <col min="12037" max="12037" width="15.7109375" style="52" customWidth="1"/>
    <col min="12038" max="12038" width="12.85546875" style="52" customWidth="1"/>
    <col min="12039" max="12039" width="12.7109375" style="52" customWidth="1"/>
    <col min="12040" max="12040" width="12.85546875" style="52" customWidth="1"/>
    <col min="12041" max="12041" width="14.42578125" style="52" customWidth="1"/>
    <col min="12042" max="12286" width="9.140625" style="52"/>
    <col min="12287" max="12287" width="2.7109375" style="52" customWidth="1"/>
    <col min="12288" max="12288" width="9.140625" style="52"/>
    <col min="12289" max="12289" width="40.28515625" style="52" bestFit="1" customWidth="1"/>
    <col min="12290" max="12290" width="10" style="52" customWidth="1"/>
    <col min="12291" max="12291" width="10.140625" style="52" customWidth="1"/>
    <col min="12292" max="12292" width="12.28515625" style="52" customWidth="1"/>
    <col min="12293" max="12293" width="15.7109375" style="52" customWidth="1"/>
    <col min="12294" max="12294" width="12.85546875" style="52" customWidth="1"/>
    <col min="12295" max="12295" width="12.7109375" style="52" customWidth="1"/>
    <col min="12296" max="12296" width="12.85546875" style="52" customWidth="1"/>
    <col min="12297" max="12297" width="14.42578125" style="52" customWidth="1"/>
    <col min="12298" max="12542" width="9.140625" style="52"/>
    <col min="12543" max="12543" width="2.7109375" style="52" customWidth="1"/>
    <col min="12544" max="12544" width="9.140625" style="52"/>
    <col min="12545" max="12545" width="40.28515625" style="52" bestFit="1" customWidth="1"/>
    <col min="12546" max="12546" width="10" style="52" customWidth="1"/>
    <col min="12547" max="12547" width="10.140625" style="52" customWidth="1"/>
    <col min="12548" max="12548" width="12.28515625" style="52" customWidth="1"/>
    <col min="12549" max="12549" width="15.7109375" style="52" customWidth="1"/>
    <col min="12550" max="12550" width="12.85546875" style="52" customWidth="1"/>
    <col min="12551" max="12551" width="12.7109375" style="52" customWidth="1"/>
    <col min="12552" max="12552" width="12.85546875" style="52" customWidth="1"/>
    <col min="12553" max="12553" width="14.42578125" style="52" customWidth="1"/>
    <col min="12554" max="12798" width="9.140625" style="52"/>
    <col min="12799" max="12799" width="2.7109375" style="52" customWidth="1"/>
    <col min="12800" max="12800" width="9.140625" style="52"/>
    <col min="12801" max="12801" width="40.28515625" style="52" bestFit="1" customWidth="1"/>
    <col min="12802" max="12802" width="10" style="52" customWidth="1"/>
    <col min="12803" max="12803" width="10.140625" style="52" customWidth="1"/>
    <col min="12804" max="12804" width="12.28515625" style="52" customWidth="1"/>
    <col min="12805" max="12805" width="15.7109375" style="52" customWidth="1"/>
    <col min="12806" max="12806" width="12.85546875" style="52" customWidth="1"/>
    <col min="12807" max="12807" width="12.7109375" style="52" customWidth="1"/>
    <col min="12808" max="12808" width="12.85546875" style="52" customWidth="1"/>
    <col min="12809" max="12809" width="14.42578125" style="52" customWidth="1"/>
    <col min="12810" max="13054" width="9.140625" style="52"/>
    <col min="13055" max="13055" width="2.7109375" style="52" customWidth="1"/>
    <col min="13056" max="13056" width="9.140625" style="52"/>
    <col min="13057" max="13057" width="40.28515625" style="52" bestFit="1" customWidth="1"/>
    <col min="13058" max="13058" width="10" style="52" customWidth="1"/>
    <col min="13059" max="13059" width="10.140625" style="52" customWidth="1"/>
    <col min="13060" max="13060" width="12.28515625" style="52" customWidth="1"/>
    <col min="13061" max="13061" width="15.7109375" style="52" customWidth="1"/>
    <col min="13062" max="13062" width="12.85546875" style="52" customWidth="1"/>
    <col min="13063" max="13063" width="12.7109375" style="52" customWidth="1"/>
    <col min="13064" max="13064" width="12.85546875" style="52" customWidth="1"/>
    <col min="13065" max="13065" width="14.42578125" style="52" customWidth="1"/>
    <col min="13066" max="13310" width="9.140625" style="52"/>
    <col min="13311" max="13311" width="2.7109375" style="52" customWidth="1"/>
    <col min="13312" max="13312" width="9.140625" style="52"/>
    <col min="13313" max="13313" width="40.28515625" style="52" bestFit="1" customWidth="1"/>
    <col min="13314" max="13314" width="10" style="52" customWidth="1"/>
    <col min="13315" max="13315" width="10.140625" style="52" customWidth="1"/>
    <col min="13316" max="13316" width="12.28515625" style="52" customWidth="1"/>
    <col min="13317" max="13317" width="15.7109375" style="52" customWidth="1"/>
    <col min="13318" max="13318" width="12.85546875" style="52" customWidth="1"/>
    <col min="13319" max="13319" width="12.7109375" style="52" customWidth="1"/>
    <col min="13320" max="13320" width="12.85546875" style="52" customWidth="1"/>
    <col min="13321" max="13321" width="14.42578125" style="52" customWidth="1"/>
    <col min="13322" max="13566" width="9.140625" style="52"/>
    <col min="13567" max="13567" width="2.7109375" style="52" customWidth="1"/>
    <col min="13568" max="13568" width="9.140625" style="52"/>
    <col min="13569" max="13569" width="40.28515625" style="52" bestFit="1" customWidth="1"/>
    <col min="13570" max="13570" width="10" style="52" customWidth="1"/>
    <col min="13571" max="13571" width="10.140625" style="52" customWidth="1"/>
    <col min="13572" max="13572" width="12.28515625" style="52" customWidth="1"/>
    <col min="13573" max="13573" width="15.7109375" style="52" customWidth="1"/>
    <col min="13574" max="13574" width="12.85546875" style="52" customWidth="1"/>
    <col min="13575" max="13575" width="12.7109375" style="52" customWidth="1"/>
    <col min="13576" max="13576" width="12.85546875" style="52" customWidth="1"/>
    <col min="13577" max="13577" width="14.42578125" style="52" customWidth="1"/>
    <col min="13578" max="13822" width="9.140625" style="52"/>
    <col min="13823" max="13823" width="2.7109375" style="52" customWidth="1"/>
    <col min="13824" max="13824" width="9.140625" style="52"/>
    <col min="13825" max="13825" width="40.28515625" style="52" bestFit="1" customWidth="1"/>
    <col min="13826" max="13826" width="10" style="52" customWidth="1"/>
    <col min="13827" max="13827" width="10.140625" style="52" customWidth="1"/>
    <col min="13828" max="13828" width="12.28515625" style="52" customWidth="1"/>
    <col min="13829" max="13829" width="15.7109375" style="52" customWidth="1"/>
    <col min="13830" max="13830" width="12.85546875" style="52" customWidth="1"/>
    <col min="13831" max="13831" width="12.7109375" style="52" customWidth="1"/>
    <col min="13832" max="13832" width="12.85546875" style="52" customWidth="1"/>
    <col min="13833" max="13833" width="14.42578125" style="52" customWidth="1"/>
    <col min="13834" max="14078" width="9.140625" style="52"/>
    <col min="14079" max="14079" width="2.7109375" style="52" customWidth="1"/>
    <col min="14080" max="14080" width="9.140625" style="52"/>
    <col min="14081" max="14081" width="40.28515625" style="52" bestFit="1" customWidth="1"/>
    <col min="14082" max="14082" width="10" style="52" customWidth="1"/>
    <col min="14083" max="14083" width="10.140625" style="52" customWidth="1"/>
    <col min="14084" max="14084" width="12.28515625" style="52" customWidth="1"/>
    <col min="14085" max="14085" width="15.7109375" style="52" customWidth="1"/>
    <col min="14086" max="14086" width="12.85546875" style="52" customWidth="1"/>
    <col min="14087" max="14087" width="12.7109375" style="52" customWidth="1"/>
    <col min="14088" max="14088" width="12.85546875" style="52" customWidth="1"/>
    <col min="14089" max="14089" width="14.42578125" style="52" customWidth="1"/>
    <col min="14090" max="14334" width="9.140625" style="52"/>
    <col min="14335" max="14335" width="2.7109375" style="52" customWidth="1"/>
    <col min="14336" max="14336" width="9.140625" style="52"/>
    <col min="14337" max="14337" width="40.28515625" style="52" bestFit="1" customWidth="1"/>
    <col min="14338" max="14338" width="10" style="52" customWidth="1"/>
    <col min="14339" max="14339" width="10.140625" style="52" customWidth="1"/>
    <col min="14340" max="14340" width="12.28515625" style="52" customWidth="1"/>
    <col min="14341" max="14341" width="15.7109375" style="52" customWidth="1"/>
    <col min="14342" max="14342" width="12.85546875" style="52" customWidth="1"/>
    <col min="14343" max="14343" width="12.7109375" style="52" customWidth="1"/>
    <col min="14344" max="14344" width="12.85546875" style="52" customWidth="1"/>
    <col min="14345" max="14345" width="14.42578125" style="52" customWidth="1"/>
    <col min="14346" max="14590" width="9.140625" style="52"/>
    <col min="14591" max="14591" width="2.7109375" style="52" customWidth="1"/>
    <col min="14592" max="14592" width="9.140625" style="52"/>
    <col min="14593" max="14593" width="40.28515625" style="52" bestFit="1" customWidth="1"/>
    <col min="14594" max="14594" width="10" style="52" customWidth="1"/>
    <col min="14595" max="14595" width="10.140625" style="52" customWidth="1"/>
    <col min="14596" max="14596" width="12.28515625" style="52" customWidth="1"/>
    <col min="14597" max="14597" width="15.7109375" style="52" customWidth="1"/>
    <col min="14598" max="14598" width="12.85546875" style="52" customWidth="1"/>
    <col min="14599" max="14599" width="12.7109375" style="52" customWidth="1"/>
    <col min="14600" max="14600" width="12.85546875" style="52" customWidth="1"/>
    <col min="14601" max="14601" width="14.42578125" style="52" customWidth="1"/>
    <col min="14602" max="14846" width="9.140625" style="52"/>
    <col min="14847" max="14847" width="2.7109375" style="52" customWidth="1"/>
    <col min="14848" max="14848" width="9.140625" style="52"/>
    <col min="14849" max="14849" width="40.28515625" style="52" bestFit="1" customWidth="1"/>
    <col min="14850" max="14850" width="10" style="52" customWidth="1"/>
    <col min="14851" max="14851" width="10.140625" style="52" customWidth="1"/>
    <col min="14852" max="14852" width="12.28515625" style="52" customWidth="1"/>
    <col min="14853" max="14853" width="15.7109375" style="52" customWidth="1"/>
    <col min="14854" max="14854" width="12.85546875" style="52" customWidth="1"/>
    <col min="14855" max="14855" width="12.7109375" style="52" customWidth="1"/>
    <col min="14856" max="14856" width="12.85546875" style="52" customWidth="1"/>
    <col min="14857" max="14857" width="14.42578125" style="52" customWidth="1"/>
    <col min="14858" max="15102" width="9.140625" style="52"/>
    <col min="15103" max="15103" width="2.7109375" style="52" customWidth="1"/>
    <col min="15104" max="15104" width="9.140625" style="52"/>
    <col min="15105" max="15105" width="40.28515625" style="52" bestFit="1" customWidth="1"/>
    <col min="15106" max="15106" width="10" style="52" customWidth="1"/>
    <col min="15107" max="15107" width="10.140625" style="52" customWidth="1"/>
    <col min="15108" max="15108" width="12.28515625" style="52" customWidth="1"/>
    <col min="15109" max="15109" width="15.7109375" style="52" customWidth="1"/>
    <col min="15110" max="15110" width="12.85546875" style="52" customWidth="1"/>
    <col min="15111" max="15111" width="12.7109375" style="52" customWidth="1"/>
    <col min="15112" max="15112" width="12.85546875" style="52" customWidth="1"/>
    <col min="15113" max="15113" width="14.42578125" style="52" customWidth="1"/>
    <col min="15114" max="15358" width="9.140625" style="52"/>
    <col min="15359" max="15359" width="2.7109375" style="52" customWidth="1"/>
    <col min="15360" max="15360" width="9.140625" style="52"/>
    <col min="15361" max="15361" width="40.28515625" style="52" bestFit="1" customWidth="1"/>
    <col min="15362" max="15362" width="10" style="52" customWidth="1"/>
    <col min="15363" max="15363" width="10.140625" style="52" customWidth="1"/>
    <col min="15364" max="15364" width="12.28515625" style="52" customWidth="1"/>
    <col min="15365" max="15365" width="15.7109375" style="52" customWidth="1"/>
    <col min="15366" max="15366" width="12.85546875" style="52" customWidth="1"/>
    <col min="15367" max="15367" width="12.7109375" style="52" customWidth="1"/>
    <col min="15368" max="15368" width="12.85546875" style="52" customWidth="1"/>
    <col min="15369" max="15369" width="14.42578125" style="52" customWidth="1"/>
    <col min="15370" max="15614" width="9.140625" style="52"/>
    <col min="15615" max="15615" width="2.7109375" style="52" customWidth="1"/>
    <col min="15616" max="15616" width="9.140625" style="52"/>
    <col min="15617" max="15617" width="40.28515625" style="52" bestFit="1" customWidth="1"/>
    <col min="15618" max="15618" width="10" style="52" customWidth="1"/>
    <col min="15619" max="15619" width="10.140625" style="52" customWidth="1"/>
    <col min="15620" max="15620" width="12.28515625" style="52" customWidth="1"/>
    <col min="15621" max="15621" width="15.7109375" style="52" customWidth="1"/>
    <col min="15622" max="15622" width="12.85546875" style="52" customWidth="1"/>
    <col min="15623" max="15623" width="12.7109375" style="52" customWidth="1"/>
    <col min="15624" max="15624" width="12.85546875" style="52" customWidth="1"/>
    <col min="15625" max="15625" width="14.42578125" style="52" customWidth="1"/>
    <col min="15626" max="15870" width="9.140625" style="52"/>
    <col min="15871" max="15871" width="2.7109375" style="52" customWidth="1"/>
    <col min="15872" max="15872" width="9.140625" style="52"/>
    <col min="15873" max="15873" width="40.28515625" style="52" bestFit="1" customWidth="1"/>
    <col min="15874" max="15874" width="10" style="52" customWidth="1"/>
    <col min="15875" max="15875" width="10.140625" style="52" customWidth="1"/>
    <col min="15876" max="15876" width="12.28515625" style="52" customWidth="1"/>
    <col min="15877" max="15877" width="15.7109375" style="52" customWidth="1"/>
    <col min="15878" max="15878" width="12.85546875" style="52" customWidth="1"/>
    <col min="15879" max="15879" width="12.7109375" style="52" customWidth="1"/>
    <col min="15880" max="15880" width="12.85546875" style="52" customWidth="1"/>
    <col min="15881" max="15881" width="14.42578125" style="52" customWidth="1"/>
    <col min="15882" max="16126" width="9.140625" style="52"/>
    <col min="16127" max="16127" width="2.7109375" style="52" customWidth="1"/>
    <col min="16128" max="16128" width="9.140625" style="52"/>
    <col min="16129" max="16129" width="40.28515625" style="52" bestFit="1" customWidth="1"/>
    <col min="16130" max="16130" width="10" style="52" customWidth="1"/>
    <col min="16131" max="16131" width="10.140625" style="52" customWidth="1"/>
    <col min="16132" max="16132" width="12.28515625" style="52" customWidth="1"/>
    <col min="16133" max="16133" width="15.7109375" style="52" customWidth="1"/>
    <col min="16134" max="16134" width="12.85546875" style="52" customWidth="1"/>
    <col min="16135" max="16135" width="12.7109375" style="52" customWidth="1"/>
    <col min="16136" max="16136" width="12.85546875" style="52" customWidth="1"/>
    <col min="16137" max="16137" width="14.42578125" style="52" customWidth="1"/>
    <col min="16138" max="16384" width="9.140625" style="52"/>
  </cols>
  <sheetData>
    <row r="1" spans="1:13" x14ac:dyDescent="0.2">
      <c r="C1" s="155"/>
      <c r="D1" s="154"/>
      <c r="E1" s="155"/>
      <c r="F1" s="155"/>
      <c r="G1" s="155"/>
      <c r="H1" s="155"/>
      <c r="I1" s="155"/>
      <c r="J1" s="152" t="s">
        <v>301</v>
      </c>
      <c r="K1" s="1092" t="str">
        <f>EBNUMBER</f>
        <v>EB-2016-0066</v>
      </c>
      <c r="M1" s="155"/>
    </row>
    <row r="2" spans="1:13" x14ac:dyDescent="0.2">
      <c r="C2" s="155"/>
      <c r="D2" s="154"/>
      <c r="E2" s="155"/>
      <c r="F2" s="155"/>
      <c r="G2" s="155"/>
      <c r="H2" s="155"/>
      <c r="I2" s="155"/>
      <c r="J2" s="152" t="s">
        <v>302</v>
      </c>
      <c r="K2" s="51"/>
      <c r="M2" s="155"/>
    </row>
    <row r="3" spans="1:13" x14ac:dyDescent="0.2">
      <c r="C3" s="155"/>
      <c r="D3" s="154"/>
      <c r="E3" s="155"/>
      <c r="F3" s="155"/>
      <c r="G3" s="155"/>
      <c r="H3" s="155"/>
      <c r="I3" s="155"/>
      <c r="J3" s="152" t="s">
        <v>303</v>
      </c>
      <c r="K3" s="51"/>
      <c r="M3" s="155"/>
    </row>
    <row r="4" spans="1:13" x14ac:dyDescent="0.2">
      <c r="C4" s="155"/>
      <c r="D4" s="154"/>
      <c r="E4" s="155"/>
      <c r="F4" s="155"/>
      <c r="G4" s="155"/>
      <c r="H4" s="155"/>
      <c r="I4" s="155"/>
      <c r="J4" s="152" t="s">
        <v>304</v>
      </c>
      <c r="K4" s="51"/>
      <c r="M4" s="155"/>
    </row>
    <row r="5" spans="1:13" x14ac:dyDescent="0.2">
      <c r="C5" s="155"/>
      <c r="D5" s="154"/>
      <c r="E5" s="155"/>
      <c r="F5" s="155"/>
      <c r="G5" s="155"/>
      <c r="H5" s="155"/>
      <c r="I5" s="155"/>
      <c r="J5" s="152" t="s">
        <v>305</v>
      </c>
      <c r="K5" s="1093"/>
      <c r="M5" s="155"/>
    </row>
    <row r="6" spans="1:13" x14ac:dyDescent="0.2">
      <c r="C6" s="155"/>
      <c r="D6" s="154"/>
      <c r="E6" s="155"/>
      <c r="F6" s="155"/>
      <c r="G6" s="155"/>
      <c r="H6" s="155"/>
      <c r="I6" s="155"/>
      <c r="J6" s="152"/>
      <c r="K6" s="1092"/>
      <c r="M6" s="155"/>
    </row>
    <row r="7" spans="1:13" x14ac:dyDescent="0.2">
      <c r="C7" s="155"/>
      <c r="D7" s="154"/>
      <c r="E7" s="155"/>
      <c r="F7" s="155"/>
      <c r="G7" s="155"/>
      <c r="H7" s="155"/>
      <c r="I7" s="155"/>
      <c r="J7" s="152" t="s">
        <v>306</v>
      </c>
      <c r="K7" s="1093"/>
      <c r="M7" s="239"/>
    </row>
    <row r="9" spans="1:13" ht="18" x14ac:dyDescent="0.2">
      <c r="A9" s="1679" t="s">
        <v>1444</v>
      </c>
      <c r="B9" s="1679"/>
      <c r="C9" s="1679"/>
      <c r="D9" s="1679"/>
      <c r="E9" s="1679"/>
      <c r="F9" s="1679"/>
      <c r="G9" s="1679"/>
      <c r="H9" s="1679"/>
      <c r="I9" s="1679"/>
    </row>
    <row r="10" spans="1:13" ht="18" x14ac:dyDescent="0.2">
      <c r="A10" s="1679" t="s">
        <v>2</v>
      </c>
      <c r="B10" s="1679"/>
      <c r="C10" s="1679"/>
      <c r="D10" s="1679"/>
      <c r="E10" s="1679"/>
      <c r="F10" s="1679"/>
      <c r="G10" s="1679"/>
      <c r="H10" s="1679"/>
      <c r="I10" s="1679"/>
    </row>
    <row r="11" spans="1:13" ht="24" customHeight="1" x14ac:dyDescent="0.2">
      <c r="A11" s="1680" t="s">
        <v>1059</v>
      </c>
      <c r="B11" s="1680"/>
      <c r="C11" s="1680"/>
      <c r="D11" s="1680"/>
      <c r="E11" s="1680"/>
      <c r="F11" s="1680"/>
      <c r="G11" s="1680"/>
      <c r="H11" s="1680"/>
      <c r="I11" s="295"/>
      <c r="J11" s="295"/>
    </row>
    <row r="12" spans="1:13" ht="24" customHeight="1" x14ac:dyDescent="0.2">
      <c r="A12" s="1108"/>
      <c r="B12" s="1108"/>
      <c r="C12" s="1108"/>
      <c r="D12" s="1108"/>
      <c r="E12" s="1108"/>
      <c r="F12" s="1108"/>
      <c r="G12" s="1108"/>
      <c r="H12" s="1108"/>
      <c r="I12" s="295"/>
      <c r="J12" s="295"/>
    </row>
    <row r="13" spans="1:13" ht="24" customHeight="1" x14ac:dyDescent="0.25">
      <c r="A13" s="1700" t="s">
        <v>1042</v>
      </c>
      <c r="B13" s="1701"/>
      <c r="C13" s="878"/>
      <c r="D13" s="1115"/>
      <c r="E13" s="1110"/>
      <c r="F13" s="1110"/>
      <c r="G13" s="1110"/>
      <c r="H13" s="1109"/>
      <c r="I13" s="1109"/>
      <c r="J13" s="1116" t="s">
        <v>1057</v>
      </c>
      <c r="K13" s="1116" t="s">
        <v>882</v>
      </c>
    </row>
    <row r="14" spans="1:13" ht="44.25" customHeight="1" x14ac:dyDescent="0.2">
      <c r="A14" s="1693" t="s">
        <v>1101</v>
      </c>
      <c r="B14" s="1694"/>
      <c r="C14" s="1682" t="s">
        <v>1076</v>
      </c>
      <c r="D14" s="1652"/>
      <c r="E14" s="1652"/>
      <c r="F14" s="1652"/>
      <c r="G14" s="1652"/>
      <c r="H14" s="1652"/>
      <c r="I14" s="1652"/>
      <c r="J14" s="1118">
        <v>2015</v>
      </c>
      <c r="K14" s="1125" t="s">
        <v>105</v>
      </c>
    </row>
    <row r="15" spans="1:13" ht="37.5" customHeight="1" x14ac:dyDescent="0.2">
      <c r="A15" s="1693" t="s">
        <v>1102</v>
      </c>
      <c r="B15" s="1694"/>
      <c r="C15" s="1682" t="s">
        <v>1077</v>
      </c>
      <c r="D15" s="1652"/>
      <c r="E15" s="1652"/>
      <c r="F15" s="1652"/>
      <c r="G15" s="1652"/>
      <c r="H15" s="1652"/>
      <c r="I15" s="1652"/>
      <c r="J15" s="1118">
        <v>2016</v>
      </c>
      <c r="K15" s="1125" t="s">
        <v>105</v>
      </c>
    </row>
    <row r="16" spans="1:13" ht="13.5" customHeight="1" x14ac:dyDescent="0.25">
      <c r="A16" s="1046"/>
      <c r="B16" s="1046"/>
      <c r="C16" s="274"/>
      <c r="D16" s="274"/>
      <c r="E16" s="1046"/>
      <c r="F16" s="1046"/>
      <c r="G16" s="1046"/>
      <c r="H16" s="1046"/>
    </row>
    <row r="17" spans="1:11" ht="13.5" thickBot="1" x14ac:dyDescent="0.25"/>
    <row r="18" spans="1:11" ht="62.25" customHeight="1" x14ac:dyDescent="0.2">
      <c r="A18" s="313" t="s">
        <v>3</v>
      </c>
      <c r="B18" s="1687" t="s">
        <v>235</v>
      </c>
      <c r="C18" s="245" t="s">
        <v>237</v>
      </c>
      <c r="D18" s="245" t="s">
        <v>395</v>
      </c>
      <c r="E18" s="245" t="s">
        <v>385</v>
      </c>
      <c r="F18" s="277" t="s">
        <v>1080</v>
      </c>
      <c r="G18" s="1697" t="s">
        <v>1060</v>
      </c>
      <c r="H18" s="277" t="s">
        <v>388</v>
      </c>
      <c r="I18" s="277" t="s">
        <v>1047</v>
      </c>
      <c r="J18" s="1697" t="s">
        <v>1088</v>
      </c>
      <c r="K18" s="277" t="s">
        <v>1055</v>
      </c>
    </row>
    <row r="19" spans="1:11" ht="51.75" thickBot="1" x14ac:dyDescent="0.25">
      <c r="A19" s="314"/>
      <c r="B19" s="1696"/>
      <c r="C19" s="278" t="s">
        <v>5</v>
      </c>
      <c r="D19" s="278" t="s">
        <v>7</v>
      </c>
      <c r="E19" s="278" t="s">
        <v>8</v>
      </c>
      <c r="F19" s="296" t="s">
        <v>1084</v>
      </c>
      <c r="G19" s="1698"/>
      <c r="H19" s="281" t="s">
        <v>382</v>
      </c>
      <c r="I19" s="281" t="s">
        <v>396</v>
      </c>
      <c r="J19" s="1699"/>
      <c r="K19" s="297" t="s">
        <v>1056</v>
      </c>
    </row>
    <row r="20" spans="1:11" ht="25.5" x14ac:dyDescent="0.2">
      <c r="A20" s="315">
        <v>1611</v>
      </c>
      <c r="B20" s="316" t="s">
        <v>381</v>
      </c>
      <c r="C20" s="173"/>
      <c r="D20" s="317"/>
      <c r="E20" s="318">
        <f t="shared" ref="E20:E57" si="0">IF(D20=0,0,1/D20)</f>
        <v>0</v>
      </c>
      <c r="F20" s="191">
        <f>IF(D20=0,'App.2-CD_DepExp_Yr3'!K20,+'App.2-CD_DepExp_Yr3'!K20+((C20*0.5)/D20))</f>
        <v>0</v>
      </c>
      <c r="G20" s="319"/>
      <c r="H20" s="191">
        <f t="shared" ref="H20:H57" si="1">IF(ISERROR(+F20-G20), 0, +F20-G20)</f>
        <v>0</v>
      </c>
      <c r="I20" s="191">
        <f>IF(D20=0,0,+(C20)/D20)</f>
        <v>0</v>
      </c>
      <c r="J20" s="173"/>
      <c r="K20" s="191">
        <f>IF(ISERROR(+I20+'App.2-CD_DepExp_Yr3'!K20-J20), 0, +I20+'App.2-CD_DepExp_Yr3'!K20-J20)</f>
        <v>0</v>
      </c>
    </row>
    <row r="21" spans="1:11" x14ac:dyDescent="0.2">
      <c r="A21" s="1064">
        <v>1612</v>
      </c>
      <c r="B21" s="172" t="s">
        <v>442</v>
      </c>
      <c r="C21" s="173"/>
      <c r="D21" s="250"/>
      <c r="E21" s="252">
        <f t="shared" si="0"/>
        <v>0</v>
      </c>
      <c r="F21" s="191">
        <f>IF(D21=0,'App.2-CD_DepExp_Yr3'!K21,+'App.2-CD_DepExp_Yr3'!K21+((C21*0.5)/D21))</f>
        <v>0</v>
      </c>
      <c r="G21" s="320"/>
      <c r="H21" s="191">
        <f t="shared" si="1"/>
        <v>0</v>
      </c>
      <c r="I21" s="191">
        <f t="shared" ref="I21:I57" si="2">IF(D21=0,0,+(C21)/D21)</f>
        <v>0</v>
      </c>
      <c r="J21" s="173"/>
      <c r="K21" s="191">
        <f>IF(ISERROR(+I21+'App.2-CD_DepExp_Yr3'!K21-J21), 0, +I21+'App.2-CD_DepExp_Yr3'!K21-J21)</f>
        <v>0</v>
      </c>
    </row>
    <row r="22" spans="1:11" x14ac:dyDescent="0.2">
      <c r="A22" s="253">
        <v>1805</v>
      </c>
      <c r="B22" s="179" t="s">
        <v>267</v>
      </c>
      <c r="C22" s="173"/>
      <c r="D22" s="250"/>
      <c r="E22" s="252">
        <f t="shared" si="0"/>
        <v>0</v>
      </c>
      <c r="F22" s="191">
        <f>IF(D22=0,'App.2-CD_DepExp_Yr3'!K22,+'App.2-CD_DepExp_Yr3'!K22+((C22*0.5)/D22))</f>
        <v>0</v>
      </c>
      <c r="G22" s="320"/>
      <c r="H22" s="191">
        <f t="shared" si="1"/>
        <v>0</v>
      </c>
      <c r="I22" s="191">
        <f t="shared" si="2"/>
        <v>0</v>
      </c>
      <c r="J22" s="173"/>
      <c r="K22" s="191">
        <f>IF(ISERROR(+I22+'App.2-CD_DepExp_Yr3'!K22-J22), 0, +I22+'App.2-CD_DepExp_Yr3'!K22-J22)</f>
        <v>0</v>
      </c>
    </row>
    <row r="23" spans="1:11" x14ac:dyDescent="0.2">
      <c r="A23" s="1064">
        <v>1808</v>
      </c>
      <c r="B23" s="180" t="s">
        <v>268</v>
      </c>
      <c r="C23" s="173"/>
      <c r="D23" s="250"/>
      <c r="E23" s="252">
        <f t="shared" si="0"/>
        <v>0</v>
      </c>
      <c r="F23" s="191">
        <f>IF(D23=0,'App.2-CD_DepExp_Yr3'!K23,+'App.2-CD_DepExp_Yr3'!K23+((C23*0.5)/D23))</f>
        <v>0</v>
      </c>
      <c r="G23" s="320"/>
      <c r="H23" s="191">
        <f t="shared" si="1"/>
        <v>0</v>
      </c>
      <c r="I23" s="191">
        <f t="shared" si="2"/>
        <v>0</v>
      </c>
      <c r="J23" s="173"/>
      <c r="K23" s="191">
        <f>IF(ISERROR(+I23+'App.2-CD_DepExp_Yr3'!K23-J23), 0, +I23+'App.2-CD_DepExp_Yr3'!K23-J23)</f>
        <v>0</v>
      </c>
    </row>
    <row r="24" spans="1:11" x14ac:dyDescent="0.2">
      <c r="A24" s="1064">
        <v>1810</v>
      </c>
      <c r="B24" s="180" t="s">
        <v>299</v>
      </c>
      <c r="C24" s="173"/>
      <c r="D24" s="250"/>
      <c r="E24" s="252">
        <f t="shared" si="0"/>
        <v>0</v>
      </c>
      <c r="F24" s="191">
        <f>IF(D24=0,'App.2-CD_DepExp_Yr3'!K24,+'App.2-CD_DepExp_Yr3'!K24+((C24*0.5)/D24))</f>
        <v>0</v>
      </c>
      <c r="G24" s="320"/>
      <c r="H24" s="191">
        <f t="shared" si="1"/>
        <v>0</v>
      </c>
      <c r="I24" s="191">
        <f t="shared" si="2"/>
        <v>0</v>
      </c>
      <c r="J24" s="173"/>
      <c r="K24" s="191">
        <f>IF(ISERROR(+I24+'App.2-CD_DepExp_Yr3'!K24-J24), 0, +I24+'App.2-CD_DepExp_Yr3'!K24-J24)</f>
        <v>0</v>
      </c>
    </row>
    <row r="25" spans="1:11" x14ac:dyDescent="0.2">
      <c r="A25" s="1064">
        <v>1815</v>
      </c>
      <c r="B25" s="180" t="s">
        <v>269</v>
      </c>
      <c r="C25" s="173"/>
      <c r="D25" s="250"/>
      <c r="E25" s="252">
        <f t="shared" si="0"/>
        <v>0</v>
      </c>
      <c r="F25" s="191">
        <f>IF(D25=0,'App.2-CD_DepExp_Yr3'!K25,+'App.2-CD_DepExp_Yr3'!K25+((C25*0.5)/D25))</f>
        <v>0</v>
      </c>
      <c r="G25" s="320"/>
      <c r="H25" s="191">
        <f t="shared" si="1"/>
        <v>0</v>
      </c>
      <c r="I25" s="191">
        <f t="shared" si="2"/>
        <v>0</v>
      </c>
      <c r="J25" s="173"/>
      <c r="K25" s="191">
        <f>IF(ISERROR(+I25+'App.2-CD_DepExp_Yr3'!K25-J25), 0, +I25+'App.2-CD_DepExp_Yr3'!K25-J25)</f>
        <v>0</v>
      </c>
    </row>
    <row r="26" spans="1:11" x14ac:dyDescent="0.2">
      <c r="A26" s="1064">
        <v>1820</v>
      </c>
      <c r="B26" s="172" t="s">
        <v>207</v>
      </c>
      <c r="C26" s="173"/>
      <c r="D26" s="250"/>
      <c r="E26" s="252">
        <f t="shared" si="0"/>
        <v>0</v>
      </c>
      <c r="F26" s="191">
        <f>IF(D26=0,'App.2-CD_DepExp_Yr3'!K26,+'App.2-CD_DepExp_Yr3'!K26+((C26*0.5)/D26))</f>
        <v>0</v>
      </c>
      <c r="G26" s="320"/>
      <c r="H26" s="191">
        <f t="shared" si="1"/>
        <v>0</v>
      </c>
      <c r="I26" s="191">
        <f t="shared" si="2"/>
        <v>0</v>
      </c>
      <c r="J26" s="173"/>
      <c r="K26" s="191">
        <f>IF(ISERROR(+I26+'App.2-CD_DepExp_Yr3'!K26-J26), 0, +I26+'App.2-CD_DepExp_Yr3'!K26-J26)</f>
        <v>0</v>
      </c>
    </row>
    <row r="27" spans="1:11" x14ac:dyDescent="0.2">
      <c r="A27" s="1064">
        <v>1825</v>
      </c>
      <c r="B27" s="180" t="s">
        <v>270</v>
      </c>
      <c r="C27" s="173"/>
      <c r="D27" s="250"/>
      <c r="E27" s="252">
        <f t="shared" si="0"/>
        <v>0</v>
      </c>
      <c r="F27" s="191">
        <f>IF(D27=0,'App.2-CD_DepExp_Yr3'!K27,+'App.2-CD_DepExp_Yr3'!K27+((C27*0.5)/D27))</f>
        <v>0</v>
      </c>
      <c r="G27" s="320"/>
      <c r="H27" s="191">
        <f t="shared" si="1"/>
        <v>0</v>
      </c>
      <c r="I27" s="191">
        <f t="shared" si="2"/>
        <v>0</v>
      </c>
      <c r="J27" s="173"/>
      <c r="K27" s="191">
        <f>IF(ISERROR(+I27+'App.2-CD_DepExp_Yr3'!K27-J27), 0, +I27+'App.2-CD_DepExp_Yr3'!K27-J27)</f>
        <v>0</v>
      </c>
    </row>
    <row r="28" spans="1:11" x14ac:dyDescent="0.2">
      <c r="A28" s="1064">
        <v>1830</v>
      </c>
      <c r="B28" s="180" t="s">
        <v>271</v>
      </c>
      <c r="C28" s="173"/>
      <c r="D28" s="250"/>
      <c r="E28" s="252">
        <f t="shared" si="0"/>
        <v>0</v>
      </c>
      <c r="F28" s="191">
        <f>IF(D28=0,'App.2-CD_DepExp_Yr3'!K28,+'App.2-CD_DepExp_Yr3'!K28+((C28*0.5)/D28))</f>
        <v>0</v>
      </c>
      <c r="G28" s="320"/>
      <c r="H28" s="191">
        <f t="shared" si="1"/>
        <v>0</v>
      </c>
      <c r="I28" s="191">
        <f t="shared" si="2"/>
        <v>0</v>
      </c>
      <c r="J28" s="173"/>
      <c r="K28" s="191">
        <f>IF(ISERROR(+I28+'App.2-CD_DepExp_Yr3'!K28-J28), 0, +I28+'App.2-CD_DepExp_Yr3'!K28-J28)</f>
        <v>0</v>
      </c>
    </row>
    <row r="29" spans="1:11" x14ac:dyDescent="0.2">
      <c r="A29" s="1064">
        <v>1835</v>
      </c>
      <c r="B29" s="180" t="s">
        <v>208</v>
      </c>
      <c r="C29" s="173"/>
      <c r="D29" s="250"/>
      <c r="E29" s="252">
        <f t="shared" si="0"/>
        <v>0</v>
      </c>
      <c r="F29" s="191">
        <f>IF(D29=0,'App.2-CD_DepExp_Yr3'!K29,+'App.2-CD_DepExp_Yr3'!K29+((C29*0.5)/D29))</f>
        <v>0</v>
      </c>
      <c r="G29" s="320"/>
      <c r="H29" s="191">
        <f t="shared" si="1"/>
        <v>0</v>
      </c>
      <c r="I29" s="191">
        <f t="shared" si="2"/>
        <v>0</v>
      </c>
      <c r="J29" s="173"/>
      <c r="K29" s="191">
        <f>IF(ISERROR(+I29+'App.2-CD_DepExp_Yr3'!K29-J29), 0, +I29+'App.2-CD_DepExp_Yr3'!K29-J29)</f>
        <v>0</v>
      </c>
    </row>
    <row r="30" spans="1:11" x14ac:dyDescent="0.2">
      <c r="A30" s="1064">
        <v>1840</v>
      </c>
      <c r="B30" s="180" t="s">
        <v>209</v>
      </c>
      <c r="C30" s="173"/>
      <c r="D30" s="250"/>
      <c r="E30" s="252">
        <f t="shared" si="0"/>
        <v>0</v>
      </c>
      <c r="F30" s="191">
        <f>IF(D30=0,'App.2-CD_DepExp_Yr3'!K30,+'App.2-CD_DepExp_Yr3'!K30+((C30*0.5)/D30))</f>
        <v>0</v>
      </c>
      <c r="G30" s="320"/>
      <c r="H30" s="191">
        <f t="shared" si="1"/>
        <v>0</v>
      </c>
      <c r="I30" s="191">
        <f t="shared" si="2"/>
        <v>0</v>
      </c>
      <c r="J30" s="173"/>
      <c r="K30" s="191">
        <f>IF(ISERROR(+I30+'App.2-CD_DepExp_Yr3'!K30-J30), 0, +I30+'App.2-CD_DepExp_Yr3'!K30-J30)</f>
        <v>0</v>
      </c>
    </row>
    <row r="31" spans="1:11" x14ac:dyDescent="0.2">
      <c r="A31" s="1064">
        <v>1845</v>
      </c>
      <c r="B31" s="180" t="s">
        <v>210</v>
      </c>
      <c r="C31" s="173"/>
      <c r="D31" s="250"/>
      <c r="E31" s="252">
        <f t="shared" si="0"/>
        <v>0</v>
      </c>
      <c r="F31" s="191">
        <f>IF(D31=0,'App.2-CD_DepExp_Yr3'!K31,+'App.2-CD_DepExp_Yr3'!K31+((C31*0.5)/D31))</f>
        <v>0</v>
      </c>
      <c r="G31" s="320"/>
      <c r="H31" s="191">
        <f t="shared" si="1"/>
        <v>0</v>
      </c>
      <c r="I31" s="191">
        <f t="shared" si="2"/>
        <v>0</v>
      </c>
      <c r="J31" s="173"/>
      <c r="K31" s="191">
        <f>IF(ISERROR(+I31+'App.2-CD_DepExp_Yr3'!K31-J31), 0, +I31+'App.2-CD_DepExp_Yr3'!K31-J31)</f>
        <v>0</v>
      </c>
    </row>
    <row r="32" spans="1:11" x14ac:dyDescent="0.2">
      <c r="A32" s="1064">
        <v>1850</v>
      </c>
      <c r="B32" s="180" t="s">
        <v>272</v>
      </c>
      <c r="C32" s="173"/>
      <c r="D32" s="250"/>
      <c r="E32" s="252">
        <f t="shared" si="0"/>
        <v>0</v>
      </c>
      <c r="F32" s="191">
        <f>IF(D32=0,'App.2-CD_DepExp_Yr3'!K32,+'App.2-CD_DepExp_Yr3'!K32+((C32*0.5)/D32))</f>
        <v>0</v>
      </c>
      <c r="G32" s="320"/>
      <c r="H32" s="191">
        <f t="shared" si="1"/>
        <v>0</v>
      </c>
      <c r="I32" s="191">
        <f t="shared" si="2"/>
        <v>0</v>
      </c>
      <c r="J32" s="173"/>
      <c r="K32" s="191">
        <f>IF(ISERROR(+I32+'App.2-CD_DepExp_Yr3'!K32-J32), 0, +I32+'App.2-CD_DepExp_Yr3'!K32-J32)</f>
        <v>0</v>
      </c>
    </row>
    <row r="33" spans="1:11" x14ac:dyDescent="0.2">
      <c r="A33" s="1064">
        <v>1855</v>
      </c>
      <c r="B33" s="180" t="s">
        <v>211</v>
      </c>
      <c r="C33" s="173"/>
      <c r="D33" s="250"/>
      <c r="E33" s="252">
        <f t="shared" si="0"/>
        <v>0</v>
      </c>
      <c r="F33" s="191">
        <f>IF(D33=0,'App.2-CD_DepExp_Yr3'!K33,+'App.2-CD_DepExp_Yr3'!K33+((C33*0.5)/D33))</f>
        <v>0</v>
      </c>
      <c r="G33" s="320"/>
      <c r="H33" s="191">
        <f t="shared" si="1"/>
        <v>0</v>
      </c>
      <c r="I33" s="191">
        <f t="shared" si="2"/>
        <v>0</v>
      </c>
      <c r="J33" s="173"/>
      <c r="K33" s="191">
        <f>IF(ISERROR(+I33+'App.2-CD_DepExp_Yr3'!K33-J33), 0, +I33+'App.2-CD_DepExp_Yr3'!K33-J33)</f>
        <v>0</v>
      </c>
    </row>
    <row r="34" spans="1:11" x14ac:dyDescent="0.2">
      <c r="A34" s="1064">
        <v>1860</v>
      </c>
      <c r="B34" s="180" t="s">
        <v>273</v>
      </c>
      <c r="C34" s="173"/>
      <c r="D34" s="250"/>
      <c r="E34" s="252">
        <f t="shared" si="0"/>
        <v>0</v>
      </c>
      <c r="F34" s="191">
        <f>IF(D34=0,'App.2-CD_DepExp_Yr3'!K34,+'App.2-CD_DepExp_Yr3'!K34+((C34*0.5)/D34))</f>
        <v>0</v>
      </c>
      <c r="G34" s="320"/>
      <c r="H34" s="191">
        <f t="shared" si="1"/>
        <v>0</v>
      </c>
      <c r="I34" s="191">
        <f t="shared" si="2"/>
        <v>0</v>
      </c>
      <c r="J34" s="173"/>
      <c r="K34" s="191">
        <f>IF(ISERROR(+I34+'App.2-CD_DepExp_Yr3'!K34-J34), 0, +I34+'App.2-CD_DepExp_Yr3'!K34-J34)</f>
        <v>0</v>
      </c>
    </row>
    <row r="35" spans="1:11" x14ac:dyDescent="0.2">
      <c r="A35" s="253">
        <v>1860</v>
      </c>
      <c r="B35" s="179" t="s">
        <v>212</v>
      </c>
      <c r="C35" s="173"/>
      <c r="D35" s="250"/>
      <c r="E35" s="252">
        <f t="shared" si="0"/>
        <v>0</v>
      </c>
      <c r="F35" s="191">
        <f>IF(D35=0,'App.2-CD_DepExp_Yr3'!K35,+'App.2-CD_DepExp_Yr3'!K35+((C35*0.5)/D35))</f>
        <v>0</v>
      </c>
      <c r="G35" s="320"/>
      <c r="H35" s="191">
        <f t="shared" si="1"/>
        <v>0</v>
      </c>
      <c r="I35" s="191">
        <f t="shared" si="2"/>
        <v>0</v>
      </c>
      <c r="J35" s="173"/>
      <c r="K35" s="191">
        <f>IF(ISERROR(+I35+'App.2-CD_DepExp_Yr3'!K35-J35), 0, +I35+'App.2-CD_DepExp_Yr3'!K35-J35)</f>
        <v>0</v>
      </c>
    </row>
    <row r="36" spans="1:11" x14ac:dyDescent="0.2">
      <c r="A36" s="253">
        <v>1905</v>
      </c>
      <c r="B36" s="179" t="s">
        <v>267</v>
      </c>
      <c r="C36" s="173"/>
      <c r="D36" s="250"/>
      <c r="E36" s="252">
        <f t="shared" si="0"/>
        <v>0</v>
      </c>
      <c r="F36" s="191">
        <f>IF(D36=0,'App.2-CD_DepExp_Yr3'!K36,+'App.2-CD_DepExp_Yr3'!K36+((C36*0.5)/D36))</f>
        <v>0</v>
      </c>
      <c r="G36" s="320"/>
      <c r="H36" s="191">
        <f t="shared" si="1"/>
        <v>0</v>
      </c>
      <c r="I36" s="191">
        <f t="shared" si="2"/>
        <v>0</v>
      </c>
      <c r="J36" s="173"/>
      <c r="K36" s="191">
        <f>IF(ISERROR(+I36+'App.2-CD_DepExp_Yr3'!K36-J36), 0, +I36+'App.2-CD_DepExp_Yr3'!K36-J36)</f>
        <v>0</v>
      </c>
    </row>
    <row r="37" spans="1:11" x14ac:dyDescent="0.2">
      <c r="A37" s="1064">
        <v>1908</v>
      </c>
      <c r="B37" s="180" t="s">
        <v>275</v>
      </c>
      <c r="C37" s="173"/>
      <c r="D37" s="250"/>
      <c r="E37" s="252">
        <f t="shared" si="0"/>
        <v>0</v>
      </c>
      <c r="F37" s="191">
        <f>IF(D37=0,'App.2-CD_DepExp_Yr3'!K37,+'App.2-CD_DepExp_Yr3'!K37+((C37*0.5)/D37))</f>
        <v>0</v>
      </c>
      <c r="G37" s="320"/>
      <c r="H37" s="191">
        <f t="shared" si="1"/>
        <v>0</v>
      </c>
      <c r="I37" s="191">
        <f t="shared" si="2"/>
        <v>0</v>
      </c>
      <c r="J37" s="173"/>
      <c r="K37" s="191">
        <f>IF(ISERROR(+I37+'App.2-CD_DepExp_Yr3'!K37-J37), 0, +I37+'App.2-CD_DepExp_Yr3'!K37-J37)</f>
        <v>0</v>
      </c>
    </row>
    <row r="38" spans="1:11" x14ac:dyDescent="0.2">
      <c r="A38" s="1064">
        <v>1910</v>
      </c>
      <c r="B38" s="180" t="s">
        <v>299</v>
      </c>
      <c r="C38" s="173"/>
      <c r="D38" s="250"/>
      <c r="E38" s="252">
        <f t="shared" si="0"/>
        <v>0</v>
      </c>
      <c r="F38" s="191">
        <f>IF(D38=0,'App.2-CD_DepExp_Yr3'!K38,+'App.2-CD_DepExp_Yr3'!K38+((C38*0.5)/D38))</f>
        <v>0</v>
      </c>
      <c r="G38" s="320"/>
      <c r="H38" s="191">
        <f t="shared" si="1"/>
        <v>0</v>
      </c>
      <c r="I38" s="191">
        <f t="shared" si="2"/>
        <v>0</v>
      </c>
      <c r="J38" s="173"/>
      <c r="K38" s="191">
        <f>IF(ISERROR(+I38+'App.2-CD_DepExp_Yr3'!K38-J38), 0, +I38+'App.2-CD_DepExp_Yr3'!K38-J38)</f>
        <v>0</v>
      </c>
    </row>
    <row r="39" spans="1:11" x14ac:dyDescent="0.2">
      <c r="A39" s="1064">
        <v>1915</v>
      </c>
      <c r="B39" s="180" t="s">
        <v>213</v>
      </c>
      <c r="C39" s="173"/>
      <c r="D39" s="250"/>
      <c r="E39" s="252">
        <f t="shared" si="0"/>
        <v>0</v>
      </c>
      <c r="F39" s="191">
        <f>IF(D39=0,'App.2-CD_DepExp_Yr3'!K39,+'App.2-CD_DepExp_Yr3'!K39+((C39*0.5)/D39))</f>
        <v>0</v>
      </c>
      <c r="G39" s="320"/>
      <c r="H39" s="191">
        <f t="shared" si="1"/>
        <v>0</v>
      </c>
      <c r="I39" s="191">
        <f t="shared" si="2"/>
        <v>0</v>
      </c>
      <c r="J39" s="173"/>
      <c r="K39" s="191">
        <f>IF(ISERROR(+I39+'App.2-CD_DepExp_Yr3'!K39-J39), 0, +I39+'App.2-CD_DepExp_Yr3'!K39-J39)</f>
        <v>0</v>
      </c>
    </row>
    <row r="40" spans="1:11" x14ac:dyDescent="0.2">
      <c r="A40" s="1064">
        <v>1915</v>
      </c>
      <c r="B40" s="180" t="s">
        <v>214</v>
      </c>
      <c r="C40" s="173"/>
      <c r="D40" s="250"/>
      <c r="E40" s="252">
        <f t="shared" si="0"/>
        <v>0</v>
      </c>
      <c r="F40" s="191">
        <f>IF(D40=0,'App.2-CD_DepExp_Yr3'!K40,+'App.2-CD_DepExp_Yr3'!K40+((C40*0.5)/D40))</f>
        <v>0</v>
      </c>
      <c r="G40" s="320"/>
      <c r="H40" s="191">
        <f t="shared" si="1"/>
        <v>0</v>
      </c>
      <c r="I40" s="191">
        <f t="shared" si="2"/>
        <v>0</v>
      </c>
      <c r="J40" s="173"/>
      <c r="K40" s="191">
        <f>IF(ISERROR(+I40+'App.2-CD_DepExp_Yr3'!K40-J40), 0, +I40+'App.2-CD_DepExp_Yr3'!K40-J40)</f>
        <v>0</v>
      </c>
    </row>
    <row r="41" spans="1:11" x14ac:dyDescent="0.2">
      <c r="A41" s="1064">
        <v>1920</v>
      </c>
      <c r="B41" s="180" t="s">
        <v>215</v>
      </c>
      <c r="C41" s="173"/>
      <c r="D41" s="250"/>
      <c r="E41" s="252">
        <f t="shared" si="0"/>
        <v>0</v>
      </c>
      <c r="F41" s="191">
        <f>IF(D41=0,'App.2-CD_DepExp_Yr3'!K41,+'App.2-CD_DepExp_Yr3'!K41+((C41*0.5)/D41))</f>
        <v>0</v>
      </c>
      <c r="G41" s="320"/>
      <c r="H41" s="191">
        <f t="shared" si="1"/>
        <v>0</v>
      </c>
      <c r="I41" s="191">
        <f t="shared" si="2"/>
        <v>0</v>
      </c>
      <c r="J41" s="173"/>
      <c r="K41" s="191">
        <f>IF(ISERROR(+I41+'App.2-CD_DepExp_Yr3'!K41-J41), 0, +I41+'App.2-CD_DepExp_Yr3'!K41-J41)</f>
        <v>0</v>
      </c>
    </row>
    <row r="42" spans="1:11" x14ac:dyDescent="0.2">
      <c r="A42" s="254">
        <v>1920</v>
      </c>
      <c r="B42" s="172" t="s">
        <v>217</v>
      </c>
      <c r="C42" s="173"/>
      <c r="D42" s="250"/>
      <c r="E42" s="252">
        <f t="shared" si="0"/>
        <v>0</v>
      </c>
      <c r="F42" s="191">
        <f>IF(D42=0,'App.2-CD_DepExp_Yr3'!K42,+'App.2-CD_DepExp_Yr3'!K42+((C42*0.5)/D42))</f>
        <v>0</v>
      </c>
      <c r="G42" s="320"/>
      <c r="H42" s="191">
        <f t="shared" si="1"/>
        <v>0</v>
      </c>
      <c r="I42" s="191">
        <f t="shared" si="2"/>
        <v>0</v>
      </c>
      <c r="J42" s="173"/>
      <c r="K42" s="191">
        <f>IF(ISERROR(+I42+'App.2-CD_DepExp_Yr3'!K42-J42), 0, +I42+'App.2-CD_DepExp_Yr3'!K42-J42)</f>
        <v>0</v>
      </c>
    </row>
    <row r="43" spans="1:11" x14ac:dyDescent="0.2">
      <c r="A43" s="254">
        <v>1920</v>
      </c>
      <c r="B43" s="172" t="s">
        <v>216</v>
      </c>
      <c r="C43" s="173"/>
      <c r="D43" s="250"/>
      <c r="E43" s="252">
        <f t="shared" si="0"/>
        <v>0</v>
      </c>
      <c r="F43" s="191">
        <f>IF(D43=0,'App.2-CD_DepExp_Yr3'!K43,+'App.2-CD_DepExp_Yr3'!K43+((C43*0.5)/D43))</f>
        <v>0</v>
      </c>
      <c r="G43" s="320"/>
      <c r="H43" s="191">
        <f t="shared" si="1"/>
        <v>0</v>
      </c>
      <c r="I43" s="191">
        <f t="shared" si="2"/>
        <v>0</v>
      </c>
      <c r="J43" s="173"/>
      <c r="K43" s="191">
        <f>IF(ISERROR(+I43+'App.2-CD_DepExp_Yr3'!K43-J43), 0, +I43+'App.2-CD_DepExp_Yr3'!K43-J43)</f>
        <v>0</v>
      </c>
    </row>
    <row r="44" spans="1:11" x14ac:dyDescent="0.2">
      <c r="A44" s="1064">
        <v>1930</v>
      </c>
      <c r="B44" s="180" t="s">
        <v>286</v>
      </c>
      <c r="C44" s="173"/>
      <c r="D44" s="250"/>
      <c r="E44" s="252">
        <f t="shared" si="0"/>
        <v>0</v>
      </c>
      <c r="F44" s="191">
        <f>IF(D44=0,'App.2-CD_DepExp_Yr3'!K44,+'App.2-CD_DepExp_Yr3'!K44+((C44*0.5)/D44))</f>
        <v>0</v>
      </c>
      <c r="G44" s="320"/>
      <c r="H44" s="191">
        <f t="shared" si="1"/>
        <v>0</v>
      </c>
      <c r="I44" s="191">
        <f t="shared" si="2"/>
        <v>0</v>
      </c>
      <c r="J44" s="173"/>
      <c r="K44" s="191">
        <f>IF(ISERROR(+I44+'App.2-CD_DepExp_Yr3'!K44-J44), 0, +I44+'App.2-CD_DepExp_Yr3'!K44-J44)</f>
        <v>0</v>
      </c>
    </row>
    <row r="45" spans="1:11" x14ac:dyDescent="0.2">
      <c r="A45" s="1064">
        <v>1935</v>
      </c>
      <c r="B45" s="180" t="s">
        <v>287</v>
      </c>
      <c r="C45" s="173"/>
      <c r="D45" s="250"/>
      <c r="E45" s="252">
        <f t="shared" si="0"/>
        <v>0</v>
      </c>
      <c r="F45" s="191">
        <f>IF(D45=0,'App.2-CD_DepExp_Yr3'!K45,+'App.2-CD_DepExp_Yr3'!K45+((C45*0.5)/D45))</f>
        <v>0</v>
      </c>
      <c r="G45" s="320"/>
      <c r="H45" s="191">
        <f t="shared" si="1"/>
        <v>0</v>
      </c>
      <c r="I45" s="191">
        <f t="shared" si="2"/>
        <v>0</v>
      </c>
      <c r="J45" s="173"/>
      <c r="K45" s="191">
        <f>IF(ISERROR(+I45+'App.2-CD_DepExp_Yr3'!K45-J45), 0, +I45+'App.2-CD_DepExp_Yr3'!K45-J45)</f>
        <v>0</v>
      </c>
    </row>
    <row r="46" spans="1:11" x14ac:dyDescent="0.2">
      <c r="A46" s="1064">
        <v>1940</v>
      </c>
      <c r="B46" s="180" t="s">
        <v>288</v>
      </c>
      <c r="C46" s="173"/>
      <c r="D46" s="250"/>
      <c r="E46" s="252">
        <f t="shared" si="0"/>
        <v>0</v>
      </c>
      <c r="F46" s="191">
        <f>IF(D46=0,'App.2-CD_DepExp_Yr3'!K46,+'App.2-CD_DepExp_Yr3'!K46+((C46*0.5)/D46))</f>
        <v>0</v>
      </c>
      <c r="G46" s="320"/>
      <c r="H46" s="191">
        <f t="shared" si="1"/>
        <v>0</v>
      </c>
      <c r="I46" s="191">
        <f t="shared" si="2"/>
        <v>0</v>
      </c>
      <c r="J46" s="173"/>
      <c r="K46" s="191">
        <f>IF(ISERROR(+I46+'App.2-CD_DepExp_Yr3'!K46-J46), 0, +I46+'App.2-CD_DepExp_Yr3'!K46-J46)</f>
        <v>0</v>
      </c>
    </row>
    <row r="47" spans="1:11" x14ac:dyDescent="0.2">
      <c r="A47" s="1064">
        <v>1945</v>
      </c>
      <c r="B47" s="180" t="s">
        <v>289</v>
      </c>
      <c r="C47" s="173"/>
      <c r="D47" s="250"/>
      <c r="E47" s="252">
        <f t="shared" si="0"/>
        <v>0</v>
      </c>
      <c r="F47" s="191">
        <f>IF(D47=0,'App.2-CD_DepExp_Yr3'!K47,+'App.2-CD_DepExp_Yr3'!K47+((C47*0.5)/D47))</f>
        <v>0</v>
      </c>
      <c r="G47" s="320"/>
      <c r="H47" s="191">
        <f t="shared" si="1"/>
        <v>0</v>
      </c>
      <c r="I47" s="191">
        <f t="shared" si="2"/>
        <v>0</v>
      </c>
      <c r="J47" s="173"/>
      <c r="K47" s="191">
        <f>IF(ISERROR(+I47+'App.2-CD_DepExp_Yr3'!K47-J47), 0, +I47+'App.2-CD_DepExp_Yr3'!K47-J47)</f>
        <v>0</v>
      </c>
    </row>
    <row r="48" spans="1:11" x14ac:dyDescent="0.2">
      <c r="A48" s="1064">
        <v>1950</v>
      </c>
      <c r="B48" s="180" t="s">
        <v>218</v>
      </c>
      <c r="C48" s="173"/>
      <c r="D48" s="250"/>
      <c r="E48" s="252">
        <f t="shared" si="0"/>
        <v>0</v>
      </c>
      <c r="F48" s="191">
        <f>IF(D48=0,'App.2-CD_DepExp_Yr3'!K48,+'App.2-CD_DepExp_Yr3'!K48+((C48*0.5)/D48))</f>
        <v>0</v>
      </c>
      <c r="G48" s="320"/>
      <c r="H48" s="191">
        <f t="shared" si="1"/>
        <v>0</v>
      </c>
      <c r="I48" s="191">
        <f t="shared" si="2"/>
        <v>0</v>
      </c>
      <c r="J48" s="173"/>
      <c r="K48" s="191">
        <f>IF(ISERROR(+I48+'App.2-CD_DepExp_Yr3'!K48-J48), 0, +I48+'App.2-CD_DepExp_Yr3'!K48-J48)</f>
        <v>0</v>
      </c>
    </row>
    <row r="49" spans="1:11" x14ac:dyDescent="0.2">
      <c r="A49" s="1064">
        <v>1955</v>
      </c>
      <c r="B49" s="180" t="s">
        <v>290</v>
      </c>
      <c r="C49" s="173"/>
      <c r="D49" s="250"/>
      <c r="E49" s="252">
        <f t="shared" si="0"/>
        <v>0</v>
      </c>
      <c r="F49" s="191">
        <f>IF(D49=0,'App.2-CD_DepExp_Yr3'!K49,+'App.2-CD_DepExp_Yr3'!K49+((C49*0.5)/D49))</f>
        <v>0</v>
      </c>
      <c r="G49" s="320"/>
      <c r="H49" s="191">
        <f t="shared" si="1"/>
        <v>0</v>
      </c>
      <c r="I49" s="191">
        <f t="shared" si="2"/>
        <v>0</v>
      </c>
      <c r="J49" s="173"/>
      <c r="K49" s="191">
        <f>IF(ISERROR(+I49+'App.2-CD_DepExp_Yr3'!K49-J49), 0, +I49+'App.2-CD_DepExp_Yr3'!K49-J49)</f>
        <v>0</v>
      </c>
    </row>
    <row r="50" spans="1:11" x14ac:dyDescent="0.2">
      <c r="A50" s="255">
        <v>1955</v>
      </c>
      <c r="B50" s="184" t="s">
        <v>219</v>
      </c>
      <c r="C50" s="173"/>
      <c r="D50" s="250"/>
      <c r="E50" s="252">
        <f t="shared" si="0"/>
        <v>0</v>
      </c>
      <c r="F50" s="191">
        <f>IF(D50=0,'App.2-CD_DepExp_Yr3'!K50,+'App.2-CD_DepExp_Yr3'!K50+((C50*0.5)/D50))</f>
        <v>0</v>
      </c>
      <c r="G50" s="320"/>
      <c r="H50" s="191">
        <f t="shared" si="1"/>
        <v>0</v>
      </c>
      <c r="I50" s="191">
        <f t="shared" si="2"/>
        <v>0</v>
      </c>
      <c r="J50" s="173"/>
      <c r="K50" s="191">
        <f>IF(ISERROR(+I50+'App.2-CD_DepExp_Yr3'!K50-J50), 0, +I50+'App.2-CD_DepExp_Yr3'!K50-J50)</f>
        <v>0</v>
      </c>
    </row>
    <row r="51" spans="1:11" x14ac:dyDescent="0.2">
      <c r="A51" s="254">
        <v>1960</v>
      </c>
      <c r="B51" s="172" t="s">
        <v>220</v>
      </c>
      <c r="C51" s="173"/>
      <c r="D51" s="250"/>
      <c r="E51" s="252">
        <f t="shared" si="0"/>
        <v>0</v>
      </c>
      <c r="F51" s="191">
        <f>IF(D51=0,'App.2-CD_DepExp_Yr3'!K51,+'App.2-CD_DepExp_Yr3'!K51+((C51*0.5)/D51))</f>
        <v>0</v>
      </c>
      <c r="G51" s="320"/>
      <c r="H51" s="191">
        <f t="shared" si="1"/>
        <v>0</v>
      </c>
      <c r="I51" s="191">
        <f t="shared" si="2"/>
        <v>0</v>
      </c>
      <c r="J51" s="173"/>
      <c r="K51" s="191">
        <f>IF(ISERROR(+I51+'App.2-CD_DepExp_Yr3'!K51-J51), 0, +I51+'App.2-CD_DepExp_Yr3'!K51-J51)</f>
        <v>0</v>
      </c>
    </row>
    <row r="52" spans="1:11" x14ac:dyDescent="0.2">
      <c r="A52" s="255">
        <v>1970</v>
      </c>
      <c r="B52" s="256" t="s">
        <v>501</v>
      </c>
      <c r="C52" s="173"/>
      <c r="D52" s="250"/>
      <c r="E52" s="252">
        <f t="shared" si="0"/>
        <v>0</v>
      </c>
      <c r="F52" s="191">
        <f>IF(D52=0,'App.2-CD_DepExp_Yr3'!K52,+'App.2-CD_DepExp_Yr3'!K52+((C52*0.5)/D52))</f>
        <v>0</v>
      </c>
      <c r="G52" s="320"/>
      <c r="H52" s="191">
        <f t="shared" si="1"/>
        <v>0</v>
      </c>
      <c r="I52" s="191">
        <f t="shared" si="2"/>
        <v>0</v>
      </c>
      <c r="J52" s="173"/>
      <c r="K52" s="191">
        <f>IF(ISERROR(+I52+'App.2-CD_DepExp_Yr3'!K52-J52), 0, +I52+'App.2-CD_DepExp_Yr3'!K52-J52)</f>
        <v>0</v>
      </c>
    </row>
    <row r="53" spans="1:11" x14ac:dyDescent="0.2">
      <c r="A53" s="1064">
        <v>1975</v>
      </c>
      <c r="B53" s="180" t="s">
        <v>291</v>
      </c>
      <c r="C53" s="173"/>
      <c r="D53" s="250"/>
      <c r="E53" s="252">
        <f t="shared" si="0"/>
        <v>0</v>
      </c>
      <c r="F53" s="191">
        <f>IF(D53=0,'App.2-CD_DepExp_Yr3'!K53,+'App.2-CD_DepExp_Yr3'!K53+((C53*0.5)/D53))</f>
        <v>0</v>
      </c>
      <c r="G53" s="320"/>
      <c r="H53" s="191">
        <f t="shared" si="1"/>
        <v>0</v>
      </c>
      <c r="I53" s="191">
        <f t="shared" si="2"/>
        <v>0</v>
      </c>
      <c r="J53" s="173"/>
      <c r="K53" s="191">
        <f>IF(ISERROR(+I53+'App.2-CD_DepExp_Yr3'!K53-J53), 0, +I53+'App.2-CD_DepExp_Yr3'!K53-J53)</f>
        <v>0</v>
      </c>
    </row>
    <row r="54" spans="1:11" x14ac:dyDescent="0.2">
      <c r="A54" s="1064">
        <v>1980</v>
      </c>
      <c r="B54" s="180" t="s">
        <v>292</v>
      </c>
      <c r="C54" s="173"/>
      <c r="D54" s="250"/>
      <c r="E54" s="252">
        <f t="shared" si="0"/>
        <v>0</v>
      </c>
      <c r="F54" s="191">
        <f>IF(D54=0,'App.2-CD_DepExp_Yr3'!K54,+'App.2-CD_DepExp_Yr3'!K54+((C54*0.5)/D54))</f>
        <v>0</v>
      </c>
      <c r="G54" s="320"/>
      <c r="H54" s="191">
        <f t="shared" si="1"/>
        <v>0</v>
      </c>
      <c r="I54" s="191">
        <f t="shared" si="2"/>
        <v>0</v>
      </c>
      <c r="J54" s="173"/>
      <c r="K54" s="191">
        <f>IF(ISERROR(+I54+'App.2-CD_DepExp_Yr3'!K54-J54), 0, +I54+'App.2-CD_DepExp_Yr3'!K54-J54)</f>
        <v>0</v>
      </c>
    </row>
    <row r="55" spans="1:11" x14ac:dyDescent="0.2">
      <c r="A55" s="1064">
        <v>1985</v>
      </c>
      <c r="B55" s="180" t="s">
        <v>293</v>
      </c>
      <c r="C55" s="173"/>
      <c r="D55" s="250"/>
      <c r="E55" s="252">
        <f t="shared" si="0"/>
        <v>0</v>
      </c>
      <c r="F55" s="191">
        <f>IF(D55=0,'App.2-CD_DepExp_Yr3'!K55,+'App.2-CD_DepExp_Yr3'!K55+((C55*0.5)/D55))</f>
        <v>0</v>
      </c>
      <c r="G55" s="320"/>
      <c r="H55" s="191">
        <f t="shared" si="1"/>
        <v>0</v>
      </c>
      <c r="I55" s="191">
        <f t="shared" si="2"/>
        <v>0</v>
      </c>
      <c r="J55" s="173"/>
      <c r="K55" s="191">
        <f>IF(ISERROR(+I55+'App.2-CD_DepExp_Yr3'!K55-J55), 0, +I55+'App.2-CD_DepExp_Yr3'!K55-J55)</f>
        <v>0</v>
      </c>
    </row>
    <row r="56" spans="1:11" x14ac:dyDescent="0.2">
      <c r="A56" s="1064">
        <v>1990</v>
      </c>
      <c r="B56" s="1061" t="s">
        <v>502</v>
      </c>
      <c r="C56" s="173"/>
      <c r="D56" s="250"/>
      <c r="E56" s="252">
        <f t="shared" si="0"/>
        <v>0</v>
      </c>
      <c r="F56" s="191">
        <f>IF(D56=0,'App.2-CD_DepExp_Yr3'!K56,+'App.2-CD_DepExp_Yr3'!K56+((C56*0.5)/D56))</f>
        <v>0</v>
      </c>
      <c r="G56" s="320"/>
      <c r="H56" s="191">
        <f t="shared" si="1"/>
        <v>0</v>
      </c>
      <c r="I56" s="191">
        <f t="shared" si="2"/>
        <v>0</v>
      </c>
      <c r="J56" s="173"/>
      <c r="K56" s="191">
        <f>IF(ISERROR(+I56+'App.2-CD_DepExp_Yr3'!K56-J56), 0, +I56+'App.2-CD_DepExp_Yr3'!K56-J56)</f>
        <v>0</v>
      </c>
    </row>
    <row r="57" spans="1:11" ht="13.5" thickBot="1" x14ac:dyDescent="0.25">
      <c r="A57" s="1058">
        <v>1995</v>
      </c>
      <c r="B57" s="180" t="s">
        <v>294</v>
      </c>
      <c r="C57" s="257"/>
      <c r="D57" s="259"/>
      <c r="E57" s="260">
        <f t="shared" si="0"/>
        <v>0</v>
      </c>
      <c r="F57" s="285">
        <f>IF(D57=0,'App.2-CD_DepExp_Yr3'!K57,+'App.2-CD_DepExp_Yr3'!K57+((C57*0.5)/D57))</f>
        <v>0</v>
      </c>
      <c r="G57" s="321"/>
      <c r="H57" s="285">
        <f t="shared" si="1"/>
        <v>0</v>
      </c>
      <c r="I57" s="285">
        <f t="shared" si="2"/>
        <v>0</v>
      </c>
      <c r="J57" s="257"/>
      <c r="K57" s="285">
        <f>IF(ISERROR(+I57+'App.2-CD_DepExp_Yr3'!K57-J57), 0, +I57+'App.2-CD_DepExp_Yr3'!K57-J57)</f>
        <v>0</v>
      </c>
    </row>
    <row r="58" spans="1:11" ht="14.25" thickTop="1" thickBot="1" x14ac:dyDescent="0.25">
      <c r="A58" s="261"/>
      <c r="B58" s="301" t="s">
        <v>295</v>
      </c>
      <c r="C58" s="307">
        <f>SUM(C20:C57)</f>
        <v>0</v>
      </c>
      <c r="D58" s="308"/>
      <c r="E58" s="266"/>
      <c r="F58" s="310">
        <f t="shared" ref="F58:K58" si="3">SUM(F20:F57)</f>
        <v>0</v>
      </c>
      <c r="G58" s="310">
        <f t="shared" si="3"/>
        <v>0</v>
      </c>
      <c r="H58" s="310">
        <f t="shared" si="3"/>
        <v>0</v>
      </c>
      <c r="I58" s="310">
        <f t="shared" si="3"/>
        <v>0</v>
      </c>
      <c r="J58" s="310">
        <f t="shared" si="3"/>
        <v>0</v>
      </c>
      <c r="K58" s="310">
        <f t="shared" si="3"/>
        <v>0</v>
      </c>
    </row>
    <row r="59" spans="1:11" x14ac:dyDescent="0.2">
      <c r="A59" s="289"/>
      <c r="B59" s="311" t="s">
        <v>506</v>
      </c>
      <c r="C59" s="312"/>
      <c r="D59" s="312"/>
      <c r="E59" s="312"/>
      <c r="F59" s="173"/>
      <c r="G59" s="312"/>
      <c r="H59" s="312"/>
    </row>
    <row r="60" spans="1:11" ht="27" customHeight="1" x14ac:dyDescent="0.2">
      <c r="B60" s="1684" t="s">
        <v>1079</v>
      </c>
      <c r="C60" s="1684"/>
      <c r="D60" s="1684"/>
      <c r="E60" s="1709"/>
      <c r="F60" s="191">
        <f>SUM(F58:F59)</f>
        <v>0</v>
      </c>
    </row>
    <row r="61" spans="1:11" x14ac:dyDescent="0.2">
      <c r="A61" s="152" t="s">
        <v>11</v>
      </c>
      <c r="B61" s="56"/>
      <c r="C61" s="56"/>
      <c r="D61" s="56"/>
      <c r="E61" s="56"/>
      <c r="F61" s="56"/>
      <c r="G61" s="56"/>
      <c r="H61" s="56"/>
    </row>
    <row r="62" spans="1:11" ht="27" customHeight="1" x14ac:dyDescent="0.2">
      <c r="A62" s="305">
        <v>1</v>
      </c>
      <c r="B62" s="1590" t="s">
        <v>424</v>
      </c>
      <c r="C62" s="1590"/>
      <c r="D62" s="1590"/>
      <c r="E62" s="1590"/>
      <c r="F62" s="1590"/>
      <c r="G62" s="1590"/>
      <c r="H62" s="1590"/>
      <c r="I62" s="1066"/>
    </row>
    <row r="63" spans="1:11" ht="12.75" customHeight="1" x14ac:dyDescent="0.2">
      <c r="A63" s="294">
        <v>2</v>
      </c>
      <c r="B63" s="1590" t="s">
        <v>865</v>
      </c>
      <c r="C63" s="1590"/>
      <c r="D63" s="1590"/>
      <c r="E63" s="1590"/>
      <c r="F63" s="1590"/>
      <c r="G63" s="1590"/>
      <c r="H63" s="1590"/>
      <c r="I63" s="1590"/>
    </row>
    <row r="64" spans="1:11" ht="25.5" customHeight="1" x14ac:dyDescent="0.2">
      <c r="A64" s="270">
        <v>3</v>
      </c>
      <c r="B64" s="1590" t="s">
        <v>481</v>
      </c>
      <c r="C64" s="1590"/>
      <c r="D64" s="1590"/>
      <c r="E64" s="1590"/>
      <c r="F64" s="1590"/>
      <c r="G64" s="1590"/>
      <c r="H64" s="1590"/>
      <c r="I64" s="1590"/>
      <c r="J64" s="1590"/>
      <c r="K64" s="1590"/>
    </row>
    <row r="65" spans="1:11" ht="11.25" customHeight="1" x14ac:dyDescent="0.2">
      <c r="A65" s="294"/>
      <c r="B65" s="1590"/>
      <c r="C65" s="1590"/>
      <c r="D65" s="1590"/>
      <c r="E65" s="1590"/>
      <c r="F65" s="1590"/>
      <c r="G65" s="1590"/>
      <c r="H65" s="1590"/>
      <c r="I65" s="1590"/>
    </row>
    <row r="66" spans="1:11" ht="12.75" customHeight="1" x14ac:dyDescent="0.2">
      <c r="A66" s="152" t="s">
        <v>226</v>
      </c>
      <c r="B66" s="1684" t="s">
        <v>190</v>
      </c>
      <c r="C66" s="1684"/>
      <c r="D66" s="1684"/>
      <c r="E66" s="1684"/>
      <c r="F66" s="1684"/>
      <c r="G66" s="1684"/>
      <c r="H66" s="1684"/>
      <c r="I66" s="271"/>
    </row>
    <row r="67" spans="1:11" ht="27" customHeight="1" x14ac:dyDescent="0.2">
      <c r="A67" s="56"/>
      <c r="B67" s="1684"/>
      <c r="C67" s="1684"/>
      <c r="D67" s="1684"/>
      <c r="E67" s="1684"/>
      <c r="F67" s="1684"/>
      <c r="G67" s="1684"/>
      <c r="H67" s="1684"/>
      <c r="I67" s="271"/>
    </row>
    <row r="68" spans="1:11" ht="12.75" customHeight="1" x14ac:dyDescent="0.2">
      <c r="A68" s="152"/>
      <c r="B68" s="1684"/>
      <c r="C68" s="1684"/>
      <c r="D68" s="1684"/>
      <c r="E68" s="1684"/>
      <c r="F68" s="1684"/>
      <c r="G68" s="1684"/>
      <c r="H68" s="1684"/>
      <c r="I68" s="271"/>
    </row>
    <row r="69" spans="1:11" ht="27" customHeight="1" x14ac:dyDescent="0.2">
      <c r="A69" s="56"/>
      <c r="B69" s="1684"/>
      <c r="C69" s="1684"/>
      <c r="D69" s="1684"/>
      <c r="E69" s="1684"/>
      <c r="F69" s="1684"/>
      <c r="G69" s="1684"/>
      <c r="H69" s="1684"/>
      <c r="I69" s="271"/>
    </row>
    <row r="70" spans="1:11" x14ac:dyDescent="0.2">
      <c r="J70" s="322"/>
      <c r="K70" s="322"/>
    </row>
    <row r="71" spans="1:11" ht="23.25" customHeight="1" x14ac:dyDescent="0.2">
      <c r="J71" s="322"/>
      <c r="K71" s="322"/>
    </row>
    <row r="72" spans="1:11" x14ac:dyDescent="0.2">
      <c r="A72" s="56"/>
      <c r="B72" s="322"/>
      <c r="C72" s="322"/>
      <c r="D72" s="322"/>
      <c r="E72" s="322"/>
      <c r="F72" s="322"/>
      <c r="G72" s="322"/>
      <c r="H72" s="322"/>
      <c r="I72" s="322"/>
      <c r="J72" s="322"/>
      <c r="K72" s="322"/>
    </row>
    <row r="73" spans="1:11" x14ac:dyDescent="0.2">
      <c r="A73" s="1066"/>
      <c r="B73" s="1066"/>
      <c r="C73" s="1066"/>
      <c r="D73" s="1066"/>
      <c r="E73" s="1066"/>
      <c r="F73" s="56"/>
      <c r="G73" s="56"/>
      <c r="H73" s="56"/>
    </row>
  </sheetData>
  <mergeCells count="18">
    <mergeCell ref="J18:J19"/>
    <mergeCell ref="B68:H69"/>
    <mergeCell ref="B62:H62"/>
    <mergeCell ref="B63:I63"/>
    <mergeCell ref="B65:I65"/>
    <mergeCell ref="B66:H67"/>
    <mergeCell ref="B64:K64"/>
    <mergeCell ref="A9:I9"/>
    <mergeCell ref="A10:I10"/>
    <mergeCell ref="B18:B19"/>
    <mergeCell ref="G18:G19"/>
    <mergeCell ref="B60:E60"/>
    <mergeCell ref="A11:H11"/>
    <mergeCell ref="A13:B13"/>
    <mergeCell ref="A14:B14"/>
    <mergeCell ref="C14:I14"/>
    <mergeCell ref="A15:B15"/>
    <mergeCell ref="C15:I15"/>
  </mergeCells>
  <dataValidations count="1">
    <dataValidation allowBlank="1" showInputMessage="1" showErrorMessage="1" promptTitle="Date Format" prompt="E.g:  &quot;August 1, 2011&quot;" sqref="WVO983055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H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H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H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H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H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H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H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H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H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H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H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H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H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H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H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dataValidations>
  <printOptions horizontalCentered="1"/>
  <pageMargins left="0.74803149606299213" right="0.74803149606299213" top="0.70866141732283472" bottom="0.39370078740157483" header="0.39370078740157483" footer="0.27559055118110237"/>
  <pageSetup scale="4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3779" r:id="rId4" name="Check Box 3">
              <controlPr defaultSize="0" autoFill="0" autoLine="0" autoPict="0">
                <anchor moveWithCells="1">
                  <from>
                    <xdr:col>0</xdr:col>
                    <xdr:colOff>323850</xdr:colOff>
                    <xdr:row>13</xdr:row>
                    <xdr:rowOff>47625</xdr:rowOff>
                  </from>
                  <to>
                    <xdr:col>0</xdr:col>
                    <xdr:colOff>590550</xdr:colOff>
                    <xdr:row>13</xdr:row>
                    <xdr:rowOff>504825</xdr:rowOff>
                  </to>
                </anchor>
              </controlPr>
            </control>
          </mc:Choice>
        </mc:AlternateContent>
        <mc:AlternateContent xmlns:mc="http://schemas.openxmlformats.org/markup-compatibility/2006">
          <mc:Choice Requires="x14">
            <control shapeId="203780" r:id="rId5" name="Check Box 4">
              <controlPr defaultSize="0" autoFill="0" autoLine="0" autoPict="0">
                <anchor moveWithCells="1">
                  <from>
                    <xdr:col>0</xdr:col>
                    <xdr:colOff>304800</xdr:colOff>
                    <xdr:row>14</xdr:row>
                    <xdr:rowOff>28575</xdr:rowOff>
                  </from>
                  <to>
                    <xdr:col>0</xdr:col>
                    <xdr:colOff>571500</xdr:colOff>
                    <xdr:row>14</xdr:row>
                    <xdr:rowOff>447675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4">
    <tabColor rgb="FF00B0F0"/>
    <pageSetUpPr fitToPage="1"/>
  </sheetPr>
  <dimension ref="A1:M73"/>
  <sheetViews>
    <sheetView showGridLines="0" view="pageBreakPreview" zoomScale="60" zoomScaleNormal="100" workbookViewId="0">
      <selection activeCell="A9" sqref="A9:I9"/>
    </sheetView>
  </sheetViews>
  <sheetFormatPr defaultRowHeight="12.75" x14ac:dyDescent="0.2"/>
  <cols>
    <col min="1" max="1" width="9.140625" style="52"/>
    <col min="2" max="2" width="41.140625" style="52" customWidth="1"/>
    <col min="3" max="3" width="10" style="52" customWidth="1"/>
    <col min="4" max="4" width="10.140625" style="52" customWidth="1"/>
    <col min="5" max="5" width="12.28515625" style="52" customWidth="1"/>
    <col min="6" max="6" width="15.7109375" style="52" customWidth="1"/>
    <col min="7" max="7" width="17.7109375" style="52" customWidth="1"/>
    <col min="8" max="8" width="12.7109375" style="52" customWidth="1"/>
    <col min="9" max="9" width="14.42578125" style="52" customWidth="1"/>
    <col min="10" max="10" width="13" style="52" customWidth="1"/>
    <col min="11" max="11" width="14" style="52" customWidth="1"/>
    <col min="12" max="254" width="9.140625" style="52"/>
    <col min="255" max="255" width="2.7109375" style="52" customWidth="1"/>
    <col min="256" max="256" width="9.140625" style="52"/>
    <col min="257" max="257" width="40.28515625" style="52" bestFit="1" customWidth="1"/>
    <col min="258" max="258" width="10" style="52" customWidth="1"/>
    <col min="259" max="259" width="10.140625" style="52" customWidth="1"/>
    <col min="260" max="260" width="12.28515625" style="52" customWidth="1"/>
    <col min="261" max="261" width="15.7109375" style="52" customWidth="1"/>
    <col min="262" max="262" width="12.85546875" style="52" customWidth="1"/>
    <col min="263" max="263" width="12.7109375" style="52" customWidth="1"/>
    <col min="264" max="264" width="12.85546875" style="52" customWidth="1"/>
    <col min="265" max="265" width="14.42578125" style="52" customWidth="1"/>
    <col min="266" max="510" width="9.140625" style="52"/>
    <col min="511" max="511" width="2.7109375" style="52" customWidth="1"/>
    <col min="512" max="512" width="9.140625" style="52"/>
    <col min="513" max="513" width="40.28515625" style="52" bestFit="1" customWidth="1"/>
    <col min="514" max="514" width="10" style="52" customWidth="1"/>
    <col min="515" max="515" width="10.140625" style="52" customWidth="1"/>
    <col min="516" max="516" width="12.28515625" style="52" customWidth="1"/>
    <col min="517" max="517" width="15.7109375" style="52" customWidth="1"/>
    <col min="518" max="518" width="12.85546875" style="52" customWidth="1"/>
    <col min="519" max="519" width="12.7109375" style="52" customWidth="1"/>
    <col min="520" max="520" width="12.85546875" style="52" customWidth="1"/>
    <col min="521" max="521" width="14.42578125" style="52" customWidth="1"/>
    <col min="522" max="766" width="9.140625" style="52"/>
    <col min="767" max="767" width="2.7109375" style="52" customWidth="1"/>
    <col min="768" max="768" width="9.140625" style="52"/>
    <col min="769" max="769" width="40.28515625" style="52" bestFit="1" customWidth="1"/>
    <col min="770" max="770" width="10" style="52" customWidth="1"/>
    <col min="771" max="771" width="10.140625" style="52" customWidth="1"/>
    <col min="772" max="772" width="12.28515625" style="52" customWidth="1"/>
    <col min="773" max="773" width="15.7109375" style="52" customWidth="1"/>
    <col min="774" max="774" width="12.85546875" style="52" customWidth="1"/>
    <col min="775" max="775" width="12.7109375" style="52" customWidth="1"/>
    <col min="776" max="776" width="12.85546875" style="52" customWidth="1"/>
    <col min="777" max="777" width="14.42578125" style="52" customWidth="1"/>
    <col min="778" max="1022" width="9.140625" style="52"/>
    <col min="1023" max="1023" width="2.7109375" style="52" customWidth="1"/>
    <col min="1024" max="1024" width="9.140625" style="52"/>
    <col min="1025" max="1025" width="40.28515625" style="52" bestFit="1" customWidth="1"/>
    <col min="1026" max="1026" width="10" style="52" customWidth="1"/>
    <col min="1027" max="1027" width="10.140625" style="52" customWidth="1"/>
    <col min="1028" max="1028" width="12.28515625" style="52" customWidth="1"/>
    <col min="1029" max="1029" width="15.7109375" style="52" customWidth="1"/>
    <col min="1030" max="1030" width="12.85546875" style="52" customWidth="1"/>
    <col min="1031" max="1031" width="12.7109375" style="52" customWidth="1"/>
    <col min="1032" max="1032" width="12.85546875" style="52" customWidth="1"/>
    <col min="1033" max="1033" width="14.42578125" style="52" customWidth="1"/>
    <col min="1034" max="1278" width="9.140625" style="52"/>
    <col min="1279" max="1279" width="2.7109375" style="52" customWidth="1"/>
    <col min="1280" max="1280" width="9.140625" style="52"/>
    <col min="1281" max="1281" width="40.28515625" style="52" bestFit="1" customWidth="1"/>
    <col min="1282" max="1282" width="10" style="52" customWidth="1"/>
    <col min="1283" max="1283" width="10.140625" style="52" customWidth="1"/>
    <col min="1284" max="1284" width="12.28515625" style="52" customWidth="1"/>
    <col min="1285" max="1285" width="15.7109375" style="52" customWidth="1"/>
    <col min="1286" max="1286" width="12.85546875" style="52" customWidth="1"/>
    <col min="1287" max="1287" width="12.7109375" style="52" customWidth="1"/>
    <col min="1288" max="1288" width="12.85546875" style="52" customWidth="1"/>
    <col min="1289" max="1289" width="14.42578125" style="52" customWidth="1"/>
    <col min="1290" max="1534" width="9.140625" style="52"/>
    <col min="1535" max="1535" width="2.7109375" style="52" customWidth="1"/>
    <col min="1536" max="1536" width="9.140625" style="52"/>
    <col min="1537" max="1537" width="40.28515625" style="52" bestFit="1" customWidth="1"/>
    <col min="1538" max="1538" width="10" style="52" customWidth="1"/>
    <col min="1539" max="1539" width="10.140625" style="52" customWidth="1"/>
    <col min="1540" max="1540" width="12.28515625" style="52" customWidth="1"/>
    <col min="1541" max="1541" width="15.7109375" style="52" customWidth="1"/>
    <col min="1542" max="1542" width="12.85546875" style="52" customWidth="1"/>
    <col min="1543" max="1543" width="12.7109375" style="52" customWidth="1"/>
    <col min="1544" max="1544" width="12.85546875" style="52" customWidth="1"/>
    <col min="1545" max="1545" width="14.42578125" style="52" customWidth="1"/>
    <col min="1546" max="1790" width="9.140625" style="52"/>
    <col min="1791" max="1791" width="2.7109375" style="52" customWidth="1"/>
    <col min="1792" max="1792" width="9.140625" style="52"/>
    <col min="1793" max="1793" width="40.28515625" style="52" bestFit="1" customWidth="1"/>
    <col min="1794" max="1794" width="10" style="52" customWidth="1"/>
    <col min="1795" max="1795" width="10.140625" style="52" customWidth="1"/>
    <col min="1796" max="1796" width="12.28515625" style="52" customWidth="1"/>
    <col min="1797" max="1797" width="15.7109375" style="52" customWidth="1"/>
    <col min="1798" max="1798" width="12.85546875" style="52" customWidth="1"/>
    <col min="1799" max="1799" width="12.7109375" style="52" customWidth="1"/>
    <col min="1800" max="1800" width="12.85546875" style="52" customWidth="1"/>
    <col min="1801" max="1801" width="14.42578125" style="52" customWidth="1"/>
    <col min="1802" max="2046" width="9.140625" style="52"/>
    <col min="2047" max="2047" width="2.7109375" style="52" customWidth="1"/>
    <col min="2048" max="2048" width="9.140625" style="52"/>
    <col min="2049" max="2049" width="40.28515625" style="52" bestFit="1" customWidth="1"/>
    <col min="2050" max="2050" width="10" style="52" customWidth="1"/>
    <col min="2051" max="2051" width="10.140625" style="52" customWidth="1"/>
    <col min="2052" max="2052" width="12.28515625" style="52" customWidth="1"/>
    <col min="2053" max="2053" width="15.7109375" style="52" customWidth="1"/>
    <col min="2054" max="2054" width="12.85546875" style="52" customWidth="1"/>
    <col min="2055" max="2055" width="12.7109375" style="52" customWidth="1"/>
    <col min="2056" max="2056" width="12.85546875" style="52" customWidth="1"/>
    <col min="2057" max="2057" width="14.42578125" style="52" customWidth="1"/>
    <col min="2058" max="2302" width="9.140625" style="52"/>
    <col min="2303" max="2303" width="2.7109375" style="52" customWidth="1"/>
    <col min="2304" max="2304" width="9.140625" style="52"/>
    <col min="2305" max="2305" width="40.28515625" style="52" bestFit="1" customWidth="1"/>
    <col min="2306" max="2306" width="10" style="52" customWidth="1"/>
    <col min="2307" max="2307" width="10.140625" style="52" customWidth="1"/>
    <col min="2308" max="2308" width="12.28515625" style="52" customWidth="1"/>
    <col min="2309" max="2309" width="15.7109375" style="52" customWidth="1"/>
    <col min="2310" max="2310" width="12.85546875" style="52" customWidth="1"/>
    <col min="2311" max="2311" width="12.7109375" style="52" customWidth="1"/>
    <col min="2312" max="2312" width="12.85546875" style="52" customWidth="1"/>
    <col min="2313" max="2313" width="14.42578125" style="52" customWidth="1"/>
    <col min="2314" max="2558" width="9.140625" style="52"/>
    <col min="2559" max="2559" width="2.7109375" style="52" customWidth="1"/>
    <col min="2560" max="2560" width="9.140625" style="52"/>
    <col min="2561" max="2561" width="40.28515625" style="52" bestFit="1" customWidth="1"/>
    <col min="2562" max="2562" width="10" style="52" customWidth="1"/>
    <col min="2563" max="2563" width="10.140625" style="52" customWidth="1"/>
    <col min="2564" max="2564" width="12.28515625" style="52" customWidth="1"/>
    <col min="2565" max="2565" width="15.7109375" style="52" customWidth="1"/>
    <col min="2566" max="2566" width="12.85546875" style="52" customWidth="1"/>
    <col min="2567" max="2567" width="12.7109375" style="52" customWidth="1"/>
    <col min="2568" max="2568" width="12.85546875" style="52" customWidth="1"/>
    <col min="2569" max="2569" width="14.42578125" style="52" customWidth="1"/>
    <col min="2570" max="2814" width="9.140625" style="52"/>
    <col min="2815" max="2815" width="2.7109375" style="52" customWidth="1"/>
    <col min="2816" max="2816" width="9.140625" style="52"/>
    <col min="2817" max="2817" width="40.28515625" style="52" bestFit="1" customWidth="1"/>
    <col min="2818" max="2818" width="10" style="52" customWidth="1"/>
    <col min="2819" max="2819" width="10.140625" style="52" customWidth="1"/>
    <col min="2820" max="2820" width="12.28515625" style="52" customWidth="1"/>
    <col min="2821" max="2821" width="15.7109375" style="52" customWidth="1"/>
    <col min="2822" max="2822" width="12.85546875" style="52" customWidth="1"/>
    <col min="2823" max="2823" width="12.7109375" style="52" customWidth="1"/>
    <col min="2824" max="2824" width="12.85546875" style="52" customWidth="1"/>
    <col min="2825" max="2825" width="14.42578125" style="52" customWidth="1"/>
    <col min="2826" max="3070" width="9.140625" style="52"/>
    <col min="3071" max="3071" width="2.7109375" style="52" customWidth="1"/>
    <col min="3072" max="3072" width="9.140625" style="52"/>
    <col min="3073" max="3073" width="40.28515625" style="52" bestFit="1" customWidth="1"/>
    <col min="3074" max="3074" width="10" style="52" customWidth="1"/>
    <col min="3075" max="3075" width="10.140625" style="52" customWidth="1"/>
    <col min="3076" max="3076" width="12.28515625" style="52" customWidth="1"/>
    <col min="3077" max="3077" width="15.7109375" style="52" customWidth="1"/>
    <col min="3078" max="3078" width="12.85546875" style="52" customWidth="1"/>
    <col min="3079" max="3079" width="12.7109375" style="52" customWidth="1"/>
    <col min="3080" max="3080" width="12.85546875" style="52" customWidth="1"/>
    <col min="3081" max="3081" width="14.42578125" style="52" customWidth="1"/>
    <col min="3082" max="3326" width="9.140625" style="52"/>
    <col min="3327" max="3327" width="2.7109375" style="52" customWidth="1"/>
    <col min="3328" max="3328" width="9.140625" style="52"/>
    <col min="3329" max="3329" width="40.28515625" style="52" bestFit="1" customWidth="1"/>
    <col min="3330" max="3330" width="10" style="52" customWidth="1"/>
    <col min="3331" max="3331" width="10.140625" style="52" customWidth="1"/>
    <col min="3332" max="3332" width="12.28515625" style="52" customWidth="1"/>
    <col min="3333" max="3333" width="15.7109375" style="52" customWidth="1"/>
    <col min="3334" max="3334" width="12.85546875" style="52" customWidth="1"/>
    <col min="3335" max="3335" width="12.7109375" style="52" customWidth="1"/>
    <col min="3336" max="3336" width="12.85546875" style="52" customWidth="1"/>
    <col min="3337" max="3337" width="14.42578125" style="52" customWidth="1"/>
    <col min="3338" max="3582" width="9.140625" style="52"/>
    <col min="3583" max="3583" width="2.7109375" style="52" customWidth="1"/>
    <col min="3584" max="3584" width="9.140625" style="52"/>
    <col min="3585" max="3585" width="40.28515625" style="52" bestFit="1" customWidth="1"/>
    <col min="3586" max="3586" width="10" style="52" customWidth="1"/>
    <col min="3587" max="3587" width="10.140625" style="52" customWidth="1"/>
    <col min="3588" max="3588" width="12.28515625" style="52" customWidth="1"/>
    <col min="3589" max="3589" width="15.7109375" style="52" customWidth="1"/>
    <col min="3590" max="3590" width="12.85546875" style="52" customWidth="1"/>
    <col min="3591" max="3591" width="12.7109375" style="52" customWidth="1"/>
    <col min="3592" max="3592" width="12.85546875" style="52" customWidth="1"/>
    <col min="3593" max="3593" width="14.42578125" style="52" customWidth="1"/>
    <col min="3594" max="3838" width="9.140625" style="52"/>
    <col min="3839" max="3839" width="2.7109375" style="52" customWidth="1"/>
    <col min="3840" max="3840" width="9.140625" style="52"/>
    <col min="3841" max="3841" width="40.28515625" style="52" bestFit="1" customWidth="1"/>
    <col min="3842" max="3842" width="10" style="52" customWidth="1"/>
    <col min="3843" max="3843" width="10.140625" style="52" customWidth="1"/>
    <col min="3844" max="3844" width="12.28515625" style="52" customWidth="1"/>
    <col min="3845" max="3845" width="15.7109375" style="52" customWidth="1"/>
    <col min="3846" max="3846" width="12.85546875" style="52" customWidth="1"/>
    <col min="3847" max="3847" width="12.7109375" style="52" customWidth="1"/>
    <col min="3848" max="3848" width="12.85546875" style="52" customWidth="1"/>
    <col min="3849" max="3849" width="14.42578125" style="52" customWidth="1"/>
    <col min="3850" max="4094" width="9.140625" style="52"/>
    <col min="4095" max="4095" width="2.7109375" style="52" customWidth="1"/>
    <col min="4096" max="4096" width="9.140625" style="52"/>
    <col min="4097" max="4097" width="40.28515625" style="52" bestFit="1" customWidth="1"/>
    <col min="4098" max="4098" width="10" style="52" customWidth="1"/>
    <col min="4099" max="4099" width="10.140625" style="52" customWidth="1"/>
    <col min="4100" max="4100" width="12.28515625" style="52" customWidth="1"/>
    <col min="4101" max="4101" width="15.7109375" style="52" customWidth="1"/>
    <col min="4102" max="4102" width="12.85546875" style="52" customWidth="1"/>
    <col min="4103" max="4103" width="12.7109375" style="52" customWidth="1"/>
    <col min="4104" max="4104" width="12.85546875" style="52" customWidth="1"/>
    <col min="4105" max="4105" width="14.42578125" style="52" customWidth="1"/>
    <col min="4106" max="4350" width="9.140625" style="52"/>
    <col min="4351" max="4351" width="2.7109375" style="52" customWidth="1"/>
    <col min="4352" max="4352" width="9.140625" style="52"/>
    <col min="4353" max="4353" width="40.28515625" style="52" bestFit="1" customWidth="1"/>
    <col min="4354" max="4354" width="10" style="52" customWidth="1"/>
    <col min="4355" max="4355" width="10.140625" style="52" customWidth="1"/>
    <col min="4356" max="4356" width="12.28515625" style="52" customWidth="1"/>
    <col min="4357" max="4357" width="15.7109375" style="52" customWidth="1"/>
    <col min="4358" max="4358" width="12.85546875" style="52" customWidth="1"/>
    <col min="4359" max="4359" width="12.7109375" style="52" customWidth="1"/>
    <col min="4360" max="4360" width="12.85546875" style="52" customWidth="1"/>
    <col min="4361" max="4361" width="14.42578125" style="52" customWidth="1"/>
    <col min="4362" max="4606" width="9.140625" style="52"/>
    <col min="4607" max="4607" width="2.7109375" style="52" customWidth="1"/>
    <col min="4608" max="4608" width="9.140625" style="52"/>
    <col min="4609" max="4609" width="40.28515625" style="52" bestFit="1" customWidth="1"/>
    <col min="4610" max="4610" width="10" style="52" customWidth="1"/>
    <col min="4611" max="4611" width="10.140625" style="52" customWidth="1"/>
    <col min="4612" max="4612" width="12.28515625" style="52" customWidth="1"/>
    <col min="4613" max="4613" width="15.7109375" style="52" customWidth="1"/>
    <col min="4614" max="4614" width="12.85546875" style="52" customWidth="1"/>
    <col min="4615" max="4615" width="12.7109375" style="52" customWidth="1"/>
    <col min="4616" max="4616" width="12.85546875" style="52" customWidth="1"/>
    <col min="4617" max="4617" width="14.42578125" style="52" customWidth="1"/>
    <col min="4618" max="4862" width="9.140625" style="52"/>
    <col min="4863" max="4863" width="2.7109375" style="52" customWidth="1"/>
    <col min="4864" max="4864" width="9.140625" style="52"/>
    <col min="4865" max="4865" width="40.28515625" style="52" bestFit="1" customWidth="1"/>
    <col min="4866" max="4866" width="10" style="52" customWidth="1"/>
    <col min="4867" max="4867" width="10.140625" style="52" customWidth="1"/>
    <col min="4868" max="4868" width="12.28515625" style="52" customWidth="1"/>
    <col min="4869" max="4869" width="15.7109375" style="52" customWidth="1"/>
    <col min="4870" max="4870" width="12.85546875" style="52" customWidth="1"/>
    <col min="4871" max="4871" width="12.7109375" style="52" customWidth="1"/>
    <col min="4872" max="4872" width="12.85546875" style="52" customWidth="1"/>
    <col min="4873" max="4873" width="14.42578125" style="52" customWidth="1"/>
    <col min="4874" max="5118" width="9.140625" style="52"/>
    <col min="5119" max="5119" width="2.7109375" style="52" customWidth="1"/>
    <col min="5120" max="5120" width="9.140625" style="52"/>
    <col min="5121" max="5121" width="40.28515625" style="52" bestFit="1" customWidth="1"/>
    <col min="5122" max="5122" width="10" style="52" customWidth="1"/>
    <col min="5123" max="5123" width="10.140625" style="52" customWidth="1"/>
    <col min="5124" max="5124" width="12.28515625" style="52" customWidth="1"/>
    <col min="5125" max="5125" width="15.7109375" style="52" customWidth="1"/>
    <col min="5126" max="5126" width="12.85546875" style="52" customWidth="1"/>
    <col min="5127" max="5127" width="12.7109375" style="52" customWidth="1"/>
    <col min="5128" max="5128" width="12.85546875" style="52" customWidth="1"/>
    <col min="5129" max="5129" width="14.42578125" style="52" customWidth="1"/>
    <col min="5130" max="5374" width="9.140625" style="52"/>
    <col min="5375" max="5375" width="2.7109375" style="52" customWidth="1"/>
    <col min="5376" max="5376" width="9.140625" style="52"/>
    <col min="5377" max="5377" width="40.28515625" style="52" bestFit="1" customWidth="1"/>
    <col min="5378" max="5378" width="10" style="52" customWidth="1"/>
    <col min="5379" max="5379" width="10.140625" style="52" customWidth="1"/>
    <col min="5380" max="5380" width="12.28515625" style="52" customWidth="1"/>
    <col min="5381" max="5381" width="15.7109375" style="52" customWidth="1"/>
    <col min="5382" max="5382" width="12.85546875" style="52" customWidth="1"/>
    <col min="5383" max="5383" width="12.7109375" style="52" customWidth="1"/>
    <col min="5384" max="5384" width="12.85546875" style="52" customWidth="1"/>
    <col min="5385" max="5385" width="14.42578125" style="52" customWidth="1"/>
    <col min="5386" max="5630" width="9.140625" style="52"/>
    <col min="5631" max="5631" width="2.7109375" style="52" customWidth="1"/>
    <col min="5632" max="5632" width="9.140625" style="52"/>
    <col min="5633" max="5633" width="40.28515625" style="52" bestFit="1" customWidth="1"/>
    <col min="5634" max="5634" width="10" style="52" customWidth="1"/>
    <col min="5635" max="5635" width="10.140625" style="52" customWidth="1"/>
    <col min="5636" max="5636" width="12.28515625" style="52" customWidth="1"/>
    <col min="5637" max="5637" width="15.7109375" style="52" customWidth="1"/>
    <col min="5638" max="5638" width="12.85546875" style="52" customWidth="1"/>
    <col min="5639" max="5639" width="12.7109375" style="52" customWidth="1"/>
    <col min="5640" max="5640" width="12.85546875" style="52" customWidth="1"/>
    <col min="5641" max="5641" width="14.42578125" style="52" customWidth="1"/>
    <col min="5642" max="5886" width="9.140625" style="52"/>
    <col min="5887" max="5887" width="2.7109375" style="52" customWidth="1"/>
    <col min="5888" max="5888" width="9.140625" style="52"/>
    <col min="5889" max="5889" width="40.28515625" style="52" bestFit="1" customWidth="1"/>
    <col min="5890" max="5890" width="10" style="52" customWidth="1"/>
    <col min="5891" max="5891" width="10.140625" style="52" customWidth="1"/>
    <col min="5892" max="5892" width="12.28515625" style="52" customWidth="1"/>
    <col min="5893" max="5893" width="15.7109375" style="52" customWidth="1"/>
    <col min="5894" max="5894" width="12.85546875" style="52" customWidth="1"/>
    <col min="5895" max="5895" width="12.7109375" style="52" customWidth="1"/>
    <col min="5896" max="5896" width="12.85546875" style="52" customWidth="1"/>
    <col min="5897" max="5897" width="14.42578125" style="52" customWidth="1"/>
    <col min="5898" max="6142" width="9.140625" style="52"/>
    <col min="6143" max="6143" width="2.7109375" style="52" customWidth="1"/>
    <col min="6144" max="6144" width="9.140625" style="52"/>
    <col min="6145" max="6145" width="40.28515625" style="52" bestFit="1" customWidth="1"/>
    <col min="6146" max="6146" width="10" style="52" customWidth="1"/>
    <col min="6147" max="6147" width="10.140625" style="52" customWidth="1"/>
    <col min="6148" max="6148" width="12.28515625" style="52" customWidth="1"/>
    <col min="6149" max="6149" width="15.7109375" style="52" customWidth="1"/>
    <col min="6150" max="6150" width="12.85546875" style="52" customWidth="1"/>
    <col min="6151" max="6151" width="12.7109375" style="52" customWidth="1"/>
    <col min="6152" max="6152" width="12.85546875" style="52" customWidth="1"/>
    <col min="6153" max="6153" width="14.42578125" style="52" customWidth="1"/>
    <col min="6154" max="6398" width="9.140625" style="52"/>
    <col min="6399" max="6399" width="2.7109375" style="52" customWidth="1"/>
    <col min="6400" max="6400" width="9.140625" style="52"/>
    <col min="6401" max="6401" width="40.28515625" style="52" bestFit="1" customWidth="1"/>
    <col min="6402" max="6402" width="10" style="52" customWidth="1"/>
    <col min="6403" max="6403" width="10.140625" style="52" customWidth="1"/>
    <col min="6404" max="6404" width="12.28515625" style="52" customWidth="1"/>
    <col min="6405" max="6405" width="15.7109375" style="52" customWidth="1"/>
    <col min="6406" max="6406" width="12.85546875" style="52" customWidth="1"/>
    <col min="6407" max="6407" width="12.7109375" style="52" customWidth="1"/>
    <col min="6408" max="6408" width="12.85546875" style="52" customWidth="1"/>
    <col min="6409" max="6409" width="14.42578125" style="52" customWidth="1"/>
    <col min="6410" max="6654" width="9.140625" style="52"/>
    <col min="6655" max="6655" width="2.7109375" style="52" customWidth="1"/>
    <col min="6656" max="6656" width="9.140625" style="52"/>
    <col min="6657" max="6657" width="40.28515625" style="52" bestFit="1" customWidth="1"/>
    <col min="6658" max="6658" width="10" style="52" customWidth="1"/>
    <col min="6659" max="6659" width="10.140625" style="52" customWidth="1"/>
    <col min="6660" max="6660" width="12.28515625" style="52" customWidth="1"/>
    <col min="6661" max="6661" width="15.7109375" style="52" customWidth="1"/>
    <col min="6662" max="6662" width="12.85546875" style="52" customWidth="1"/>
    <col min="6663" max="6663" width="12.7109375" style="52" customWidth="1"/>
    <col min="6664" max="6664" width="12.85546875" style="52" customWidth="1"/>
    <col min="6665" max="6665" width="14.42578125" style="52" customWidth="1"/>
    <col min="6666" max="6910" width="9.140625" style="52"/>
    <col min="6911" max="6911" width="2.7109375" style="52" customWidth="1"/>
    <col min="6912" max="6912" width="9.140625" style="52"/>
    <col min="6913" max="6913" width="40.28515625" style="52" bestFit="1" customWidth="1"/>
    <col min="6914" max="6914" width="10" style="52" customWidth="1"/>
    <col min="6915" max="6915" width="10.140625" style="52" customWidth="1"/>
    <col min="6916" max="6916" width="12.28515625" style="52" customWidth="1"/>
    <col min="6917" max="6917" width="15.7109375" style="52" customWidth="1"/>
    <col min="6918" max="6918" width="12.85546875" style="52" customWidth="1"/>
    <col min="6919" max="6919" width="12.7109375" style="52" customWidth="1"/>
    <col min="6920" max="6920" width="12.85546875" style="52" customWidth="1"/>
    <col min="6921" max="6921" width="14.42578125" style="52" customWidth="1"/>
    <col min="6922" max="7166" width="9.140625" style="52"/>
    <col min="7167" max="7167" width="2.7109375" style="52" customWidth="1"/>
    <col min="7168" max="7168" width="9.140625" style="52"/>
    <col min="7169" max="7169" width="40.28515625" style="52" bestFit="1" customWidth="1"/>
    <col min="7170" max="7170" width="10" style="52" customWidth="1"/>
    <col min="7171" max="7171" width="10.140625" style="52" customWidth="1"/>
    <col min="7172" max="7172" width="12.28515625" style="52" customWidth="1"/>
    <col min="7173" max="7173" width="15.7109375" style="52" customWidth="1"/>
    <col min="7174" max="7174" width="12.85546875" style="52" customWidth="1"/>
    <col min="7175" max="7175" width="12.7109375" style="52" customWidth="1"/>
    <col min="7176" max="7176" width="12.85546875" style="52" customWidth="1"/>
    <col min="7177" max="7177" width="14.42578125" style="52" customWidth="1"/>
    <col min="7178" max="7422" width="9.140625" style="52"/>
    <col min="7423" max="7423" width="2.7109375" style="52" customWidth="1"/>
    <col min="7424" max="7424" width="9.140625" style="52"/>
    <col min="7425" max="7425" width="40.28515625" style="52" bestFit="1" customWidth="1"/>
    <col min="7426" max="7426" width="10" style="52" customWidth="1"/>
    <col min="7427" max="7427" width="10.140625" style="52" customWidth="1"/>
    <col min="7428" max="7428" width="12.28515625" style="52" customWidth="1"/>
    <col min="7429" max="7429" width="15.7109375" style="52" customWidth="1"/>
    <col min="7430" max="7430" width="12.85546875" style="52" customWidth="1"/>
    <col min="7431" max="7431" width="12.7109375" style="52" customWidth="1"/>
    <col min="7432" max="7432" width="12.85546875" style="52" customWidth="1"/>
    <col min="7433" max="7433" width="14.42578125" style="52" customWidth="1"/>
    <col min="7434" max="7678" width="9.140625" style="52"/>
    <col min="7679" max="7679" width="2.7109375" style="52" customWidth="1"/>
    <col min="7680" max="7680" width="9.140625" style="52"/>
    <col min="7681" max="7681" width="40.28515625" style="52" bestFit="1" customWidth="1"/>
    <col min="7682" max="7682" width="10" style="52" customWidth="1"/>
    <col min="7683" max="7683" width="10.140625" style="52" customWidth="1"/>
    <col min="7684" max="7684" width="12.28515625" style="52" customWidth="1"/>
    <col min="7685" max="7685" width="15.7109375" style="52" customWidth="1"/>
    <col min="7686" max="7686" width="12.85546875" style="52" customWidth="1"/>
    <col min="7687" max="7687" width="12.7109375" style="52" customWidth="1"/>
    <col min="7688" max="7688" width="12.85546875" style="52" customWidth="1"/>
    <col min="7689" max="7689" width="14.42578125" style="52" customWidth="1"/>
    <col min="7690" max="7934" width="9.140625" style="52"/>
    <col min="7935" max="7935" width="2.7109375" style="52" customWidth="1"/>
    <col min="7936" max="7936" width="9.140625" style="52"/>
    <col min="7937" max="7937" width="40.28515625" style="52" bestFit="1" customWidth="1"/>
    <col min="7938" max="7938" width="10" style="52" customWidth="1"/>
    <col min="7939" max="7939" width="10.140625" style="52" customWidth="1"/>
    <col min="7940" max="7940" width="12.28515625" style="52" customWidth="1"/>
    <col min="7941" max="7941" width="15.7109375" style="52" customWidth="1"/>
    <col min="7942" max="7942" width="12.85546875" style="52" customWidth="1"/>
    <col min="7943" max="7943" width="12.7109375" style="52" customWidth="1"/>
    <col min="7944" max="7944" width="12.85546875" style="52" customWidth="1"/>
    <col min="7945" max="7945" width="14.42578125" style="52" customWidth="1"/>
    <col min="7946" max="8190" width="9.140625" style="52"/>
    <col min="8191" max="8191" width="2.7109375" style="52" customWidth="1"/>
    <col min="8192" max="8192" width="9.140625" style="52"/>
    <col min="8193" max="8193" width="40.28515625" style="52" bestFit="1" customWidth="1"/>
    <col min="8194" max="8194" width="10" style="52" customWidth="1"/>
    <col min="8195" max="8195" width="10.140625" style="52" customWidth="1"/>
    <col min="8196" max="8196" width="12.28515625" style="52" customWidth="1"/>
    <col min="8197" max="8197" width="15.7109375" style="52" customWidth="1"/>
    <col min="8198" max="8198" width="12.85546875" style="52" customWidth="1"/>
    <col min="8199" max="8199" width="12.7109375" style="52" customWidth="1"/>
    <col min="8200" max="8200" width="12.85546875" style="52" customWidth="1"/>
    <col min="8201" max="8201" width="14.42578125" style="52" customWidth="1"/>
    <col min="8202" max="8446" width="9.140625" style="52"/>
    <col min="8447" max="8447" width="2.7109375" style="52" customWidth="1"/>
    <col min="8448" max="8448" width="9.140625" style="52"/>
    <col min="8449" max="8449" width="40.28515625" style="52" bestFit="1" customWidth="1"/>
    <col min="8450" max="8450" width="10" style="52" customWidth="1"/>
    <col min="8451" max="8451" width="10.140625" style="52" customWidth="1"/>
    <col min="8452" max="8452" width="12.28515625" style="52" customWidth="1"/>
    <col min="8453" max="8453" width="15.7109375" style="52" customWidth="1"/>
    <col min="8454" max="8454" width="12.85546875" style="52" customWidth="1"/>
    <col min="8455" max="8455" width="12.7109375" style="52" customWidth="1"/>
    <col min="8456" max="8456" width="12.85546875" style="52" customWidth="1"/>
    <col min="8457" max="8457" width="14.42578125" style="52" customWidth="1"/>
    <col min="8458" max="8702" width="9.140625" style="52"/>
    <col min="8703" max="8703" width="2.7109375" style="52" customWidth="1"/>
    <col min="8704" max="8704" width="9.140625" style="52"/>
    <col min="8705" max="8705" width="40.28515625" style="52" bestFit="1" customWidth="1"/>
    <col min="8706" max="8706" width="10" style="52" customWidth="1"/>
    <col min="8707" max="8707" width="10.140625" style="52" customWidth="1"/>
    <col min="8708" max="8708" width="12.28515625" style="52" customWidth="1"/>
    <col min="8709" max="8709" width="15.7109375" style="52" customWidth="1"/>
    <col min="8710" max="8710" width="12.85546875" style="52" customWidth="1"/>
    <col min="8711" max="8711" width="12.7109375" style="52" customWidth="1"/>
    <col min="8712" max="8712" width="12.85546875" style="52" customWidth="1"/>
    <col min="8713" max="8713" width="14.42578125" style="52" customWidth="1"/>
    <col min="8714" max="8958" width="9.140625" style="52"/>
    <col min="8959" max="8959" width="2.7109375" style="52" customWidth="1"/>
    <col min="8960" max="8960" width="9.140625" style="52"/>
    <col min="8961" max="8961" width="40.28515625" style="52" bestFit="1" customWidth="1"/>
    <col min="8962" max="8962" width="10" style="52" customWidth="1"/>
    <col min="8963" max="8963" width="10.140625" style="52" customWidth="1"/>
    <col min="8964" max="8964" width="12.28515625" style="52" customWidth="1"/>
    <col min="8965" max="8965" width="15.7109375" style="52" customWidth="1"/>
    <col min="8966" max="8966" width="12.85546875" style="52" customWidth="1"/>
    <col min="8967" max="8967" width="12.7109375" style="52" customWidth="1"/>
    <col min="8968" max="8968" width="12.85546875" style="52" customWidth="1"/>
    <col min="8969" max="8969" width="14.42578125" style="52" customWidth="1"/>
    <col min="8970" max="9214" width="9.140625" style="52"/>
    <col min="9215" max="9215" width="2.7109375" style="52" customWidth="1"/>
    <col min="9216" max="9216" width="9.140625" style="52"/>
    <col min="9217" max="9217" width="40.28515625" style="52" bestFit="1" customWidth="1"/>
    <col min="9218" max="9218" width="10" style="52" customWidth="1"/>
    <col min="9219" max="9219" width="10.140625" style="52" customWidth="1"/>
    <col min="9220" max="9220" width="12.28515625" style="52" customWidth="1"/>
    <col min="9221" max="9221" width="15.7109375" style="52" customWidth="1"/>
    <col min="9222" max="9222" width="12.85546875" style="52" customWidth="1"/>
    <col min="9223" max="9223" width="12.7109375" style="52" customWidth="1"/>
    <col min="9224" max="9224" width="12.85546875" style="52" customWidth="1"/>
    <col min="9225" max="9225" width="14.42578125" style="52" customWidth="1"/>
    <col min="9226" max="9470" width="9.140625" style="52"/>
    <col min="9471" max="9471" width="2.7109375" style="52" customWidth="1"/>
    <col min="9472" max="9472" width="9.140625" style="52"/>
    <col min="9473" max="9473" width="40.28515625" style="52" bestFit="1" customWidth="1"/>
    <col min="9474" max="9474" width="10" style="52" customWidth="1"/>
    <col min="9475" max="9475" width="10.140625" style="52" customWidth="1"/>
    <col min="9476" max="9476" width="12.28515625" style="52" customWidth="1"/>
    <col min="9477" max="9477" width="15.7109375" style="52" customWidth="1"/>
    <col min="9478" max="9478" width="12.85546875" style="52" customWidth="1"/>
    <col min="9479" max="9479" width="12.7109375" style="52" customWidth="1"/>
    <col min="9480" max="9480" width="12.85546875" style="52" customWidth="1"/>
    <col min="9481" max="9481" width="14.42578125" style="52" customWidth="1"/>
    <col min="9482" max="9726" width="9.140625" style="52"/>
    <col min="9727" max="9727" width="2.7109375" style="52" customWidth="1"/>
    <col min="9728" max="9728" width="9.140625" style="52"/>
    <col min="9729" max="9729" width="40.28515625" style="52" bestFit="1" customWidth="1"/>
    <col min="9730" max="9730" width="10" style="52" customWidth="1"/>
    <col min="9731" max="9731" width="10.140625" style="52" customWidth="1"/>
    <col min="9732" max="9732" width="12.28515625" style="52" customWidth="1"/>
    <col min="9733" max="9733" width="15.7109375" style="52" customWidth="1"/>
    <col min="9734" max="9734" width="12.85546875" style="52" customWidth="1"/>
    <col min="9735" max="9735" width="12.7109375" style="52" customWidth="1"/>
    <col min="9736" max="9736" width="12.85546875" style="52" customWidth="1"/>
    <col min="9737" max="9737" width="14.42578125" style="52" customWidth="1"/>
    <col min="9738" max="9982" width="9.140625" style="52"/>
    <col min="9983" max="9983" width="2.7109375" style="52" customWidth="1"/>
    <col min="9984" max="9984" width="9.140625" style="52"/>
    <col min="9985" max="9985" width="40.28515625" style="52" bestFit="1" customWidth="1"/>
    <col min="9986" max="9986" width="10" style="52" customWidth="1"/>
    <col min="9987" max="9987" width="10.140625" style="52" customWidth="1"/>
    <col min="9988" max="9988" width="12.28515625" style="52" customWidth="1"/>
    <col min="9989" max="9989" width="15.7109375" style="52" customWidth="1"/>
    <col min="9990" max="9990" width="12.85546875" style="52" customWidth="1"/>
    <col min="9991" max="9991" width="12.7109375" style="52" customWidth="1"/>
    <col min="9992" max="9992" width="12.85546875" style="52" customWidth="1"/>
    <col min="9993" max="9993" width="14.42578125" style="52" customWidth="1"/>
    <col min="9994" max="10238" width="9.140625" style="52"/>
    <col min="10239" max="10239" width="2.7109375" style="52" customWidth="1"/>
    <col min="10240" max="10240" width="9.140625" style="52"/>
    <col min="10241" max="10241" width="40.28515625" style="52" bestFit="1" customWidth="1"/>
    <col min="10242" max="10242" width="10" style="52" customWidth="1"/>
    <col min="10243" max="10243" width="10.140625" style="52" customWidth="1"/>
    <col min="10244" max="10244" width="12.28515625" style="52" customWidth="1"/>
    <col min="10245" max="10245" width="15.7109375" style="52" customWidth="1"/>
    <col min="10246" max="10246" width="12.85546875" style="52" customWidth="1"/>
    <col min="10247" max="10247" width="12.7109375" style="52" customWidth="1"/>
    <col min="10248" max="10248" width="12.85546875" style="52" customWidth="1"/>
    <col min="10249" max="10249" width="14.42578125" style="52" customWidth="1"/>
    <col min="10250" max="10494" width="9.140625" style="52"/>
    <col min="10495" max="10495" width="2.7109375" style="52" customWidth="1"/>
    <col min="10496" max="10496" width="9.140625" style="52"/>
    <col min="10497" max="10497" width="40.28515625" style="52" bestFit="1" customWidth="1"/>
    <col min="10498" max="10498" width="10" style="52" customWidth="1"/>
    <col min="10499" max="10499" width="10.140625" style="52" customWidth="1"/>
    <col min="10500" max="10500" width="12.28515625" style="52" customWidth="1"/>
    <col min="10501" max="10501" width="15.7109375" style="52" customWidth="1"/>
    <col min="10502" max="10502" width="12.85546875" style="52" customWidth="1"/>
    <col min="10503" max="10503" width="12.7109375" style="52" customWidth="1"/>
    <col min="10504" max="10504" width="12.85546875" style="52" customWidth="1"/>
    <col min="10505" max="10505" width="14.42578125" style="52" customWidth="1"/>
    <col min="10506" max="10750" width="9.140625" style="52"/>
    <col min="10751" max="10751" width="2.7109375" style="52" customWidth="1"/>
    <col min="10752" max="10752" width="9.140625" style="52"/>
    <col min="10753" max="10753" width="40.28515625" style="52" bestFit="1" customWidth="1"/>
    <col min="10754" max="10754" width="10" style="52" customWidth="1"/>
    <col min="10755" max="10755" width="10.140625" style="52" customWidth="1"/>
    <col min="10756" max="10756" width="12.28515625" style="52" customWidth="1"/>
    <col min="10757" max="10757" width="15.7109375" style="52" customWidth="1"/>
    <col min="10758" max="10758" width="12.85546875" style="52" customWidth="1"/>
    <col min="10759" max="10759" width="12.7109375" style="52" customWidth="1"/>
    <col min="10760" max="10760" width="12.85546875" style="52" customWidth="1"/>
    <col min="10761" max="10761" width="14.42578125" style="52" customWidth="1"/>
    <col min="10762" max="11006" width="9.140625" style="52"/>
    <col min="11007" max="11007" width="2.7109375" style="52" customWidth="1"/>
    <col min="11008" max="11008" width="9.140625" style="52"/>
    <col min="11009" max="11009" width="40.28515625" style="52" bestFit="1" customWidth="1"/>
    <col min="11010" max="11010" width="10" style="52" customWidth="1"/>
    <col min="11011" max="11011" width="10.140625" style="52" customWidth="1"/>
    <col min="11012" max="11012" width="12.28515625" style="52" customWidth="1"/>
    <col min="11013" max="11013" width="15.7109375" style="52" customWidth="1"/>
    <col min="11014" max="11014" width="12.85546875" style="52" customWidth="1"/>
    <col min="11015" max="11015" width="12.7109375" style="52" customWidth="1"/>
    <col min="11016" max="11016" width="12.85546875" style="52" customWidth="1"/>
    <col min="11017" max="11017" width="14.42578125" style="52" customWidth="1"/>
    <col min="11018" max="11262" width="9.140625" style="52"/>
    <col min="11263" max="11263" width="2.7109375" style="52" customWidth="1"/>
    <col min="11264" max="11264" width="9.140625" style="52"/>
    <col min="11265" max="11265" width="40.28515625" style="52" bestFit="1" customWidth="1"/>
    <col min="11266" max="11266" width="10" style="52" customWidth="1"/>
    <col min="11267" max="11267" width="10.140625" style="52" customWidth="1"/>
    <col min="11268" max="11268" width="12.28515625" style="52" customWidth="1"/>
    <col min="11269" max="11269" width="15.7109375" style="52" customWidth="1"/>
    <col min="11270" max="11270" width="12.85546875" style="52" customWidth="1"/>
    <col min="11271" max="11271" width="12.7109375" style="52" customWidth="1"/>
    <col min="11272" max="11272" width="12.85546875" style="52" customWidth="1"/>
    <col min="11273" max="11273" width="14.42578125" style="52" customWidth="1"/>
    <col min="11274" max="11518" width="9.140625" style="52"/>
    <col min="11519" max="11519" width="2.7109375" style="52" customWidth="1"/>
    <col min="11520" max="11520" width="9.140625" style="52"/>
    <col min="11521" max="11521" width="40.28515625" style="52" bestFit="1" customWidth="1"/>
    <col min="11522" max="11522" width="10" style="52" customWidth="1"/>
    <col min="11523" max="11523" width="10.140625" style="52" customWidth="1"/>
    <col min="11524" max="11524" width="12.28515625" style="52" customWidth="1"/>
    <col min="11525" max="11525" width="15.7109375" style="52" customWidth="1"/>
    <col min="11526" max="11526" width="12.85546875" style="52" customWidth="1"/>
    <col min="11527" max="11527" width="12.7109375" style="52" customWidth="1"/>
    <col min="11528" max="11528" width="12.85546875" style="52" customWidth="1"/>
    <col min="11529" max="11529" width="14.42578125" style="52" customWidth="1"/>
    <col min="11530" max="11774" width="9.140625" style="52"/>
    <col min="11775" max="11775" width="2.7109375" style="52" customWidth="1"/>
    <col min="11776" max="11776" width="9.140625" style="52"/>
    <col min="11777" max="11777" width="40.28515625" style="52" bestFit="1" customWidth="1"/>
    <col min="11778" max="11778" width="10" style="52" customWidth="1"/>
    <col min="11779" max="11779" width="10.140625" style="52" customWidth="1"/>
    <col min="11780" max="11780" width="12.28515625" style="52" customWidth="1"/>
    <col min="11781" max="11781" width="15.7109375" style="52" customWidth="1"/>
    <col min="11782" max="11782" width="12.85546875" style="52" customWidth="1"/>
    <col min="11783" max="11783" width="12.7109375" style="52" customWidth="1"/>
    <col min="11784" max="11784" width="12.85546875" style="52" customWidth="1"/>
    <col min="11785" max="11785" width="14.42578125" style="52" customWidth="1"/>
    <col min="11786" max="12030" width="9.140625" style="52"/>
    <col min="12031" max="12031" width="2.7109375" style="52" customWidth="1"/>
    <col min="12032" max="12032" width="9.140625" style="52"/>
    <col min="12033" max="12033" width="40.28515625" style="52" bestFit="1" customWidth="1"/>
    <col min="12034" max="12034" width="10" style="52" customWidth="1"/>
    <col min="12035" max="12035" width="10.140625" style="52" customWidth="1"/>
    <col min="12036" max="12036" width="12.28515625" style="52" customWidth="1"/>
    <col min="12037" max="12037" width="15.7109375" style="52" customWidth="1"/>
    <col min="12038" max="12038" width="12.85546875" style="52" customWidth="1"/>
    <col min="12039" max="12039" width="12.7109375" style="52" customWidth="1"/>
    <col min="12040" max="12040" width="12.85546875" style="52" customWidth="1"/>
    <col min="12041" max="12041" width="14.42578125" style="52" customWidth="1"/>
    <col min="12042" max="12286" width="9.140625" style="52"/>
    <col min="12287" max="12287" width="2.7109375" style="52" customWidth="1"/>
    <col min="12288" max="12288" width="9.140625" style="52"/>
    <col min="12289" max="12289" width="40.28515625" style="52" bestFit="1" customWidth="1"/>
    <col min="12290" max="12290" width="10" style="52" customWidth="1"/>
    <col min="12291" max="12291" width="10.140625" style="52" customWidth="1"/>
    <col min="12292" max="12292" width="12.28515625" style="52" customWidth="1"/>
    <col min="12293" max="12293" width="15.7109375" style="52" customWidth="1"/>
    <col min="12294" max="12294" width="12.85546875" style="52" customWidth="1"/>
    <col min="12295" max="12295" width="12.7109375" style="52" customWidth="1"/>
    <col min="12296" max="12296" width="12.85546875" style="52" customWidth="1"/>
    <col min="12297" max="12297" width="14.42578125" style="52" customWidth="1"/>
    <col min="12298" max="12542" width="9.140625" style="52"/>
    <col min="12543" max="12543" width="2.7109375" style="52" customWidth="1"/>
    <col min="12544" max="12544" width="9.140625" style="52"/>
    <col min="12545" max="12545" width="40.28515625" style="52" bestFit="1" customWidth="1"/>
    <col min="12546" max="12546" width="10" style="52" customWidth="1"/>
    <col min="12547" max="12547" width="10.140625" style="52" customWidth="1"/>
    <col min="12548" max="12548" width="12.28515625" style="52" customWidth="1"/>
    <col min="12549" max="12549" width="15.7109375" style="52" customWidth="1"/>
    <col min="12550" max="12550" width="12.85546875" style="52" customWidth="1"/>
    <col min="12551" max="12551" width="12.7109375" style="52" customWidth="1"/>
    <col min="12552" max="12552" width="12.85546875" style="52" customWidth="1"/>
    <col min="12553" max="12553" width="14.42578125" style="52" customWidth="1"/>
    <col min="12554" max="12798" width="9.140625" style="52"/>
    <col min="12799" max="12799" width="2.7109375" style="52" customWidth="1"/>
    <col min="12800" max="12800" width="9.140625" style="52"/>
    <col min="12801" max="12801" width="40.28515625" style="52" bestFit="1" customWidth="1"/>
    <col min="12802" max="12802" width="10" style="52" customWidth="1"/>
    <col min="12803" max="12803" width="10.140625" style="52" customWidth="1"/>
    <col min="12804" max="12804" width="12.28515625" style="52" customWidth="1"/>
    <col min="12805" max="12805" width="15.7109375" style="52" customWidth="1"/>
    <col min="12806" max="12806" width="12.85546875" style="52" customWidth="1"/>
    <col min="12807" max="12807" width="12.7109375" style="52" customWidth="1"/>
    <col min="12808" max="12808" width="12.85546875" style="52" customWidth="1"/>
    <col min="12809" max="12809" width="14.42578125" style="52" customWidth="1"/>
    <col min="12810" max="13054" width="9.140625" style="52"/>
    <col min="13055" max="13055" width="2.7109375" style="52" customWidth="1"/>
    <col min="13056" max="13056" width="9.140625" style="52"/>
    <col min="13057" max="13057" width="40.28515625" style="52" bestFit="1" customWidth="1"/>
    <col min="13058" max="13058" width="10" style="52" customWidth="1"/>
    <col min="13059" max="13059" width="10.140625" style="52" customWidth="1"/>
    <col min="13060" max="13060" width="12.28515625" style="52" customWidth="1"/>
    <col min="13061" max="13061" width="15.7109375" style="52" customWidth="1"/>
    <col min="13062" max="13062" width="12.85546875" style="52" customWidth="1"/>
    <col min="13063" max="13063" width="12.7109375" style="52" customWidth="1"/>
    <col min="13064" max="13064" width="12.85546875" style="52" customWidth="1"/>
    <col min="13065" max="13065" width="14.42578125" style="52" customWidth="1"/>
    <col min="13066" max="13310" width="9.140625" style="52"/>
    <col min="13311" max="13311" width="2.7109375" style="52" customWidth="1"/>
    <col min="13312" max="13312" width="9.140625" style="52"/>
    <col min="13313" max="13313" width="40.28515625" style="52" bestFit="1" customWidth="1"/>
    <col min="13314" max="13314" width="10" style="52" customWidth="1"/>
    <col min="13315" max="13315" width="10.140625" style="52" customWidth="1"/>
    <col min="13316" max="13316" width="12.28515625" style="52" customWidth="1"/>
    <col min="13317" max="13317" width="15.7109375" style="52" customWidth="1"/>
    <col min="13318" max="13318" width="12.85546875" style="52" customWidth="1"/>
    <col min="13319" max="13319" width="12.7109375" style="52" customWidth="1"/>
    <col min="13320" max="13320" width="12.85546875" style="52" customWidth="1"/>
    <col min="13321" max="13321" width="14.42578125" style="52" customWidth="1"/>
    <col min="13322" max="13566" width="9.140625" style="52"/>
    <col min="13567" max="13567" width="2.7109375" style="52" customWidth="1"/>
    <col min="13568" max="13568" width="9.140625" style="52"/>
    <col min="13569" max="13569" width="40.28515625" style="52" bestFit="1" customWidth="1"/>
    <col min="13570" max="13570" width="10" style="52" customWidth="1"/>
    <col min="13571" max="13571" width="10.140625" style="52" customWidth="1"/>
    <col min="13572" max="13572" width="12.28515625" style="52" customWidth="1"/>
    <col min="13573" max="13573" width="15.7109375" style="52" customWidth="1"/>
    <col min="13574" max="13574" width="12.85546875" style="52" customWidth="1"/>
    <col min="13575" max="13575" width="12.7109375" style="52" customWidth="1"/>
    <col min="13576" max="13576" width="12.85546875" style="52" customWidth="1"/>
    <col min="13577" max="13577" width="14.42578125" style="52" customWidth="1"/>
    <col min="13578" max="13822" width="9.140625" style="52"/>
    <col min="13823" max="13823" width="2.7109375" style="52" customWidth="1"/>
    <col min="13824" max="13824" width="9.140625" style="52"/>
    <col min="13825" max="13825" width="40.28515625" style="52" bestFit="1" customWidth="1"/>
    <col min="13826" max="13826" width="10" style="52" customWidth="1"/>
    <col min="13827" max="13827" width="10.140625" style="52" customWidth="1"/>
    <col min="13828" max="13828" width="12.28515625" style="52" customWidth="1"/>
    <col min="13829" max="13829" width="15.7109375" style="52" customWidth="1"/>
    <col min="13830" max="13830" width="12.85546875" style="52" customWidth="1"/>
    <col min="13831" max="13831" width="12.7109375" style="52" customWidth="1"/>
    <col min="13832" max="13832" width="12.85546875" style="52" customWidth="1"/>
    <col min="13833" max="13833" width="14.42578125" style="52" customWidth="1"/>
    <col min="13834" max="14078" width="9.140625" style="52"/>
    <col min="14079" max="14079" width="2.7109375" style="52" customWidth="1"/>
    <col min="14080" max="14080" width="9.140625" style="52"/>
    <col min="14081" max="14081" width="40.28515625" style="52" bestFit="1" customWidth="1"/>
    <col min="14082" max="14082" width="10" style="52" customWidth="1"/>
    <col min="14083" max="14083" width="10.140625" style="52" customWidth="1"/>
    <col min="14084" max="14084" width="12.28515625" style="52" customWidth="1"/>
    <col min="14085" max="14085" width="15.7109375" style="52" customWidth="1"/>
    <col min="14086" max="14086" width="12.85546875" style="52" customWidth="1"/>
    <col min="14087" max="14087" width="12.7109375" style="52" customWidth="1"/>
    <col min="14088" max="14088" width="12.85546875" style="52" customWidth="1"/>
    <col min="14089" max="14089" width="14.42578125" style="52" customWidth="1"/>
    <col min="14090" max="14334" width="9.140625" style="52"/>
    <col min="14335" max="14335" width="2.7109375" style="52" customWidth="1"/>
    <col min="14336" max="14336" width="9.140625" style="52"/>
    <col min="14337" max="14337" width="40.28515625" style="52" bestFit="1" customWidth="1"/>
    <col min="14338" max="14338" width="10" style="52" customWidth="1"/>
    <col min="14339" max="14339" width="10.140625" style="52" customWidth="1"/>
    <col min="14340" max="14340" width="12.28515625" style="52" customWidth="1"/>
    <col min="14341" max="14341" width="15.7109375" style="52" customWidth="1"/>
    <col min="14342" max="14342" width="12.85546875" style="52" customWidth="1"/>
    <col min="14343" max="14343" width="12.7109375" style="52" customWidth="1"/>
    <col min="14344" max="14344" width="12.85546875" style="52" customWidth="1"/>
    <col min="14345" max="14345" width="14.42578125" style="52" customWidth="1"/>
    <col min="14346" max="14590" width="9.140625" style="52"/>
    <col min="14591" max="14591" width="2.7109375" style="52" customWidth="1"/>
    <col min="14592" max="14592" width="9.140625" style="52"/>
    <col min="14593" max="14593" width="40.28515625" style="52" bestFit="1" customWidth="1"/>
    <col min="14594" max="14594" width="10" style="52" customWidth="1"/>
    <col min="14595" max="14595" width="10.140625" style="52" customWidth="1"/>
    <col min="14596" max="14596" width="12.28515625" style="52" customWidth="1"/>
    <col min="14597" max="14597" width="15.7109375" style="52" customWidth="1"/>
    <col min="14598" max="14598" width="12.85546875" style="52" customWidth="1"/>
    <col min="14599" max="14599" width="12.7109375" style="52" customWidth="1"/>
    <col min="14600" max="14600" width="12.85546875" style="52" customWidth="1"/>
    <col min="14601" max="14601" width="14.42578125" style="52" customWidth="1"/>
    <col min="14602" max="14846" width="9.140625" style="52"/>
    <col min="14847" max="14847" width="2.7109375" style="52" customWidth="1"/>
    <col min="14848" max="14848" width="9.140625" style="52"/>
    <col min="14849" max="14849" width="40.28515625" style="52" bestFit="1" customWidth="1"/>
    <col min="14850" max="14850" width="10" style="52" customWidth="1"/>
    <col min="14851" max="14851" width="10.140625" style="52" customWidth="1"/>
    <col min="14852" max="14852" width="12.28515625" style="52" customWidth="1"/>
    <col min="14853" max="14853" width="15.7109375" style="52" customWidth="1"/>
    <col min="14854" max="14854" width="12.85546875" style="52" customWidth="1"/>
    <col min="14855" max="14855" width="12.7109375" style="52" customWidth="1"/>
    <col min="14856" max="14856" width="12.85546875" style="52" customWidth="1"/>
    <col min="14857" max="14857" width="14.42578125" style="52" customWidth="1"/>
    <col min="14858" max="15102" width="9.140625" style="52"/>
    <col min="15103" max="15103" width="2.7109375" style="52" customWidth="1"/>
    <col min="15104" max="15104" width="9.140625" style="52"/>
    <col min="15105" max="15105" width="40.28515625" style="52" bestFit="1" customWidth="1"/>
    <col min="15106" max="15106" width="10" style="52" customWidth="1"/>
    <col min="15107" max="15107" width="10.140625" style="52" customWidth="1"/>
    <col min="15108" max="15108" width="12.28515625" style="52" customWidth="1"/>
    <col min="15109" max="15109" width="15.7109375" style="52" customWidth="1"/>
    <col min="15110" max="15110" width="12.85546875" style="52" customWidth="1"/>
    <col min="15111" max="15111" width="12.7109375" style="52" customWidth="1"/>
    <col min="15112" max="15112" width="12.85546875" style="52" customWidth="1"/>
    <col min="15113" max="15113" width="14.42578125" style="52" customWidth="1"/>
    <col min="15114" max="15358" width="9.140625" style="52"/>
    <col min="15359" max="15359" width="2.7109375" style="52" customWidth="1"/>
    <col min="15360" max="15360" width="9.140625" style="52"/>
    <col min="15361" max="15361" width="40.28515625" style="52" bestFit="1" customWidth="1"/>
    <col min="15362" max="15362" width="10" style="52" customWidth="1"/>
    <col min="15363" max="15363" width="10.140625" style="52" customWidth="1"/>
    <col min="15364" max="15364" width="12.28515625" style="52" customWidth="1"/>
    <col min="15365" max="15365" width="15.7109375" style="52" customWidth="1"/>
    <col min="15366" max="15366" width="12.85546875" style="52" customWidth="1"/>
    <col min="15367" max="15367" width="12.7109375" style="52" customWidth="1"/>
    <col min="15368" max="15368" width="12.85546875" style="52" customWidth="1"/>
    <col min="15369" max="15369" width="14.42578125" style="52" customWidth="1"/>
    <col min="15370" max="15614" width="9.140625" style="52"/>
    <col min="15615" max="15615" width="2.7109375" style="52" customWidth="1"/>
    <col min="15616" max="15616" width="9.140625" style="52"/>
    <col min="15617" max="15617" width="40.28515625" style="52" bestFit="1" customWidth="1"/>
    <col min="15618" max="15618" width="10" style="52" customWidth="1"/>
    <col min="15619" max="15619" width="10.140625" style="52" customWidth="1"/>
    <col min="15620" max="15620" width="12.28515625" style="52" customWidth="1"/>
    <col min="15621" max="15621" width="15.7109375" style="52" customWidth="1"/>
    <col min="15622" max="15622" width="12.85546875" style="52" customWidth="1"/>
    <col min="15623" max="15623" width="12.7109375" style="52" customWidth="1"/>
    <col min="15624" max="15624" width="12.85546875" style="52" customWidth="1"/>
    <col min="15625" max="15625" width="14.42578125" style="52" customWidth="1"/>
    <col min="15626" max="15870" width="9.140625" style="52"/>
    <col min="15871" max="15871" width="2.7109375" style="52" customWidth="1"/>
    <col min="15872" max="15872" width="9.140625" style="52"/>
    <col min="15873" max="15873" width="40.28515625" style="52" bestFit="1" customWidth="1"/>
    <col min="15874" max="15874" width="10" style="52" customWidth="1"/>
    <col min="15875" max="15875" width="10.140625" style="52" customWidth="1"/>
    <col min="15876" max="15876" width="12.28515625" style="52" customWidth="1"/>
    <col min="15877" max="15877" width="15.7109375" style="52" customWidth="1"/>
    <col min="15878" max="15878" width="12.85546875" style="52" customWidth="1"/>
    <col min="15879" max="15879" width="12.7109375" style="52" customWidth="1"/>
    <col min="15880" max="15880" width="12.85546875" style="52" customWidth="1"/>
    <col min="15881" max="15881" width="14.42578125" style="52" customWidth="1"/>
    <col min="15882" max="16126" width="9.140625" style="52"/>
    <col min="16127" max="16127" width="2.7109375" style="52" customWidth="1"/>
    <col min="16128" max="16128" width="9.140625" style="52"/>
    <col min="16129" max="16129" width="40.28515625" style="52" bestFit="1" customWidth="1"/>
    <col min="16130" max="16130" width="10" style="52" customWidth="1"/>
    <col min="16131" max="16131" width="10.140625" style="52" customWidth="1"/>
    <col min="16132" max="16132" width="12.28515625" style="52" customWidth="1"/>
    <col min="16133" max="16133" width="15.7109375" style="52" customWidth="1"/>
    <col min="16134" max="16134" width="12.85546875" style="52" customWidth="1"/>
    <col min="16135" max="16135" width="12.7109375" style="52" customWidth="1"/>
    <col min="16136" max="16136" width="12.85546875" style="52" customWidth="1"/>
    <col min="16137" max="16137" width="14.42578125" style="52" customWidth="1"/>
    <col min="16138" max="16384" width="9.140625" style="52"/>
  </cols>
  <sheetData>
    <row r="1" spans="1:13" x14ac:dyDescent="0.2">
      <c r="C1" s="155"/>
      <c r="D1" s="154"/>
      <c r="E1" s="155"/>
      <c r="F1" s="155"/>
      <c r="G1" s="155"/>
      <c r="H1" s="155"/>
      <c r="I1" s="155"/>
      <c r="J1" s="152" t="s">
        <v>301</v>
      </c>
      <c r="K1" s="1092" t="str">
        <f>EBNUMBER</f>
        <v>EB-2016-0066</v>
      </c>
      <c r="M1" s="155"/>
    </row>
    <row r="2" spans="1:13" x14ac:dyDescent="0.2">
      <c r="C2" s="155"/>
      <c r="D2" s="154"/>
      <c r="E2" s="155"/>
      <c r="F2" s="155"/>
      <c r="G2" s="155"/>
      <c r="H2" s="155"/>
      <c r="I2" s="155"/>
      <c r="J2" s="152" t="s">
        <v>302</v>
      </c>
      <c r="K2" s="51"/>
      <c r="M2" s="155"/>
    </row>
    <row r="3" spans="1:13" x14ac:dyDescent="0.2">
      <c r="C3" s="155"/>
      <c r="D3" s="154"/>
      <c r="E3" s="155"/>
      <c r="F3" s="155"/>
      <c r="G3" s="155"/>
      <c r="H3" s="155"/>
      <c r="I3" s="155"/>
      <c r="J3" s="152" t="s">
        <v>303</v>
      </c>
      <c r="K3" s="51"/>
      <c r="M3" s="155"/>
    </row>
    <row r="4" spans="1:13" x14ac:dyDescent="0.2">
      <c r="C4" s="155"/>
      <c r="D4" s="154"/>
      <c r="E4" s="155"/>
      <c r="F4" s="155"/>
      <c r="G4" s="155"/>
      <c r="H4" s="155"/>
      <c r="I4" s="155"/>
      <c r="J4" s="152" t="s">
        <v>304</v>
      </c>
      <c r="K4" s="51"/>
      <c r="M4" s="155"/>
    </row>
    <row r="5" spans="1:13" x14ac:dyDescent="0.2">
      <c r="C5" s="155"/>
      <c r="D5" s="154"/>
      <c r="E5" s="155"/>
      <c r="F5" s="155"/>
      <c r="G5" s="155"/>
      <c r="H5" s="155"/>
      <c r="I5" s="155"/>
      <c r="J5" s="152" t="s">
        <v>305</v>
      </c>
      <c r="K5" s="1093"/>
      <c r="M5" s="155"/>
    </row>
    <row r="6" spans="1:13" x14ac:dyDescent="0.2">
      <c r="C6" s="155"/>
      <c r="D6" s="154"/>
      <c r="E6" s="155"/>
      <c r="F6" s="155"/>
      <c r="G6" s="155"/>
      <c r="H6" s="155"/>
      <c r="I6" s="155"/>
      <c r="J6" s="152"/>
      <c r="K6" s="1092"/>
      <c r="M6" s="155"/>
    </row>
    <row r="7" spans="1:13" x14ac:dyDescent="0.2">
      <c r="C7" s="155"/>
      <c r="D7" s="154"/>
      <c r="E7" s="155"/>
      <c r="F7" s="155"/>
      <c r="G7" s="155"/>
      <c r="H7" s="155"/>
      <c r="I7" s="155"/>
      <c r="J7" s="152" t="s">
        <v>306</v>
      </c>
      <c r="K7" s="1093"/>
      <c r="M7" s="239"/>
    </row>
    <row r="9" spans="1:13" ht="18" x14ac:dyDescent="0.2">
      <c r="A9" s="1679" t="s">
        <v>1445</v>
      </c>
      <c r="B9" s="1679"/>
      <c r="C9" s="1679"/>
      <c r="D9" s="1679"/>
      <c r="E9" s="1679"/>
      <c r="F9" s="1679"/>
      <c r="G9" s="1679"/>
      <c r="H9" s="1679"/>
      <c r="I9" s="1679"/>
    </row>
    <row r="10" spans="1:13" ht="18" x14ac:dyDescent="0.2">
      <c r="A10" s="1679" t="s">
        <v>2</v>
      </c>
      <c r="B10" s="1679"/>
      <c r="C10" s="1679"/>
      <c r="D10" s="1679"/>
      <c r="E10" s="1679"/>
      <c r="F10" s="1679"/>
      <c r="G10" s="1679"/>
      <c r="H10" s="1679"/>
      <c r="I10" s="1679"/>
    </row>
    <row r="11" spans="1:13" ht="24" customHeight="1" x14ac:dyDescent="0.2">
      <c r="A11" s="1680" t="s">
        <v>1061</v>
      </c>
      <c r="B11" s="1680"/>
      <c r="C11" s="1680"/>
      <c r="D11" s="1680"/>
      <c r="E11" s="1680"/>
      <c r="F11" s="1680"/>
      <c r="G11" s="1680"/>
      <c r="H11" s="1680"/>
      <c r="I11" s="295"/>
      <c r="J11" s="295"/>
    </row>
    <row r="12" spans="1:13" ht="24" customHeight="1" x14ac:dyDescent="0.2">
      <c r="A12" s="1109"/>
      <c r="B12" s="1109"/>
      <c r="C12" s="1109"/>
      <c r="D12" s="1109"/>
      <c r="E12" s="1109"/>
      <c r="F12" s="1109"/>
      <c r="G12" s="1109"/>
      <c r="H12" s="1109"/>
      <c r="I12" s="295"/>
      <c r="J12" s="295"/>
    </row>
    <row r="13" spans="1:13" ht="51.75" customHeight="1" x14ac:dyDescent="0.25">
      <c r="A13" s="1700" t="s">
        <v>1042</v>
      </c>
      <c r="B13" s="1701"/>
      <c r="C13" s="878"/>
      <c r="D13" s="1115"/>
      <c r="E13" s="1110"/>
      <c r="F13" s="1110"/>
      <c r="G13" s="1110"/>
      <c r="H13" s="1109"/>
      <c r="I13" s="1109"/>
      <c r="J13" s="1116" t="s">
        <v>1057</v>
      </c>
      <c r="K13" s="1116" t="s">
        <v>882</v>
      </c>
    </row>
    <row r="14" spans="1:13" ht="42.75" customHeight="1" x14ac:dyDescent="0.2">
      <c r="A14" s="1693" t="s">
        <v>1101</v>
      </c>
      <c r="B14" s="1694"/>
      <c r="C14" s="1682" t="s">
        <v>1076</v>
      </c>
      <c r="D14" s="1652"/>
      <c r="E14" s="1652"/>
      <c r="F14" s="1652"/>
      <c r="G14" s="1652"/>
      <c r="H14" s="1652"/>
      <c r="I14" s="1652"/>
      <c r="J14" s="1118">
        <v>2016</v>
      </c>
      <c r="K14" s="1125" t="s">
        <v>105</v>
      </c>
    </row>
    <row r="15" spans="1:13" ht="24" customHeight="1" x14ac:dyDescent="0.2">
      <c r="A15" s="1693" t="s">
        <v>1102</v>
      </c>
      <c r="B15" s="1694"/>
      <c r="C15" s="1682" t="s">
        <v>1077</v>
      </c>
      <c r="D15" s="1652"/>
      <c r="E15" s="1652"/>
      <c r="F15" s="1652"/>
      <c r="G15" s="1652"/>
      <c r="H15" s="1652"/>
      <c r="I15" s="1652"/>
      <c r="J15" s="1118">
        <v>2017</v>
      </c>
      <c r="K15" s="1125" t="s">
        <v>105</v>
      </c>
    </row>
    <row r="16" spans="1:13" ht="13.5" customHeight="1" x14ac:dyDescent="0.25">
      <c r="A16" s="1046"/>
      <c r="B16" s="1046"/>
      <c r="C16" s="274"/>
      <c r="D16" s="274"/>
      <c r="E16" s="1046"/>
      <c r="F16" s="1046"/>
      <c r="G16" s="1046"/>
      <c r="H16" s="1046"/>
    </row>
    <row r="17" spans="1:11" ht="13.5" thickBot="1" x14ac:dyDescent="0.25"/>
    <row r="18" spans="1:11" ht="62.25" customHeight="1" x14ac:dyDescent="0.2">
      <c r="A18" s="313" t="s">
        <v>3</v>
      </c>
      <c r="B18" s="1687" t="s">
        <v>235</v>
      </c>
      <c r="C18" s="245" t="s">
        <v>237</v>
      </c>
      <c r="D18" s="245" t="s">
        <v>395</v>
      </c>
      <c r="E18" s="245" t="s">
        <v>385</v>
      </c>
      <c r="F18" s="277" t="s">
        <v>1086</v>
      </c>
      <c r="G18" s="1697" t="s">
        <v>1062</v>
      </c>
      <c r="H18" s="277" t="s">
        <v>388</v>
      </c>
      <c r="I18" s="277" t="s">
        <v>1047</v>
      </c>
      <c r="J18" s="1697" t="s">
        <v>1088</v>
      </c>
      <c r="K18" s="277" t="s">
        <v>1055</v>
      </c>
    </row>
    <row r="19" spans="1:11" ht="57.75" customHeight="1" thickBot="1" x14ac:dyDescent="0.25">
      <c r="A19" s="314"/>
      <c r="B19" s="1696"/>
      <c r="C19" s="278" t="s">
        <v>5</v>
      </c>
      <c r="D19" s="278" t="s">
        <v>7</v>
      </c>
      <c r="E19" s="278" t="s">
        <v>8</v>
      </c>
      <c r="F19" s="296" t="s">
        <v>1087</v>
      </c>
      <c r="G19" s="1698"/>
      <c r="H19" s="281" t="s">
        <v>382</v>
      </c>
      <c r="I19" s="281" t="s">
        <v>396</v>
      </c>
      <c r="J19" s="1699"/>
      <c r="K19" s="297" t="s">
        <v>1056</v>
      </c>
    </row>
    <row r="20" spans="1:11" ht="25.5" x14ac:dyDescent="0.2">
      <c r="A20" s="315">
        <v>1611</v>
      </c>
      <c r="B20" s="316" t="s">
        <v>381</v>
      </c>
      <c r="C20" s="173"/>
      <c r="D20" s="317"/>
      <c r="E20" s="318">
        <f t="shared" ref="E20:E57" si="0">IF(D20=0,0,1/D20)</f>
        <v>0</v>
      </c>
      <c r="F20" s="191">
        <f>IF(D20=0,'App.2-CE_DepExp_Yr4'!K20,+'App.2-CE_DepExp_Yr4'!K20+((C20*0.5)/D20))</f>
        <v>0</v>
      </c>
      <c r="G20" s="323"/>
      <c r="H20" s="191">
        <f t="shared" ref="H20:H57" si="1">IF(ISERROR(+F20-G20), 0, +F20-G20)</f>
        <v>0</v>
      </c>
      <c r="I20" s="191">
        <f>IF(D20=0,0,+(C20)/D20)</f>
        <v>0</v>
      </c>
      <c r="J20" s="173"/>
      <c r="K20" s="191">
        <f>IF(ISERROR(+I20+'App.2-CE_DepExp_Yr4'!K20-J20), 0, +'App.2-CE_DepExp_Yr4'!K20-J20)</f>
        <v>0</v>
      </c>
    </row>
    <row r="21" spans="1:11" x14ac:dyDescent="0.2">
      <c r="A21" s="1064">
        <v>1612</v>
      </c>
      <c r="B21" s="172" t="s">
        <v>442</v>
      </c>
      <c r="C21" s="173"/>
      <c r="D21" s="250"/>
      <c r="E21" s="252">
        <f t="shared" si="0"/>
        <v>0</v>
      </c>
      <c r="F21" s="191">
        <f>IF(D21=0,'App.2-CE_DepExp_Yr4'!K21,+'App.2-CE_DepExp_Yr4'!K21+((C21*0.5)/D21))</f>
        <v>0</v>
      </c>
      <c r="G21" s="324"/>
      <c r="H21" s="191">
        <f t="shared" si="1"/>
        <v>0</v>
      </c>
      <c r="I21" s="191">
        <f t="shared" ref="I21:I57" si="2">IF(D21=0,0,+(C21)/D21)</f>
        <v>0</v>
      </c>
      <c r="J21" s="173"/>
      <c r="K21" s="191">
        <f>IF(ISERROR(+I21+'App.2-CE_DepExp_Yr4'!K21-J21), 0, +'App.2-CE_DepExp_Yr4'!K21-J21)</f>
        <v>0</v>
      </c>
    </row>
    <row r="22" spans="1:11" x14ac:dyDescent="0.2">
      <c r="A22" s="253">
        <v>1805</v>
      </c>
      <c r="B22" s="179" t="s">
        <v>267</v>
      </c>
      <c r="C22" s="173"/>
      <c r="D22" s="250"/>
      <c r="E22" s="252">
        <f t="shared" si="0"/>
        <v>0</v>
      </c>
      <c r="F22" s="191">
        <f>IF(D22=0,'App.2-CE_DepExp_Yr4'!K22,+'App.2-CE_DepExp_Yr4'!K22+((C22*0.5)/D22))</f>
        <v>0</v>
      </c>
      <c r="G22" s="324"/>
      <c r="H22" s="191">
        <f t="shared" si="1"/>
        <v>0</v>
      </c>
      <c r="I22" s="191">
        <f t="shared" si="2"/>
        <v>0</v>
      </c>
      <c r="J22" s="173"/>
      <c r="K22" s="191">
        <f>IF(ISERROR(+I22+'App.2-CE_DepExp_Yr4'!K22-J22), 0, +'App.2-CE_DepExp_Yr4'!K22-J22)</f>
        <v>0</v>
      </c>
    </row>
    <row r="23" spans="1:11" x14ac:dyDescent="0.2">
      <c r="A23" s="1064">
        <v>1808</v>
      </c>
      <c r="B23" s="180" t="s">
        <v>268</v>
      </c>
      <c r="C23" s="173"/>
      <c r="D23" s="250"/>
      <c r="E23" s="252">
        <f t="shared" si="0"/>
        <v>0</v>
      </c>
      <c r="F23" s="191">
        <f>IF(D23=0,'App.2-CE_DepExp_Yr4'!K23,+'App.2-CE_DepExp_Yr4'!K23+((C23*0.5)/D23))</f>
        <v>0</v>
      </c>
      <c r="G23" s="324"/>
      <c r="H23" s="191">
        <f t="shared" si="1"/>
        <v>0</v>
      </c>
      <c r="I23" s="191">
        <f t="shared" si="2"/>
        <v>0</v>
      </c>
      <c r="J23" s="173"/>
      <c r="K23" s="191">
        <f>IF(ISERROR(+I23+'App.2-CE_DepExp_Yr4'!K23-J23), 0, +'App.2-CE_DepExp_Yr4'!K23-J23)</f>
        <v>0</v>
      </c>
    </row>
    <row r="24" spans="1:11" x14ac:dyDescent="0.2">
      <c r="A24" s="1064">
        <v>1810</v>
      </c>
      <c r="B24" s="180" t="s">
        <v>299</v>
      </c>
      <c r="C24" s="173"/>
      <c r="D24" s="250"/>
      <c r="E24" s="252">
        <f t="shared" si="0"/>
        <v>0</v>
      </c>
      <c r="F24" s="191">
        <f>IF(D24=0,'App.2-CE_DepExp_Yr4'!K24,+'App.2-CE_DepExp_Yr4'!K24+((C24*0.5)/D24))</f>
        <v>0</v>
      </c>
      <c r="G24" s="324"/>
      <c r="H24" s="191">
        <f t="shared" si="1"/>
        <v>0</v>
      </c>
      <c r="I24" s="191">
        <f t="shared" si="2"/>
        <v>0</v>
      </c>
      <c r="J24" s="173"/>
      <c r="K24" s="191">
        <f>IF(ISERROR(+I24+'App.2-CE_DepExp_Yr4'!K24-J24), 0, +'App.2-CE_DepExp_Yr4'!K24-J24)</f>
        <v>0</v>
      </c>
    </row>
    <row r="25" spans="1:11" x14ac:dyDescent="0.2">
      <c r="A25" s="1064">
        <v>1815</v>
      </c>
      <c r="B25" s="180" t="s">
        <v>269</v>
      </c>
      <c r="C25" s="173"/>
      <c r="D25" s="250"/>
      <c r="E25" s="252">
        <f t="shared" si="0"/>
        <v>0</v>
      </c>
      <c r="F25" s="191">
        <f>IF(D25=0,'App.2-CE_DepExp_Yr4'!K25,+'App.2-CE_DepExp_Yr4'!K25+((C25*0.5)/D25))</f>
        <v>0</v>
      </c>
      <c r="G25" s="324"/>
      <c r="H25" s="191">
        <f t="shared" si="1"/>
        <v>0</v>
      </c>
      <c r="I25" s="191">
        <f t="shared" si="2"/>
        <v>0</v>
      </c>
      <c r="J25" s="173"/>
      <c r="K25" s="191">
        <f>IF(ISERROR(+I25+'App.2-CE_DepExp_Yr4'!K25-J25), 0, +'App.2-CE_DepExp_Yr4'!K25-J25)</f>
        <v>0</v>
      </c>
    </row>
    <row r="26" spans="1:11" x14ac:dyDescent="0.2">
      <c r="A26" s="1064">
        <v>1820</v>
      </c>
      <c r="B26" s="172" t="s">
        <v>207</v>
      </c>
      <c r="C26" s="173"/>
      <c r="D26" s="250"/>
      <c r="E26" s="252">
        <f t="shared" si="0"/>
        <v>0</v>
      </c>
      <c r="F26" s="191">
        <f>IF(D26=0,'App.2-CE_DepExp_Yr4'!K26,+'App.2-CE_DepExp_Yr4'!K26+((C26*0.5)/D26))</f>
        <v>0</v>
      </c>
      <c r="G26" s="324"/>
      <c r="H26" s="191">
        <f t="shared" si="1"/>
        <v>0</v>
      </c>
      <c r="I26" s="191">
        <f t="shared" si="2"/>
        <v>0</v>
      </c>
      <c r="J26" s="173"/>
      <c r="K26" s="191">
        <f>IF(ISERROR(+I26+'App.2-CE_DepExp_Yr4'!K26-J26), 0, +'App.2-CE_DepExp_Yr4'!K26-J26)</f>
        <v>0</v>
      </c>
    </row>
    <row r="27" spans="1:11" x14ac:dyDescent="0.2">
      <c r="A27" s="1064">
        <v>1825</v>
      </c>
      <c r="B27" s="180" t="s">
        <v>270</v>
      </c>
      <c r="C27" s="173"/>
      <c r="D27" s="250"/>
      <c r="E27" s="252">
        <f t="shared" si="0"/>
        <v>0</v>
      </c>
      <c r="F27" s="191">
        <f>IF(D27=0,'App.2-CE_DepExp_Yr4'!K27,+'App.2-CE_DepExp_Yr4'!K27+((C27*0.5)/D27))</f>
        <v>0</v>
      </c>
      <c r="G27" s="324"/>
      <c r="H27" s="191">
        <f t="shared" si="1"/>
        <v>0</v>
      </c>
      <c r="I27" s="191">
        <f t="shared" si="2"/>
        <v>0</v>
      </c>
      <c r="J27" s="173"/>
      <c r="K27" s="191">
        <f>IF(ISERROR(+I27+'App.2-CE_DepExp_Yr4'!K27-J27), 0, +'App.2-CE_DepExp_Yr4'!K27-J27)</f>
        <v>0</v>
      </c>
    </row>
    <row r="28" spans="1:11" x14ac:dyDescent="0.2">
      <c r="A28" s="1064">
        <v>1830</v>
      </c>
      <c r="B28" s="180" t="s">
        <v>271</v>
      </c>
      <c r="C28" s="173"/>
      <c r="D28" s="250"/>
      <c r="E28" s="252">
        <f t="shared" si="0"/>
        <v>0</v>
      </c>
      <c r="F28" s="191">
        <f>IF(D28=0,'App.2-CE_DepExp_Yr4'!K28,+'App.2-CE_DepExp_Yr4'!K28+((C28*0.5)/D28))</f>
        <v>0</v>
      </c>
      <c r="G28" s="324"/>
      <c r="H28" s="191">
        <f t="shared" si="1"/>
        <v>0</v>
      </c>
      <c r="I28" s="191">
        <f t="shared" si="2"/>
        <v>0</v>
      </c>
      <c r="J28" s="173"/>
      <c r="K28" s="191">
        <f>IF(ISERROR(+I28+'App.2-CE_DepExp_Yr4'!K28-J28), 0, +'App.2-CE_DepExp_Yr4'!K28-J28)</f>
        <v>0</v>
      </c>
    </row>
    <row r="29" spans="1:11" x14ac:dyDescent="0.2">
      <c r="A29" s="1064">
        <v>1835</v>
      </c>
      <c r="B29" s="180" t="s">
        <v>208</v>
      </c>
      <c r="C29" s="173"/>
      <c r="D29" s="250"/>
      <c r="E29" s="252">
        <f t="shared" si="0"/>
        <v>0</v>
      </c>
      <c r="F29" s="191">
        <f>IF(D29=0,'App.2-CE_DepExp_Yr4'!K29,+'App.2-CE_DepExp_Yr4'!K29+((C29*0.5)/D29))</f>
        <v>0</v>
      </c>
      <c r="G29" s="324"/>
      <c r="H29" s="191">
        <f t="shared" si="1"/>
        <v>0</v>
      </c>
      <c r="I29" s="191">
        <f t="shared" si="2"/>
        <v>0</v>
      </c>
      <c r="J29" s="173"/>
      <c r="K29" s="191">
        <f>IF(ISERROR(+I29+'App.2-CE_DepExp_Yr4'!K29-J29), 0, +'App.2-CE_DepExp_Yr4'!K29-J29)</f>
        <v>0</v>
      </c>
    </row>
    <row r="30" spans="1:11" x14ac:dyDescent="0.2">
      <c r="A30" s="1064">
        <v>1840</v>
      </c>
      <c r="B30" s="180" t="s">
        <v>209</v>
      </c>
      <c r="C30" s="173"/>
      <c r="D30" s="250"/>
      <c r="E30" s="252">
        <f t="shared" si="0"/>
        <v>0</v>
      </c>
      <c r="F30" s="191">
        <f>IF(D30=0,'App.2-CE_DepExp_Yr4'!K30,+'App.2-CE_DepExp_Yr4'!K30+((C30*0.5)/D30))</f>
        <v>0</v>
      </c>
      <c r="G30" s="324"/>
      <c r="H30" s="191">
        <f t="shared" si="1"/>
        <v>0</v>
      </c>
      <c r="I30" s="191">
        <f t="shared" si="2"/>
        <v>0</v>
      </c>
      <c r="J30" s="173"/>
      <c r="K30" s="191">
        <f>IF(ISERROR(+I30+'App.2-CE_DepExp_Yr4'!K30-J30), 0, +'App.2-CE_DepExp_Yr4'!K30-J30)</f>
        <v>0</v>
      </c>
    </row>
    <row r="31" spans="1:11" x14ac:dyDescent="0.2">
      <c r="A31" s="1064">
        <v>1845</v>
      </c>
      <c r="B31" s="180" t="s">
        <v>210</v>
      </c>
      <c r="C31" s="173"/>
      <c r="D31" s="250"/>
      <c r="E31" s="252">
        <f t="shared" si="0"/>
        <v>0</v>
      </c>
      <c r="F31" s="191">
        <f>IF(D31=0,'App.2-CE_DepExp_Yr4'!K31,+'App.2-CE_DepExp_Yr4'!K31+((C31*0.5)/D31))</f>
        <v>0</v>
      </c>
      <c r="G31" s="324"/>
      <c r="H31" s="191">
        <f t="shared" si="1"/>
        <v>0</v>
      </c>
      <c r="I31" s="191">
        <f t="shared" si="2"/>
        <v>0</v>
      </c>
      <c r="J31" s="173"/>
      <c r="K31" s="191">
        <f>IF(ISERROR(+I31+'App.2-CE_DepExp_Yr4'!K31-J31), 0, +'App.2-CE_DepExp_Yr4'!K31-J31)</f>
        <v>0</v>
      </c>
    </row>
    <row r="32" spans="1:11" x14ac:dyDescent="0.2">
      <c r="A32" s="1064">
        <v>1850</v>
      </c>
      <c r="B32" s="180" t="s">
        <v>272</v>
      </c>
      <c r="C32" s="173"/>
      <c r="D32" s="250"/>
      <c r="E32" s="252">
        <f t="shared" si="0"/>
        <v>0</v>
      </c>
      <c r="F32" s="191">
        <f>IF(D32=0,'App.2-CE_DepExp_Yr4'!K32,+'App.2-CE_DepExp_Yr4'!K32+((C32*0.5)/D32))</f>
        <v>0</v>
      </c>
      <c r="G32" s="324"/>
      <c r="H32" s="191">
        <f t="shared" si="1"/>
        <v>0</v>
      </c>
      <c r="I32" s="191">
        <f t="shared" si="2"/>
        <v>0</v>
      </c>
      <c r="J32" s="173"/>
      <c r="K32" s="191">
        <f>IF(ISERROR(+I32+'App.2-CE_DepExp_Yr4'!K32-J32), 0, +'App.2-CE_DepExp_Yr4'!K32-J32)</f>
        <v>0</v>
      </c>
    </row>
    <row r="33" spans="1:11" x14ac:dyDescent="0.2">
      <c r="A33" s="1064">
        <v>1855</v>
      </c>
      <c r="B33" s="180" t="s">
        <v>211</v>
      </c>
      <c r="C33" s="173"/>
      <c r="D33" s="250"/>
      <c r="E33" s="252">
        <f t="shared" si="0"/>
        <v>0</v>
      </c>
      <c r="F33" s="191">
        <f>IF(D33=0,'App.2-CE_DepExp_Yr4'!K33,+'App.2-CE_DepExp_Yr4'!K33+((C33*0.5)/D33))</f>
        <v>0</v>
      </c>
      <c r="G33" s="324"/>
      <c r="H33" s="191">
        <f t="shared" si="1"/>
        <v>0</v>
      </c>
      <c r="I33" s="191">
        <f t="shared" si="2"/>
        <v>0</v>
      </c>
      <c r="J33" s="173"/>
      <c r="K33" s="191">
        <f>IF(ISERROR(+I33+'App.2-CE_DepExp_Yr4'!K33-J33), 0, +'App.2-CE_DepExp_Yr4'!K33-J33)</f>
        <v>0</v>
      </c>
    </row>
    <row r="34" spans="1:11" x14ac:dyDescent="0.2">
      <c r="A34" s="1064">
        <v>1860</v>
      </c>
      <c r="B34" s="180" t="s">
        <v>273</v>
      </c>
      <c r="C34" s="173"/>
      <c r="D34" s="250"/>
      <c r="E34" s="252">
        <f t="shared" si="0"/>
        <v>0</v>
      </c>
      <c r="F34" s="191">
        <f>IF(D34=0,'App.2-CE_DepExp_Yr4'!K34,+'App.2-CE_DepExp_Yr4'!K34+((C34*0.5)/D34))</f>
        <v>0</v>
      </c>
      <c r="G34" s="324"/>
      <c r="H34" s="191">
        <f t="shared" si="1"/>
        <v>0</v>
      </c>
      <c r="I34" s="191">
        <f t="shared" si="2"/>
        <v>0</v>
      </c>
      <c r="J34" s="173"/>
      <c r="K34" s="191">
        <f>IF(ISERROR(+I34+'App.2-CE_DepExp_Yr4'!K34-J34), 0, +'App.2-CE_DepExp_Yr4'!K34-J34)</f>
        <v>0</v>
      </c>
    </row>
    <row r="35" spans="1:11" x14ac:dyDescent="0.2">
      <c r="A35" s="253">
        <v>1860</v>
      </c>
      <c r="B35" s="179" t="s">
        <v>212</v>
      </c>
      <c r="C35" s="173"/>
      <c r="D35" s="250"/>
      <c r="E35" s="252">
        <f t="shared" si="0"/>
        <v>0</v>
      </c>
      <c r="F35" s="191">
        <f>IF(D35=0,'App.2-CE_DepExp_Yr4'!K35,+'App.2-CE_DepExp_Yr4'!K35+((C35*0.5)/D35))</f>
        <v>0</v>
      </c>
      <c r="G35" s="324"/>
      <c r="H35" s="191">
        <f t="shared" si="1"/>
        <v>0</v>
      </c>
      <c r="I35" s="191">
        <f t="shared" si="2"/>
        <v>0</v>
      </c>
      <c r="J35" s="173"/>
      <c r="K35" s="191">
        <f>IF(ISERROR(+I35+'App.2-CE_DepExp_Yr4'!K35-J35), 0, +'App.2-CE_DepExp_Yr4'!K35-J35)</f>
        <v>0</v>
      </c>
    </row>
    <row r="36" spans="1:11" x14ac:dyDescent="0.2">
      <c r="A36" s="253">
        <v>1905</v>
      </c>
      <c r="B36" s="179" t="s">
        <v>267</v>
      </c>
      <c r="C36" s="173"/>
      <c r="D36" s="250"/>
      <c r="E36" s="252">
        <f t="shared" si="0"/>
        <v>0</v>
      </c>
      <c r="F36" s="191">
        <f>IF(D36=0,'App.2-CE_DepExp_Yr4'!K36,+'App.2-CE_DepExp_Yr4'!K36+((C36*0.5)/D36))</f>
        <v>0</v>
      </c>
      <c r="G36" s="324"/>
      <c r="H36" s="191">
        <f t="shared" si="1"/>
        <v>0</v>
      </c>
      <c r="I36" s="191">
        <f t="shared" si="2"/>
        <v>0</v>
      </c>
      <c r="J36" s="173"/>
      <c r="K36" s="191">
        <f>IF(ISERROR(+I36+'App.2-CE_DepExp_Yr4'!K36-J36), 0, +'App.2-CE_DepExp_Yr4'!K36-J36)</f>
        <v>0</v>
      </c>
    </row>
    <row r="37" spans="1:11" x14ac:dyDescent="0.2">
      <c r="A37" s="1064">
        <v>1908</v>
      </c>
      <c r="B37" s="180" t="s">
        <v>275</v>
      </c>
      <c r="C37" s="173"/>
      <c r="D37" s="250"/>
      <c r="E37" s="252">
        <f t="shared" si="0"/>
        <v>0</v>
      </c>
      <c r="F37" s="191">
        <f>IF(D37=0,'App.2-CE_DepExp_Yr4'!K37,+'App.2-CE_DepExp_Yr4'!K37+((C37*0.5)/D37))</f>
        <v>0</v>
      </c>
      <c r="G37" s="324"/>
      <c r="H37" s="191">
        <f t="shared" si="1"/>
        <v>0</v>
      </c>
      <c r="I37" s="191">
        <f t="shared" si="2"/>
        <v>0</v>
      </c>
      <c r="J37" s="173"/>
      <c r="K37" s="191">
        <f>IF(ISERROR(+I37+'App.2-CE_DepExp_Yr4'!K37-J37), 0, +'App.2-CE_DepExp_Yr4'!K37-J37)</f>
        <v>0</v>
      </c>
    </row>
    <row r="38" spans="1:11" x14ac:dyDescent="0.2">
      <c r="A38" s="1064">
        <v>1910</v>
      </c>
      <c r="B38" s="180" t="s">
        <v>299</v>
      </c>
      <c r="C38" s="173"/>
      <c r="D38" s="250"/>
      <c r="E38" s="252">
        <f t="shared" si="0"/>
        <v>0</v>
      </c>
      <c r="F38" s="191">
        <f>IF(D38=0,'App.2-CE_DepExp_Yr4'!K38,+'App.2-CE_DepExp_Yr4'!K38+((C38*0.5)/D38))</f>
        <v>0</v>
      </c>
      <c r="G38" s="324"/>
      <c r="H38" s="191">
        <f t="shared" si="1"/>
        <v>0</v>
      </c>
      <c r="I38" s="191">
        <f t="shared" si="2"/>
        <v>0</v>
      </c>
      <c r="J38" s="173"/>
      <c r="K38" s="191">
        <f>IF(ISERROR(+I38+'App.2-CE_DepExp_Yr4'!K38-J38), 0, +'App.2-CE_DepExp_Yr4'!K38-J38)</f>
        <v>0</v>
      </c>
    </row>
    <row r="39" spans="1:11" x14ac:dyDescent="0.2">
      <c r="A39" s="1064">
        <v>1915</v>
      </c>
      <c r="B39" s="180" t="s">
        <v>213</v>
      </c>
      <c r="C39" s="173"/>
      <c r="D39" s="250"/>
      <c r="E39" s="252">
        <f t="shared" si="0"/>
        <v>0</v>
      </c>
      <c r="F39" s="191">
        <f>IF(D39=0,'App.2-CE_DepExp_Yr4'!K39,+'App.2-CE_DepExp_Yr4'!K39+((C39*0.5)/D39))</f>
        <v>0</v>
      </c>
      <c r="G39" s="324"/>
      <c r="H39" s="191">
        <f t="shared" si="1"/>
        <v>0</v>
      </c>
      <c r="I39" s="191">
        <f t="shared" si="2"/>
        <v>0</v>
      </c>
      <c r="J39" s="173"/>
      <c r="K39" s="191">
        <f>IF(ISERROR(+I39+'App.2-CE_DepExp_Yr4'!K39-J39), 0, +'App.2-CE_DepExp_Yr4'!K39-J39)</f>
        <v>0</v>
      </c>
    </row>
    <row r="40" spans="1:11" x14ac:dyDescent="0.2">
      <c r="A40" s="1064">
        <v>1915</v>
      </c>
      <c r="B40" s="180" t="s">
        <v>214</v>
      </c>
      <c r="C40" s="173"/>
      <c r="D40" s="250"/>
      <c r="E40" s="252">
        <f t="shared" si="0"/>
        <v>0</v>
      </c>
      <c r="F40" s="191">
        <f>IF(D40=0,'App.2-CE_DepExp_Yr4'!K40,+'App.2-CE_DepExp_Yr4'!K40+((C40*0.5)/D40))</f>
        <v>0</v>
      </c>
      <c r="G40" s="324"/>
      <c r="H40" s="191">
        <f t="shared" si="1"/>
        <v>0</v>
      </c>
      <c r="I40" s="191">
        <f t="shared" si="2"/>
        <v>0</v>
      </c>
      <c r="J40" s="173"/>
      <c r="K40" s="191">
        <f>IF(ISERROR(+I40+'App.2-CE_DepExp_Yr4'!K40-J40), 0, +'App.2-CE_DepExp_Yr4'!K40-J40)</f>
        <v>0</v>
      </c>
    </row>
    <row r="41" spans="1:11" x14ac:dyDescent="0.2">
      <c r="A41" s="1064">
        <v>1920</v>
      </c>
      <c r="B41" s="180" t="s">
        <v>215</v>
      </c>
      <c r="C41" s="173"/>
      <c r="D41" s="250"/>
      <c r="E41" s="252">
        <f t="shared" si="0"/>
        <v>0</v>
      </c>
      <c r="F41" s="191">
        <f>IF(D41=0,'App.2-CE_DepExp_Yr4'!K41,+'App.2-CE_DepExp_Yr4'!K41+((C41*0.5)/D41))</f>
        <v>0</v>
      </c>
      <c r="G41" s="324"/>
      <c r="H41" s="191">
        <f t="shared" si="1"/>
        <v>0</v>
      </c>
      <c r="I41" s="191">
        <f t="shared" si="2"/>
        <v>0</v>
      </c>
      <c r="J41" s="173"/>
      <c r="K41" s="191">
        <f>IF(ISERROR(+I41+'App.2-CE_DepExp_Yr4'!K41-J41), 0, +'App.2-CE_DepExp_Yr4'!K41-J41)</f>
        <v>0</v>
      </c>
    </row>
    <row r="42" spans="1:11" x14ac:dyDescent="0.2">
      <c r="A42" s="254">
        <v>1920</v>
      </c>
      <c r="B42" s="172" t="s">
        <v>217</v>
      </c>
      <c r="C42" s="173"/>
      <c r="D42" s="250"/>
      <c r="E42" s="252">
        <f t="shared" si="0"/>
        <v>0</v>
      </c>
      <c r="F42" s="191">
        <f>IF(D42=0,'App.2-CE_DepExp_Yr4'!K42,+'App.2-CE_DepExp_Yr4'!K42+((C42*0.5)/D42))</f>
        <v>0</v>
      </c>
      <c r="G42" s="324"/>
      <c r="H42" s="191">
        <f t="shared" si="1"/>
        <v>0</v>
      </c>
      <c r="I42" s="191">
        <f t="shared" si="2"/>
        <v>0</v>
      </c>
      <c r="J42" s="173"/>
      <c r="K42" s="191">
        <f>IF(ISERROR(+I42+'App.2-CE_DepExp_Yr4'!K42-J42), 0, +'App.2-CE_DepExp_Yr4'!K42-J42)</f>
        <v>0</v>
      </c>
    </row>
    <row r="43" spans="1:11" x14ac:dyDescent="0.2">
      <c r="A43" s="254">
        <v>1920</v>
      </c>
      <c r="B43" s="172" t="s">
        <v>216</v>
      </c>
      <c r="C43" s="173"/>
      <c r="D43" s="250"/>
      <c r="E43" s="252">
        <f t="shared" si="0"/>
        <v>0</v>
      </c>
      <c r="F43" s="191">
        <f>IF(D43=0,'App.2-CE_DepExp_Yr4'!K43,+'App.2-CE_DepExp_Yr4'!K43+((C43*0.5)/D43))</f>
        <v>0</v>
      </c>
      <c r="G43" s="324"/>
      <c r="H43" s="191">
        <f t="shared" si="1"/>
        <v>0</v>
      </c>
      <c r="I43" s="191">
        <f t="shared" si="2"/>
        <v>0</v>
      </c>
      <c r="J43" s="173"/>
      <c r="K43" s="191">
        <f>IF(ISERROR(+I43+'App.2-CE_DepExp_Yr4'!K43-J43), 0, +'App.2-CE_DepExp_Yr4'!K43-J43)</f>
        <v>0</v>
      </c>
    </row>
    <row r="44" spans="1:11" x14ac:dyDescent="0.2">
      <c r="A44" s="1064">
        <v>1930</v>
      </c>
      <c r="B44" s="180" t="s">
        <v>286</v>
      </c>
      <c r="C44" s="173"/>
      <c r="D44" s="250"/>
      <c r="E44" s="252">
        <f t="shared" si="0"/>
        <v>0</v>
      </c>
      <c r="F44" s="191">
        <f>IF(D44=0,'App.2-CE_DepExp_Yr4'!K44,+'App.2-CE_DepExp_Yr4'!K44+((C44*0.5)/D44))</f>
        <v>0</v>
      </c>
      <c r="G44" s="324"/>
      <c r="H44" s="191">
        <f t="shared" si="1"/>
        <v>0</v>
      </c>
      <c r="I44" s="191">
        <f t="shared" si="2"/>
        <v>0</v>
      </c>
      <c r="J44" s="173"/>
      <c r="K44" s="191">
        <f>IF(ISERROR(+I44+'App.2-CE_DepExp_Yr4'!K44-J44), 0, +'App.2-CE_DepExp_Yr4'!K44-J44)</f>
        <v>0</v>
      </c>
    </row>
    <row r="45" spans="1:11" x14ac:dyDescent="0.2">
      <c r="A45" s="1064">
        <v>1935</v>
      </c>
      <c r="B45" s="180" t="s">
        <v>287</v>
      </c>
      <c r="C45" s="173"/>
      <c r="D45" s="250"/>
      <c r="E45" s="252">
        <f t="shared" si="0"/>
        <v>0</v>
      </c>
      <c r="F45" s="191">
        <f>IF(D45=0,'App.2-CE_DepExp_Yr4'!K45,+'App.2-CE_DepExp_Yr4'!K45+((C45*0.5)/D45))</f>
        <v>0</v>
      </c>
      <c r="G45" s="324"/>
      <c r="H45" s="191">
        <f t="shared" si="1"/>
        <v>0</v>
      </c>
      <c r="I45" s="191">
        <f t="shared" si="2"/>
        <v>0</v>
      </c>
      <c r="J45" s="173"/>
      <c r="K45" s="191">
        <f>IF(ISERROR(+I45+'App.2-CE_DepExp_Yr4'!K45-J45), 0, +'App.2-CE_DepExp_Yr4'!K45-J45)</f>
        <v>0</v>
      </c>
    </row>
    <row r="46" spans="1:11" x14ac:dyDescent="0.2">
      <c r="A46" s="1064">
        <v>1940</v>
      </c>
      <c r="B46" s="180" t="s">
        <v>288</v>
      </c>
      <c r="C46" s="173"/>
      <c r="D46" s="250"/>
      <c r="E46" s="252">
        <f t="shared" si="0"/>
        <v>0</v>
      </c>
      <c r="F46" s="191">
        <f>IF(D46=0,'App.2-CE_DepExp_Yr4'!K46,+'App.2-CE_DepExp_Yr4'!K46+((C46*0.5)/D46))</f>
        <v>0</v>
      </c>
      <c r="G46" s="324"/>
      <c r="H46" s="191">
        <f t="shared" si="1"/>
        <v>0</v>
      </c>
      <c r="I46" s="191">
        <f t="shared" si="2"/>
        <v>0</v>
      </c>
      <c r="J46" s="173"/>
      <c r="K46" s="191">
        <f>IF(ISERROR(+I46+'App.2-CE_DepExp_Yr4'!K46-J46), 0, +'App.2-CE_DepExp_Yr4'!K46-J46)</f>
        <v>0</v>
      </c>
    </row>
    <row r="47" spans="1:11" x14ac:dyDescent="0.2">
      <c r="A47" s="1064">
        <v>1945</v>
      </c>
      <c r="B47" s="180" t="s">
        <v>289</v>
      </c>
      <c r="C47" s="173"/>
      <c r="D47" s="250"/>
      <c r="E47" s="252">
        <f t="shared" si="0"/>
        <v>0</v>
      </c>
      <c r="F47" s="191">
        <f>IF(D47=0,'App.2-CE_DepExp_Yr4'!K47,+'App.2-CE_DepExp_Yr4'!K47+((C47*0.5)/D47))</f>
        <v>0</v>
      </c>
      <c r="G47" s="324"/>
      <c r="H47" s="191">
        <f t="shared" si="1"/>
        <v>0</v>
      </c>
      <c r="I47" s="191">
        <f t="shared" si="2"/>
        <v>0</v>
      </c>
      <c r="J47" s="173"/>
      <c r="K47" s="191">
        <f>IF(ISERROR(+I47+'App.2-CE_DepExp_Yr4'!K47-J47), 0, +'App.2-CE_DepExp_Yr4'!K47-J47)</f>
        <v>0</v>
      </c>
    </row>
    <row r="48" spans="1:11" x14ac:dyDescent="0.2">
      <c r="A48" s="1064">
        <v>1950</v>
      </c>
      <c r="B48" s="180" t="s">
        <v>218</v>
      </c>
      <c r="C48" s="173"/>
      <c r="D48" s="250"/>
      <c r="E48" s="252">
        <f t="shared" si="0"/>
        <v>0</v>
      </c>
      <c r="F48" s="191">
        <f>IF(D48=0,'App.2-CE_DepExp_Yr4'!K48,+'App.2-CE_DepExp_Yr4'!K48+((C48*0.5)/D48))</f>
        <v>0</v>
      </c>
      <c r="G48" s="324"/>
      <c r="H48" s="191">
        <f t="shared" si="1"/>
        <v>0</v>
      </c>
      <c r="I48" s="191">
        <f t="shared" si="2"/>
        <v>0</v>
      </c>
      <c r="J48" s="173"/>
      <c r="K48" s="191">
        <f>IF(ISERROR(+I48+'App.2-CE_DepExp_Yr4'!K48-J48), 0, +'App.2-CE_DepExp_Yr4'!K48-J48)</f>
        <v>0</v>
      </c>
    </row>
    <row r="49" spans="1:11" x14ac:dyDescent="0.2">
      <c r="A49" s="1064">
        <v>1955</v>
      </c>
      <c r="B49" s="180" t="s">
        <v>290</v>
      </c>
      <c r="C49" s="173"/>
      <c r="D49" s="250"/>
      <c r="E49" s="252">
        <f t="shared" si="0"/>
        <v>0</v>
      </c>
      <c r="F49" s="191">
        <f>IF(D49=0,'App.2-CE_DepExp_Yr4'!K49,+'App.2-CE_DepExp_Yr4'!K49+((C49*0.5)/D49))</f>
        <v>0</v>
      </c>
      <c r="G49" s="324"/>
      <c r="H49" s="191">
        <f t="shared" si="1"/>
        <v>0</v>
      </c>
      <c r="I49" s="191">
        <f t="shared" si="2"/>
        <v>0</v>
      </c>
      <c r="J49" s="173"/>
      <c r="K49" s="191">
        <f>IF(ISERROR(+I49+'App.2-CE_DepExp_Yr4'!K49-J49), 0, +'App.2-CE_DepExp_Yr4'!K49-J49)</f>
        <v>0</v>
      </c>
    </row>
    <row r="50" spans="1:11" x14ac:dyDescent="0.2">
      <c r="A50" s="255">
        <v>1955</v>
      </c>
      <c r="B50" s="184" t="s">
        <v>219</v>
      </c>
      <c r="C50" s="173"/>
      <c r="D50" s="250"/>
      <c r="E50" s="252">
        <f t="shared" si="0"/>
        <v>0</v>
      </c>
      <c r="F50" s="191">
        <f>IF(D50=0,'App.2-CE_DepExp_Yr4'!K50,+'App.2-CE_DepExp_Yr4'!K50+((C50*0.5)/D50))</f>
        <v>0</v>
      </c>
      <c r="G50" s="324"/>
      <c r="H50" s="191">
        <f t="shared" si="1"/>
        <v>0</v>
      </c>
      <c r="I50" s="191">
        <f t="shared" si="2"/>
        <v>0</v>
      </c>
      <c r="J50" s="173"/>
      <c r="K50" s="191">
        <f>IF(ISERROR(+I50+'App.2-CE_DepExp_Yr4'!K50-J50), 0, +'App.2-CE_DepExp_Yr4'!K50-J50)</f>
        <v>0</v>
      </c>
    </row>
    <row r="51" spans="1:11" x14ac:dyDescent="0.2">
      <c r="A51" s="254">
        <v>1960</v>
      </c>
      <c r="B51" s="172" t="s">
        <v>220</v>
      </c>
      <c r="C51" s="173"/>
      <c r="D51" s="250"/>
      <c r="E51" s="252">
        <f t="shared" si="0"/>
        <v>0</v>
      </c>
      <c r="F51" s="191">
        <f>IF(D51=0,'App.2-CE_DepExp_Yr4'!K51,+'App.2-CE_DepExp_Yr4'!K51+((C51*0.5)/D51))</f>
        <v>0</v>
      </c>
      <c r="G51" s="324"/>
      <c r="H51" s="191">
        <f t="shared" si="1"/>
        <v>0</v>
      </c>
      <c r="I51" s="191">
        <f t="shared" si="2"/>
        <v>0</v>
      </c>
      <c r="J51" s="173"/>
      <c r="K51" s="191">
        <f>IF(ISERROR(+I51+'App.2-CE_DepExp_Yr4'!K51-J51), 0, +'App.2-CE_DepExp_Yr4'!K51-J51)</f>
        <v>0</v>
      </c>
    </row>
    <row r="52" spans="1:11" x14ac:dyDescent="0.2">
      <c r="A52" s="255">
        <v>1970</v>
      </c>
      <c r="B52" s="256" t="s">
        <v>501</v>
      </c>
      <c r="C52" s="173"/>
      <c r="D52" s="250"/>
      <c r="E52" s="252">
        <f t="shared" si="0"/>
        <v>0</v>
      </c>
      <c r="F52" s="191">
        <f>IF(D52=0,'App.2-CE_DepExp_Yr4'!K52,+'App.2-CE_DepExp_Yr4'!K52+((C52*0.5)/D52))</f>
        <v>0</v>
      </c>
      <c r="G52" s="324"/>
      <c r="H52" s="191">
        <f t="shared" si="1"/>
        <v>0</v>
      </c>
      <c r="I52" s="191">
        <f t="shared" si="2"/>
        <v>0</v>
      </c>
      <c r="J52" s="173"/>
      <c r="K52" s="191">
        <f>IF(ISERROR(+I52+'App.2-CE_DepExp_Yr4'!K52-J52), 0, +'App.2-CE_DepExp_Yr4'!K52-J52)</f>
        <v>0</v>
      </c>
    </row>
    <row r="53" spans="1:11" x14ac:dyDescent="0.2">
      <c r="A53" s="1064">
        <v>1975</v>
      </c>
      <c r="B53" s="180" t="s">
        <v>291</v>
      </c>
      <c r="C53" s="173"/>
      <c r="D53" s="250"/>
      <c r="E53" s="252">
        <f t="shared" si="0"/>
        <v>0</v>
      </c>
      <c r="F53" s="191">
        <f>IF(D53=0,'App.2-CE_DepExp_Yr4'!K53,+'App.2-CE_DepExp_Yr4'!K53+((C53*0.5)/D53))</f>
        <v>0</v>
      </c>
      <c r="G53" s="324"/>
      <c r="H53" s="191">
        <f t="shared" si="1"/>
        <v>0</v>
      </c>
      <c r="I53" s="191">
        <f t="shared" si="2"/>
        <v>0</v>
      </c>
      <c r="J53" s="173"/>
      <c r="K53" s="191">
        <f>IF(ISERROR(+I53+'App.2-CE_DepExp_Yr4'!K53-J53), 0, +'App.2-CE_DepExp_Yr4'!K53-J53)</f>
        <v>0</v>
      </c>
    </row>
    <row r="54" spans="1:11" x14ac:dyDescent="0.2">
      <c r="A54" s="1064">
        <v>1980</v>
      </c>
      <c r="B54" s="180" t="s">
        <v>292</v>
      </c>
      <c r="C54" s="173"/>
      <c r="D54" s="250"/>
      <c r="E54" s="252">
        <f t="shared" si="0"/>
        <v>0</v>
      </c>
      <c r="F54" s="191">
        <f>IF(D54=0,'App.2-CE_DepExp_Yr4'!K54,+'App.2-CE_DepExp_Yr4'!K54+((C54*0.5)/D54))</f>
        <v>0</v>
      </c>
      <c r="G54" s="324"/>
      <c r="H54" s="191">
        <f t="shared" si="1"/>
        <v>0</v>
      </c>
      <c r="I54" s="191">
        <f t="shared" si="2"/>
        <v>0</v>
      </c>
      <c r="J54" s="173"/>
      <c r="K54" s="191">
        <f>IF(ISERROR(+I54+'App.2-CE_DepExp_Yr4'!K54-J54), 0, +'App.2-CE_DepExp_Yr4'!K54-J54)</f>
        <v>0</v>
      </c>
    </row>
    <row r="55" spans="1:11" x14ac:dyDescent="0.2">
      <c r="A55" s="1064">
        <v>1985</v>
      </c>
      <c r="B55" s="180" t="s">
        <v>293</v>
      </c>
      <c r="C55" s="173"/>
      <c r="D55" s="250"/>
      <c r="E55" s="252">
        <f t="shared" si="0"/>
        <v>0</v>
      </c>
      <c r="F55" s="191">
        <f>IF(D55=0,'App.2-CE_DepExp_Yr4'!K55,+'App.2-CE_DepExp_Yr4'!K55+((C55*0.5)/D55))</f>
        <v>0</v>
      </c>
      <c r="G55" s="324"/>
      <c r="H55" s="191">
        <f t="shared" si="1"/>
        <v>0</v>
      </c>
      <c r="I55" s="191">
        <f t="shared" si="2"/>
        <v>0</v>
      </c>
      <c r="J55" s="173"/>
      <c r="K55" s="191">
        <f>IF(ISERROR(+I55+'App.2-CE_DepExp_Yr4'!K55-J55), 0, +'App.2-CE_DepExp_Yr4'!K55-J55)</f>
        <v>0</v>
      </c>
    </row>
    <row r="56" spans="1:11" x14ac:dyDescent="0.2">
      <c r="A56" s="1064">
        <v>1990</v>
      </c>
      <c r="B56" s="1061" t="s">
        <v>502</v>
      </c>
      <c r="C56" s="173"/>
      <c r="D56" s="250"/>
      <c r="E56" s="252">
        <f t="shared" si="0"/>
        <v>0</v>
      </c>
      <c r="F56" s="191">
        <f>IF(D56=0,'App.2-CE_DepExp_Yr4'!K56,+'App.2-CE_DepExp_Yr4'!K56+((C56*0.5)/D56))</f>
        <v>0</v>
      </c>
      <c r="G56" s="324"/>
      <c r="H56" s="191">
        <f t="shared" si="1"/>
        <v>0</v>
      </c>
      <c r="I56" s="191">
        <f t="shared" si="2"/>
        <v>0</v>
      </c>
      <c r="J56" s="173"/>
      <c r="K56" s="191">
        <f>IF(ISERROR(+I56+'App.2-CE_DepExp_Yr4'!K56-J56), 0, +'App.2-CE_DepExp_Yr4'!K56-J56)</f>
        <v>0</v>
      </c>
    </row>
    <row r="57" spans="1:11" ht="13.5" thickBot="1" x14ac:dyDescent="0.25">
      <c r="A57" s="1058">
        <v>1995</v>
      </c>
      <c r="B57" s="180" t="s">
        <v>294</v>
      </c>
      <c r="C57" s="173"/>
      <c r="D57" s="250"/>
      <c r="E57" s="252">
        <f t="shared" si="0"/>
        <v>0</v>
      </c>
      <c r="F57" s="285">
        <f>IF(D57=0,'App.2-CE_DepExp_Yr4'!K57,+'App.2-CE_DepExp_Yr4'!K57+((C57*0.5)/D57))</f>
        <v>0</v>
      </c>
      <c r="G57" s="325"/>
      <c r="H57" s="285">
        <f t="shared" si="1"/>
        <v>0</v>
      </c>
      <c r="I57" s="285">
        <f t="shared" si="2"/>
        <v>0</v>
      </c>
      <c r="J57" s="257"/>
      <c r="K57" s="191">
        <f>IF(ISERROR(+I57+'App.2-CE_DepExp_Yr4'!K57-J57), 0, +'App.2-CE_DepExp_Yr4'!K57-J57)</f>
        <v>0</v>
      </c>
    </row>
    <row r="58" spans="1:11" ht="14.25" thickTop="1" thickBot="1" x14ac:dyDescent="0.25">
      <c r="A58" s="261"/>
      <c r="B58" s="301" t="s">
        <v>295</v>
      </c>
      <c r="C58" s="302">
        <f>SUM(C20:C57)</f>
        <v>0</v>
      </c>
      <c r="D58" s="287"/>
      <c r="E58" s="326"/>
      <c r="F58" s="310">
        <f t="shared" ref="F58:K58" si="3">SUM(F20:F57)</f>
        <v>0</v>
      </c>
      <c r="G58" s="310">
        <f t="shared" si="3"/>
        <v>0</v>
      </c>
      <c r="H58" s="310">
        <f t="shared" si="3"/>
        <v>0</v>
      </c>
      <c r="I58" s="310">
        <f t="shared" si="3"/>
        <v>0</v>
      </c>
      <c r="J58" s="310">
        <f t="shared" si="3"/>
        <v>0</v>
      </c>
      <c r="K58" s="310">
        <f t="shared" si="3"/>
        <v>0</v>
      </c>
    </row>
    <row r="59" spans="1:11" x14ac:dyDescent="0.2">
      <c r="A59" s="289"/>
      <c r="B59" s="311" t="s">
        <v>506</v>
      </c>
      <c r="C59" s="312"/>
      <c r="D59" s="312"/>
      <c r="E59" s="312"/>
      <c r="F59" s="173"/>
      <c r="G59" s="312"/>
      <c r="H59" s="312"/>
    </row>
    <row r="60" spans="1:11" ht="27" customHeight="1" x14ac:dyDescent="0.2">
      <c r="B60" s="1684" t="s">
        <v>1079</v>
      </c>
      <c r="C60" s="1684"/>
      <c r="D60" s="1684"/>
      <c r="E60" s="1709"/>
      <c r="F60" s="191">
        <f>SUM(F58:F59)</f>
        <v>0</v>
      </c>
    </row>
    <row r="61" spans="1:11" x14ac:dyDescent="0.2">
      <c r="A61" s="152" t="s">
        <v>11</v>
      </c>
      <c r="B61" s="56"/>
      <c r="C61" s="56"/>
      <c r="D61" s="56"/>
      <c r="E61" s="56"/>
      <c r="F61" s="56"/>
      <c r="G61" s="56"/>
      <c r="H61" s="56"/>
    </row>
    <row r="62" spans="1:11" ht="27" customHeight="1" x14ac:dyDescent="0.2">
      <c r="A62" s="305">
        <v>1</v>
      </c>
      <c r="B62" s="1590" t="s">
        <v>424</v>
      </c>
      <c r="C62" s="1590"/>
      <c r="D62" s="1590"/>
      <c r="E62" s="1590"/>
      <c r="F62" s="1590"/>
      <c r="G62" s="1590"/>
      <c r="H62" s="1590"/>
      <c r="I62" s="1066"/>
    </row>
    <row r="63" spans="1:11" ht="12.75" customHeight="1" x14ac:dyDescent="0.2">
      <c r="A63" s="294">
        <v>2</v>
      </c>
      <c r="B63" s="1590" t="s">
        <v>865</v>
      </c>
      <c r="C63" s="1590"/>
      <c r="D63" s="1590"/>
      <c r="E63" s="1590"/>
      <c r="F63" s="1590"/>
      <c r="G63" s="1590"/>
      <c r="H63" s="1590"/>
      <c r="I63" s="1590"/>
    </row>
    <row r="64" spans="1:11" ht="25.5" customHeight="1" x14ac:dyDescent="0.2">
      <c r="A64" s="270">
        <v>3</v>
      </c>
      <c r="B64" s="1590" t="s">
        <v>481</v>
      </c>
      <c r="C64" s="1590"/>
      <c r="D64" s="1590"/>
      <c r="E64" s="1590"/>
      <c r="F64" s="1590"/>
      <c r="G64" s="1590"/>
      <c r="H64" s="1590"/>
      <c r="I64" s="1590"/>
      <c r="J64" s="1590"/>
      <c r="K64" s="1590"/>
    </row>
    <row r="65" spans="1:11" ht="11.25" customHeight="1" x14ac:dyDescent="0.2">
      <c r="A65" s="294"/>
      <c r="B65" s="1590"/>
      <c r="C65" s="1590"/>
      <c r="D65" s="1590"/>
      <c r="E65" s="1590"/>
      <c r="F65" s="1590"/>
      <c r="G65" s="1590"/>
      <c r="H65" s="1590"/>
      <c r="I65" s="1590"/>
    </row>
    <row r="66" spans="1:11" ht="12.75" customHeight="1" x14ac:dyDescent="0.2">
      <c r="A66" s="152" t="s">
        <v>226</v>
      </c>
      <c r="B66" s="1684" t="s">
        <v>190</v>
      </c>
      <c r="C66" s="1684"/>
      <c r="D66" s="1684"/>
      <c r="E66" s="1684"/>
      <c r="F66" s="1684"/>
      <c r="G66" s="1684"/>
      <c r="H66" s="1684"/>
      <c r="I66" s="271"/>
    </row>
    <row r="67" spans="1:11" ht="27" customHeight="1" x14ac:dyDescent="0.2">
      <c r="A67" s="56"/>
      <c r="B67" s="1684"/>
      <c r="C67" s="1684"/>
      <c r="D67" s="1684"/>
      <c r="E67" s="1684"/>
      <c r="F67" s="1684"/>
      <c r="G67" s="1684"/>
      <c r="H67" s="1684"/>
      <c r="I67" s="271"/>
    </row>
    <row r="68" spans="1:11" ht="12.75" customHeight="1" x14ac:dyDescent="0.2">
      <c r="A68" s="152"/>
      <c r="B68" s="1684"/>
      <c r="C68" s="1684"/>
      <c r="D68" s="1684"/>
      <c r="E68" s="1684"/>
      <c r="F68" s="1684"/>
      <c r="G68" s="1684"/>
      <c r="H68" s="1684"/>
      <c r="I68" s="271"/>
    </row>
    <row r="69" spans="1:11" ht="27" customHeight="1" x14ac:dyDescent="0.2">
      <c r="A69" s="56"/>
      <c r="B69" s="1684"/>
      <c r="C69" s="1684"/>
      <c r="D69" s="1684"/>
      <c r="E69" s="1684"/>
      <c r="F69" s="1684"/>
      <c r="G69" s="1684"/>
      <c r="H69" s="1684"/>
      <c r="I69" s="271"/>
    </row>
    <row r="70" spans="1:11" x14ac:dyDescent="0.2">
      <c r="J70" s="322"/>
      <c r="K70" s="322"/>
    </row>
    <row r="71" spans="1:11" ht="23.25" customHeight="1" x14ac:dyDescent="0.2">
      <c r="J71" s="322"/>
      <c r="K71" s="322"/>
    </row>
    <row r="72" spans="1:11" x14ac:dyDescent="0.2">
      <c r="A72" s="56"/>
      <c r="B72" s="322"/>
      <c r="C72" s="322"/>
      <c r="D72" s="322"/>
      <c r="E72" s="322"/>
      <c r="F72" s="322"/>
      <c r="G72" s="322"/>
      <c r="H72" s="322"/>
      <c r="I72" s="322"/>
      <c r="J72" s="322"/>
      <c r="K72" s="322"/>
    </row>
    <row r="73" spans="1:11" x14ac:dyDescent="0.2">
      <c r="A73" s="1066"/>
      <c r="B73" s="1066"/>
      <c r="C73" s="1066"/>
      <c r="D73" s="1066"/>
      <c r="E73" s="1066"/>
      <c r="F73" s="56"/>
      <c r="G73" s="56"/>
      <c r="H73" s="56"/>
    </row>
  </sheetData>
  <mergeCells count="18">
    <mergeCell ref="J18:J19"/>
    <mergeCell ref="B60:E60"/>
    <mergeCell ref="A9:I9"/>
    <mergeCell ref="A10:I10"/>
    <mergeCell ref="A11:H11"/>
    <mergeCell ref="B18:B19"/>
    <mergeCell ref="G18:G19"/>
    <mergeCell ref="A13:B13"/>
    <mergeCell ref="A14:B14"/>
    <mergeCell ref="C14:I14"/>
    <mergeCell ref="A15:B15"/>
    <mergeCell ref="C15:I15"/>
    <mergeCell ref="B62:H62"/>
    <mergeCell ref="B63:I63"/>
    <mergeCell ref="B65:I65"/>
    <mergeCell ref="B66:H67"/>
    <mergeCell ref="B68:H69"/>
    <mergeCell ref="B64:K64"/>
  </mergeCells>
  <dataValidations count="1">
    <dataValidation allowBlank="1" showInputMessage="1" showErrorMessage="1" promptTitle="Date Format" prompt="E.g:  &quot;August 1, 2011&quot;" sqref="WVO983055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H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H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H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H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H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H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H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H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H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H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H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H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H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H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H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dataValidations>
  <printOptions horizontalCentered="1"/>
  <pageMargins left="0.74803149606299213" right="0.74803149606299213" top="0.70866141732283472" bottom="0.39370078740157483" header="0.39370078740157483" footer="0.27559055118110237"/>
  <pageSetup scale="4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03" r:id="rId4" name="Check Box 3">
              <controlPr defaultSize="0" autoFill="0" autoLine="0" autoPict="0">
                <anchor moveWithCells="1">
                  <from>
                    <xdr:col>0</xdr:col>
                    <xdr:colOff>323850</xdr:colOff>
                    <xdr:row>13</xdr:row>
                    <xdr:rowOff>47625</xdr:rowOff>
                  </from>
                  <to>
                    <xdr:col>0</xdr:col>
                    <xdr:colOff>590550</xdr:colOff>
                    <xdr:row>13</xdr:row>
                    <xdr:rowOff>485775</xdr:rowOff>
                  </to>
                </anchor>
              </controlPr>
            </control>
          </mc:Choice>
        </mc:AlternateContent>
        <mc:AlternateContent xmlns:mc="http://schemas.openxmlformats.org/markup-compatibility/2006">
          <mc:Choice Requires="x14">
            <control shapeId="204804" r:id="rId5" name="Check Box 4">
              <controlPr defaultSize="0" autoFill="0" autoLine="0" autoPict="0">
                <anchor moveWithCells="1">
                  <from>
                    <xdr:col>0</xdr:col>
                    <xdr:colOff>304800</xdr:colOff>
                    <xdr:row>14</xdr:row>
                    <xdr:rowOff>47625</xdr:rowOff>
                  </from>
                  <to>
                    <xdr:col>0</xdr:col>
                    <xdr:colOff>571500</xdr:colOff>
                    <xdr:row>15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6">
    <tabColor rgb="FF00B0F0"/>
    <pageSetUpPr fitToPage="1"/>
  </sheetPr>
  <dimension ref="A1:M73"/>
  <sheetViews>
    <sheetView showGridLines="0" view="pageBreakPreview" zoomScale="60" zoomScaleNormal="100" workbookViewId="0">
      <selection activeCell="A9" sqref="A9:I9"/>
    </sheetView>
  </sheetViews>
  <sheetFormatPr defaultRowHeight="12.75" x14ac:dyDescent="0.2"/>
  <cols>
    <col min="1" max="1" width="9.140625" style="52"/>
    <col min="2" max="2" width="41.140625" style="52" customWidth="1"/>
    <col min="3" max="3" width="10" style="52" customWidth="1"/>
    <col min="4" max="4" width="10.140625" style="52" customWidth="1"/>
    <col min="5" max="5" width="12.28515625" style="52" customWidth="1"/>
    <col min="6" max="6" width="15.7109375" style="52" customWidth="1"/>
    <col min="7" max="7" width="17.7109375" style="52" customWidth="1"/>
    <col min="8" max="8" width="12.28515625" style="52" customWidth="1"/>
    <col min="9" max="9" width="14.42578125" style="52" customWidth="1"/>
    <col min="10" max="10" width="13" style="52" customWidth="1"/>
    <col min="11" max="11" width="14" style="52" customWidth="1"/>
    <col min="12" max="254" width="9.140625" style="52"/>
    <col min="255" max="255" width="2.7109375" style="52" customWidth="1"/>
    <col min="256" max="256" width="9.140625" style="52"/>
    <col min="257" max="257" width="40.28515625" style="52" bestFit="1" customWidth="1"/>
    <col min="258" max="258" width="10" style="52" customWidth="1"/>
    <col min="259" max="259" width="10.140625" style="52" customWidth="1"/>
    <col min="260" max="260" width="12.28515625" style="52" customWidth="1"/>
    <col min="261" max="261" width="15.7109375" style="52" customWidth="1"/>
    <col min="262" max="262" width="12.85546875" style="52" customWidth="1"/>
    <col min="263" max="263" width="12.7109375" style="52" customWidth="1"/>
    <col min="264" max="264" width="12.85546875" style="52" customWidth="1"/>
    <col min="265" max="265" width="14.42578125" style="52" customWidth="1"/>
    <col min="266" max="510" width="9.140625" style="52"/>
    <col min="511" max="511" width="2.7109375" style="52" customWidth="1"/>
    <col min="512" max="512" width="9.140625" style="52"/>
    <col min="513" max="513" width="40.28515625" style="52" bestFit="1" customWidth="1"/>
    <col min="514" max="514" width="10" style="52" customWidth="1"/>
    <col min="515" max="515" width="10.140625" style="52" customWidth="1"/>
    <col min="516" max="516" width="12.28515625" style="52" customWidth="1"/>
    <col min="517" max="517" width="15.7109375" style="52" customWidth="1"/>
    <col min="518" max="518" width="12.85546875" style="52" customWidth="1"/>
    <col min="519" max="519" width="12.7109375" style="52" customWidth="1"/>
    <col min="520" max="520" width="12.85546875" style="52" customWidth="1"/>
    <col min="521" max="521" width="14.42578125" style="52" customWidth="1"/>
    <col min="522" max="766" width="9.140625" style="52"/>
    <col min="767" max="767" width="2.7109375" style="52" customWidth="1"/>
    <col min="768" max="768" width="9.140625" style="52"/>
    <col min="769" max="769" width="40.28515625" style="52" bestFit="1" customWidth="1"/>
    <col min="770" max="770" width="10" style="52" customWidth="1"/>
    <col min="771" max="771" width="10.140625" style="52" customWidth="1"/>
    <col min="772" max="772" width="12.28515625" style="52" customWidth="1"/>
    <col min="773" max="773" width="15.7109375" style="52" customWidth="1"/>
    <col min="774" max="774" width="12.85546875" style="52" customWidth="1"/>
    <col min="775" max="775" width="12.7109375" style="52" customWidth="1"/>
    <col min="776" max="776" width="12.85546875" style="52" customWidth="1"/>
    <col min="777" max="777" width="14.42578125" style="52" customWidth="1"/>
    <col min="778" max="1022" width="9.140625" style="52"/>
    <col min="1023" max="1023" width="2.7109375" style="52" customWidth="1"/>
    <col min="1024" max="1024" width="9.140625" style="52"/>
    <col min="1025" max="1025" width="40.28515625" style="52" bestFit="1" customWidth="1"/>
    <col min="1026" max="1026" width="10" style="52" customWidth="1"/>
    <col min="1027" max="1027" width="10.140625" style="52" customWidth="1"/>
    <col min="1028" max="1028" width="12.28515625" style="52" customWidth="1"/>
    <col min="1029" max="1029" width="15.7109375" style="52" customWidth="1"/>
    <col min="1030" max="1030" width="12.85546875" style="52" customWidth="1"/>
    <col min="1031" max="1031" width="12.7109375" style="52" customWidth="1"/>
    <col min="1032" max="1032" width="12.85546875" style="52" customWidth="1"/>
    <col min="1033" max="1033" width="14.42578125" style="52" customWidth="1"/>
    <col min="1034" max="1278" width="9.140625" style="52"/>
    <col min="1279" max="1279" width="2.7109375" style="52" customWidth="1"/>
    <col min="1280" max="1280" width="9.140625" style="52"/>
    <col min="1281" max="1281" width="40.28515625" style="52" bestFit="1" customWidth="1"/>
    <col min="1282" max="1282" width="10" style="52" customWidth="1"/>
    <col min="1283" max="1283" width="10.140625" style="52" customWidth="1"/>
    <col min="1284" max="1284" width="12.28515625" style="52" customWidth="1"/>
    <col min="1285" max="1285" width="15.7109375" style="52" customWidth="1"/>
    <col min="1286" max="1286" width="12.85546875" style="52" customWidth="1"/>
    <col min="1287" max="1287" width="12.7109375" style="52" customWidth="1"/>
    <col min="1288" max="1288" width="12.85546875" style="52" customWidth="1"/>
    <col min="1289" max="1289" width="14.42578125" style="52" customWidth="1"/>
    <col min="1290" max="1534" width="9.140625" style="52"/>
    <col min="1535" max="1535" width="2.7109375" style="52" customWidth="1"/>
    <col min="1536" max="1536" width="9.140625" style="52"/>
    <col min="1537" max="1537" width="40.28515625" style="52" bestFit="1" customWidth="1"/>
    <col min="1538" max="1538" width="10" style="52" customWidth="1"/>
    <col min="1539" max="1539" width="10.140625" style="52" customWidth="1"/>
    <col min="1540" max="1540" width="12.28515625" style="52" customWidth="1"/>
    <col min="1541" max="1541" width="15.7109375" style="52" customWidth="1"/>
    <col min="1542" max="1542" width="12.85546875" style="52" customWidth="1"/>
    <col min="1543" max="1543" width="12.7109375" style="52" customWidth="1"/>
    <col min="1544" max="1544" width="12.85546875" style="52" customWidth="1"/>
    <col min="1545" max="1545" width="14.42578125" style="52" customWidth="1"/>
    <col min="1546" max="1790" width="9.140625" style="52"/>
    <col min="1791" max="1791" width="2.7109375" style="52" customWidth="1"/>
    <col min="1792" max="1792" width="9.140625" style="52"/>
    <col min="1793" max="1793" width="40.28515625" style="52" bestFit="1" customWidth="1"/>
    <col min="1794" max="1794" width="10" style="52" customWidth="1"/>
    <col min="1795" max="1795" width="10.140625" style="52" customWidth="1"/>
    <col min="1796" max="1796" width="12.28515625" style="52" customWidth="1"/>
    <col min="1797" max="1797" width="15.7109375" style="52" customWidth="1"/>
    <col min="1798" max="1798" width="12.85546875" style="52" customWidth="1"/>
    <col min="1799" max="1799" width="12.7109375" style="52" customWidth="1"/>
    <col min="1800" max="1800" width="12.85546875" style="52" customWidth="1"/>
    <col min="1801" max="1801" width="14.42578125" style="52" customWidth="1"/>
    <col min="1802" max="2046" width="9.140625" style="52"/>
    <col min="2047" max="2047" width="2.7109375" style="52" customWidth="1"/>
    <col min="2048" max="2048" width="9.140625" style="52"/>
    <col min="2049" max="2049" width="40.28515625" style="52" bestFit="1" customWidth="1"/>
    <col min="2050" max="2050" width="10" style="52" customWidth="1"/>
    <col min="2051" max="2051" width="10.140625" style="52" customWidth="1"/>
    <col min="2052" max="2052" width="12.28515625" style="52" customWidth="1"/>
    <col min="2053" max="2053" width="15.7109375" style="52" customWidth="1"/>
    <col min="2054" max="2054" width="12.85546875" style="52" customWidth="1"/>
    <col min="2055" max="2055" width="12.7109375" style="52" customWidth="1"/>
    <col min="2056" max="2056" width="12.85546875" style="52" customWidth="1"/>
    <col min="2057" max="2057" width="14.42578125" style="52" customWidth="1"/>
    <col min="2058" max="2302" width="9.140625" style="52"/>
    <col min="2303" max="2303" width="2.7109375" style="52" customWidth="1"/>
    <col min="2304" max="2304" width="9.140625" style="52"/>
    <col min="2305" max="2305" width="40.28515625" style="52" bestFit="1" customWidth="1"/>
    <col min="2306" max="2306" width="10" style="52" customWidth="1"/>
    <col min="2307" max="2307" width="10.140625" style="52" customWidth="1"/>
    <col min="2308" max="2308" width="12.28515625" style="52" customWidth="1"/>
    <col min="2309" max="2309" width="15.7109375" style="52" customWidth="1"/>
    <col min="2310" max="2310" width="12.85546875" style="52" customWidth="1"/>
    <col min="2311" max="2311" width="12.7109375" style="52" customWidth="1"/>
    <col min="2312" max="2312" width="12.85546875" style="52" customWidth="1"/>
    <col min="2313" max="2313" width="14.42578125" style="52" customWidth="1"/>
    <col min="2314" max="2558" width="9.140625" style="52"/>
    <col min="2559" max="2559" width="2.7109375" style="52" customWidth="1"/>
    <col min="2560" max="2560" width="9.140625" style="52"/>
    <col min="2561" max="2561" width="40.28515625" style="52" bestFit="1" customWidth="1"/>
    <col min="2562" max="2562" width="10" style="52" customWidth="1"/>
    <col min="2563" max="2563" width="10.140625" style="52" customWidth="1"/>
    <col min="2564" max="2564" width="12.28515625" style="52" customWidth="1"/>
    <col min="2565" max="2565" width="15.7109375" style="52" customWidth="1"/>
    <col min="2566" max="2566" width="12.85546875" style="52" customWidth="1"/>
    <col min="2567" max="2567" width="12.7109375" style="52" customWidth="1"/>
    <col min="2568" max="2568" width="12.85546875" style="52" customWidth="1"/>
    <col min="2569" max="2569" width="14.42578125" style="52" customWidth="1"/>
    <col min="2570" max="2814" width="9.140625" style="52"/>
    <col min="2815" max="2815" width="2.7109375" style="52" customWidth="1"/>
    <col min="2816" max="2816" width="9.140625" style="52"/>
    <col min="2817" max="2817" width="40.28515625" style="52" bestFit="1" customWidth="1"/>
    <col min="2818" max="2818" width="10" style="52" customWidth="1"/>
    <col min="2819" max="2819" width="10.140625" style="52" customWidth="1"/>
    <col min="2820" max="2820" width="12.28515625" style="52" customWidth="1"/>
    <col min="2821" max="2821" width="15.7109375" style="52" customWidth="1"/>
    <col min="2822" max="2822" width="12.85546875" style="52" customWidth="1"/>
    <col min="2823" max="2823" width="12.7109375" style="52" customWidth="1"/>
    <col min="2824" max="2824" width="12.85546875" style="52" customWidth="1"/>
    <col min="2825" max="2825" width="14.42578125" style="52" customWidth="1"/>
    <col min="2826" max="3070" width="9.140625" style="52"/>
    <col min="3071" max="3071" width="2.7109375" style="52" customWidth="1"/>
    <col min="3072" max="3072" width="9.140625" style="52"/>
    <col min="3073" max="3073" width="40.28515625" style="52" bestFit="1" customWidth="1"/>
    <col min="3074" max="3074" width="10" style="52" customWidth="1"/>
    <col min="3075" max="3075" width="10.140625" style="52" customWidth="1"/>
    <col min="3076" max="3076" width="12.28515625" style="52" customWidth="1"/>
    <col min="3077" max="3077" width="15.7109375" style="52" customWidth="1"/>
    <col min="3078" max="3078" width="12.85546875" style="52" customWidth="1"/>
    <col min="3079" max="3079" width="12.7109375" style="52" customWidth="1"/>
    <col min="3080" max="3080" width="12.85546875" style="52" customWidth="1"/>
    <col min="3081" max="3081" width="14.42578125" style="52" customWidth="1"/>
    <col min="3082" max="3326" width="9.140625" style="52"/>
    <col min="3327" max="3327" width="2.7109375" style="52" customWidth="1"/>
    <col min="3328" max="3328" width="9.140625" style="52"/>
    <col min="3329" max="3329" width="40.28515625" style="52" bestFit="1" customWidth="1"/>
    <col min="3330" max="3330" width="10" style="52" customWidth="1"/>
    <col min="3331" max="3331" width="10.140625" style="52" customWidth="1"/>
    <col min="3332" max="3332" width="12.28515625" style="52" customWidth="1"/>
    <col min="3333" max="3333" width="15.7109375" style="52" customWidth="1"/>
    <col min="3334" max="3334" width="12.85546875" style="52" customWidth="1"/>
    <col min="3335" max="3335" width="12.7109375" style="52" customWidth="1"/>
    <col min="3336" max="3336" width="12.85546875" style="52" customWidth="1"/>
    <col min="3337" max="3337" width="14.42578125" style="52" customWidth="1"/>
    <col min="3338" max="3582" width="9.140625" style="52"/>
    <col min="3583" max="3583" width="2.7109375" style="52" customWidth="1"/>
    <col min="3584" max="3584" width="9.140625" style="52"/>
    <col min="3585" max="3585" width="40.28515625" style="52" bestFit="1" customWidth="1"/>
    <col min="3586" max="3586" width="10" style="52" customWidth="1"/>
    <col min="3587" max="3587" width="10.140625" style="52" customWidth="1"/>
    <col min="3588" max="3588" width="12.28515625" style="52" customWidth="1"/>
    <col min="3589" max="3589" width="15.7109375" style="52" customWidth="1"/>
    <col min="3590" max="3590" width="12.85546875" style="52" customWidth="1"/>
    <col min="3591" max="3591" width="12.7109375" style="52" customWidth="1"/>
    <col min="3592" max="3592" width="12.85546875" style="52" customWidth="1"/>
    <col min="3593" max="3593" width="14.42578125" style="52" customWidth="1"/>
    <col min="3594" max="3838" width="9.140625" style="52"/>
    <col min="3839" max="3839" width="2.7109375" style="52" customWidth="1"/>
    <col min="3840" max="3840" width="9.140625" style="52"/>
    <col min="3841" max="3841" width="40.28515625" style="52" bestFit="1" customWidth="1"/>
    <col min="3842" max="3842" width="10" style="52" customWidth="1"/>
    <col min="3843" max="3843" width="10.140625" style="52" customWidth="1"/>
    <col min="3844" max="3844" width="12.28515625" style="52" customWidth="1"/>
    <col min="3845" max="3845" width="15.7109375" style="52" customWidth="1"/>
    <col min="3846" max="3846" width="12.85546875" style="52" customWidth="1"/>
    <col min="3847" max="3847" width="12.7109375" style="52" customWidth="1"/>
    <col min="3848" max="3848" width="12.85546875" style="52" customWidth="1"/>
    <col min="3849" max="3849" width="14.42578125" style="52" customWidth="1"/>
    <col min="3850" max="4094" width="9.140625" style="52"/>
    <col min="4095" max="4095" width="2.7109375" style="52" customWidth="1"/>
    <col min="4096" max="4096" width="9.140625" style="52"/>
    <col min="4097" max="4097" width="40.28515625" style="52" bestFit="1" customWidth="1"/>
    <col min="4098" max="4098" width="10" style="52" customWidth="1"/>
    <col min="4099" max="4099" width="10.140625" style="52" customWidth="1"/>
    <col min="4100" max="4100" width="12.28515625" style="52" customWidth="1"/>
    <col min="4101" max="4101" width="15.7109375" style="52" customWidth="1"/>
    <col min="4102" max="4102" width="12.85546875" style="52" customWidth="1"/>
    <col min="4103" max="4103" width="12.7109375" style="52" customWidth="1"/>
    <col min="4104" max="4104" width="12.85546875" style="52" customWidth="1"/>
    <col min="4105" max="4105" width="14.42578125" style="52" customWidth="1"/>
    <col min="4106" max="4350" width="9.140625" style="52"/>
    <col min="4351" max="4351" width="2.7109375" style="52" customWidth="1"/>
    <col min="4352" max="4352" width="9.140625" style="52"/>
    <col min="4353" max="4353" width="40.28515625" style="52" bestFit="1" customWidth="1"/>
    <col min="4354" max="4354" width="10" style="52" customWidth="1"/>
    <col min="4355" max="4355" width="10.140625" style="52" customWidth="1"/>
    <col min="4356" max="4356" width="12.28515625" style="52" customWidth="1"/>
    <col min="4357" max="4357" width="15.7109375" style="52" customWidth="1"/>
    <col min="4358" max="4358" width="12.85546875" style="52" customWidth="1"/>
    <col min="4359" max="4359" width="12.7109375" style="52" customWidth="1"/>
    <col min="4360" max="4360" width="12.85546875" style="52" customWidth="1"/>
    <col min="4361" max="4361" width="14.42578125" style="52" customWidth="1"/>
    <col min="4362" max="4606" width="9.140625" style="52"/>
    <col min="4607" max="4607" width="2.7109375" style="52" customWidth="1"/>
    <col min="4608" max="4608" width="9.140625" style="52"/>
    <col min="4609" max="4609" width="40.28515625" style="52" bestFit="1" customWidth="1"/>
    <col min="4610" max="4610" width="10" style="52" customWidth="1"/>
    <col min="4611" max="4611" width="10.140625" style="52" customWidth="1"/>
    <col min="4612" max="4612" width="12.28515625" style="52" customWidth="1"/>
    <col min="4613" max="4613" width="15.7109375" style="52" customWidth="1"/>
    <col min="4614" max="4614" width="12.85546875" style="52" customWidth="1"/>
    <col min="4615" max="4615" width="12.7109375" style="52" customWidth="1"/>
    <col min="4616" max="4616" width="12.85546875" style="52" customWidth="1"/>
    <col min="4617" max="4617" width="14.42578125" style="52" customWidth="1"/>
    <col min="4618" max="4862" width="9.140625" style="52"/>
    <col min="4863" max="4863" width="2.7109375" style="52" customWidth="1"/>
    <col min="4864" max="4864" width="9.140625" style="52"/>
    <col min="4865" max="4865" width="40.28515625" style="52" bestFit="1" customWidth="1"/>
    <col min="4866" max="4866" width="10" style="52" customWidth="1"/>
    <col min="4867" max="4867" width="10.140625" style="52" customWidth="1"/>
    <col min="4868" max="4868" width="12.28515625" style="52" customWidth="1"/>
    <col min="4869" max="4869" width="15.7109375" style="52" customWidth="1"/>
    <col min="4870" max="4870" width="12.85546875" style="52" customWidth="1"/>
    <col min="4871" max="4871" width="12.7109375" style="52" customWidth="1"/>
    <col min="4872" max="4872" width="12.85546875" style="52" customWidth="1"/>
    <col min="4873" max="4873" width="14.42578125" style="52" customWidth="1"/>
    <col min="4874" max="5118" width="9.140625" style="52"/>
    <col min="5119" max="5119" width="2.7109375" style="52" customWidth="1"/>
    <col min="5120" max="5120" width="9.140625" style="52"/>
    <col min="5121" max="5121" width="40.28515625" style="52" bestFit="1" customWidth="1"/>
    <col min="5122" max="5122" width="10" style="52" customWidth="1"/>
    <col min="5123" max="5123" width="10.140625" style="52" customWidth="1"/>
    <col min="5124" max="5124" width="12.28515625" style="52" customWidth="1"/>
    <col min="5125" max="5125" width="15.7109375" style="52" customWidth="1"/>
    <col min="5126" max="5126" width="12.85546875" style="52" customWidth="1"/>
    <col min="5127" max="5127" width="12.7109375" style="52" customWidth="1"/>
    <col min="5128" max="5128" width="12.85546875" style="52" customWidth="1"/>
    <col min="5129" max="5129" width="14.42578125" style="52" customWidth="1"/>
    <col min="5130" max="5374" width="9.140625" style="52"/>
    <col min="5375" max="5375" width="2.7109375" style="52" customWidth="1"/>
    <col min="5376" max="5376" width="9.140625" style="52"/>
    <col min="5377" max="5377" width="40.28515625" style="52" bestFit="1" customWidth="1"/>
    <col min="5378" max="5378" width="10" style="52" customWidth="1"/>
    <col min="5379" max="5379" width="10.140625" style="52" customWidth="1"/>
    <col min="5380" max="5380" width="12.28515625" style="52" customWidth="1"/>
    <col min="5381" max="5381" width="15.7109375" style="52" customWidth="1"/>
    <col min="5382" max="5382" width="12.85546875" style="52" customWidth="1"/>
    <col min="5383" max="5383" width="12.7109375" style="52" customWidth="1"/>
    <col min="5384" max="5384" width="12.85546875" style="52" customWidth="1"/>
    <col min="5385" max="5385" width="14.42578125" style="52" customWidth="1"/>
    <col min="5386" max="5630" width="9.140625" style="52"/>
    <col min="5631" max="5631" width="2.7109375" style="52" customWidth="1"/>
    <col min="5632" max="5632" width="9.140625" style="52"/>
    <col min="5633" max="5633" width="40.28515625" style="52" bestFit="1" customWidth="1"/>
    <col min="5634" max="5634" width="10" style="52" customWidth="1"/>
    <col min="5635" max="5635" width="10.140625" style="52" customWidth="1"/>
    <col min="5636" max="5636" width="12.28515625" style="52" customWidth="1"/>
    <col min="5637" max="5637" width="15.7109375" style="52" customWidth="1"/>
    <col min="5638" max="5638" width="12.85546875" style="52" customWidth="1"/>
    <col min="5639" max="5639" width="12.7109375" style="52" customWidth="1"/>
    <col min="5640" max="5640" width="12.85546875" style="52" customWidth="1"/>
    <col min="5641" max="5641" width="14.42578125" style="52" customWidth="1"/>
    <col min="5642" max="5886" width="9.140625" style="52"/>
    <col min="5887" max="5887" width="2.7109375" style="52" customWidth="1"/>
    <col min="5888" max="5888" width="9.140625" style="52"/>
    <col min="5889" max="5889" width="40.28515625" style="52" bestFit="1" customWidth="1"/>
    <col min="5890" max="5890" width="10" style="52" customWidth="1"/>
    <col min="5891" max="5891" width="10.140625" style="52" customWidth="1"/>
    <col min="5892" max="5892" width="12.28515625" style="52" customWidth="1"/>
    <col min="5893" max="5893" width="15.7109375" style="52" customWidth="1"/>
    <col min="5894" max="5894" width="12.85546875" style="52" customWidth="1"/>
    <col min="5895" max="5895" width="12.7109375" style="52" customWidth="1"/>
    <col min="5896" max="5896" width="12.85546875" style="52" customWidth="1"/>
    <col min="5897" max="5897" width="14.42578125" style="52" customWidth="1"/>
    <col min="5898" max="6142" width="9.140625" style="52"/>
    <col min="6143" max="6143" width="2.7109375" style="52" customWidth="1"/>
    <col min="6144" max="6144" width="9.140625" style="52"/>
    <col min="6145" max="6145" width="40.28515625" style="52" bestFit="1" customWidth="1"/>
    <col min="6146" max="6146" width="10" style="52" customWidth="1"/>
    <col min="6147" max="6147" width="10.140625" style="52" customWidth="1"/>
    <col min="6148" max="6148" width="12.28515625" style="52" customWidth="1"/>
    <col min="6149" max="6149" width="15.7109375" style="52" customWidth="1"/>
    <col min="6150" max="6150" width="12.85546875" style="52" customWidth="1"/>
    <col min="6151" max="6151" width="12.7109375" style="52" customWidth="1"/>
    <col min="6152" max="6152" width="12.85546875" style="52" customWidth="1"/>
    <col min="6153" max="6153" width="14.42578125" style="52" customWidth="1"/>
    <col min="6154" max="6398" width="9.140625" style="52"/>
    <col min="6399" max="6399" width="2.7109375" style="52" customWidth="1"/>
    <col min="6400" max="6400" width="9.140625" style="52"/>
    <col min="6401" max="6401" width="40.28515625" style="52" bestFit="1" customWidth="1"/>
    <col min="6402" max="6402" width="10" style="52" customWidth="1"/>
    <col min="6403" max="6403" width="10.140625" style="52" customWidth="1"/>
    <col min="6404" max="6404" width="12.28515625" style="52" customWidth="1"/>
    <col min="6405" max="6405" width="15.7109375" style="52" customWidth="1"/>
    <col min="6406" max="6406" width="12.85546875" style="52" customWidth="1"/>
    <col min="6407" max="6407" width="12.7109375" style="52" customWidth="1"/>
    <col min="6408" max="6408" width="12.85546875" style="52" customWidth="1"/>
    <col min="6409" max="6409" width="14.42578125" style="52" customWidth="1"/>
    <col min="6410" max="6654" width="9.140625" style="52"/>
    <col min="6655" max="6655" width="2.7109375" style="52" customWidth="1"/>
    <col min="6656" max="6656" width="9.140625" style="52"/>
    <col min="6657" max="6657" width="40.28515625" style="52" bestFit="1" customWidth="1"/>
    <col min="6658" max="6658" width="10" style="52" customWidth="1"/>
    <col min="6659" max="6659" width="10.140625" style="52" customWidth="1"/>
    <col min="6660" max="6660" width="12.28515625" style="52" customWidth="1"/>
    <col min="6661" max="6661" width="15.7109375" style="52" customWidth="1"/>
    <col min="6662" max="6662" width="12.85546875" style="52" customWidth="1"/>
    <col min="6663" max="6663" width="12.7109375" style="52" customWidth="1"/>
    <col min="6664" max="6664" width="12.85546875" style="52" customWidth="1"/>
    <col min="6665" max="6665" width="14.42578125" style="52" customWidth="1"/>
    <col min="6666" max="6910" width="9.140625" style="52"/>
    <col min="6911" max="6911" width="2.7109375" style="52" customWidth="1"/>
    <col min="6912" max="6912" width="9.140625" style="52"/>
    <col min="6913" max="6913" width="40.28515625" style="52" bestFit="1" customWidth="1"/>
    <col min="6914" max="6914" width="10" style="52" customWidth="1"/>
    <col min="6915" max="6915" width="10.140625" style="52" customWidth="1"/>
    <col min="6916" max="6916" width="12.28515625" style="52" customWidth="1"/>
    <col min="6917" max="6917" width="15.7109375" style="52" customWidth="1"/>
    <col min="6918" max="6918" width="12.85546875" style="52" customWidth="1"/>
    <col min="6919" max="6919" width="12.7109375" style="52" customWidth="1"/>
    <col min="6920" max="6920" width="12.85546875" style="52" customWidth="1"/>
    <col min="6921" max="6921" width="14.42578125" style="52" customWidth="1"/>
    <col min="6922" max="7166" width="9.140625" style="52"/>
    <col min="7167" max="7167" width="2.7109375" style="52" customWidth="1"/>
    <col min="7168" max="7168" width="9.140625" style="52"/>
    <col min="7169" max="7169" width="40.28515625" style="52" bestFit="1" customWidth="1"/>
    <col min="7170" max="7170" width="10" style="52" customWidth="1"/>
    <col min="7171" max="7171" width="10.140625" style="52" customWidth="1"/>
    <col min="7172" max="7172" width="12.28515625" style="52" customWidth="1"/>
    <col min="7173" max="7173" width="15.7109375" style="52" customWidth="1"/>
    <col min="7174" max="7174" width="12.85546875" style="52" customWidth="1"/>
    <col min="7175" max="7175" width="12.7109375" style="52" customWidth="1"/>
    <col min="7176" max="7176" width="12.85546875" style="52" customWidth="1"/>
    <col min="7177" max="7177" width="14.42578125" style="52" customWidth="1"/>
    <col min="7178" max="7422" width="9.140625" style="52"/>
    <col min="7423" max="7423" width="2.7109375" style="52" customWidth="1"/>
    <col min="7424" max="7424" width="9.140625" style="52"/>
    <col min="7425" max="7425" width="40.28515625" style="52" bestFit="1" customWidth="1"/>
    <col min="7426" max="7426" width="10" style="52" customWidth="1"/>
    <col min="7427" max="7427" width="10.140625" style="52" customWidth="1"/>
    <col min="7428" max="7428" width="12.28515625" style="52" customWidth="1"/>
    <col min="7429" max="7429" width="15.7109375" style="52" customWidth="1"/>
    <col min="7430" max="7430" width="12.85546875" style="52" customWidth="1"/>
    <col min="7431" max="7431" width="12.7109375" style="52" customWidth="1"/>
    <col min="7432" max="7432" width="12.85546875" style="52" customWidth="1"/>
    <col min="7433" max="7433" width="14.42578125" style="52" customWidth="1"/>
    <col min="7434" max="7678" width="9.140625" style="52"/>
    <col min="7679" max="7679" width="2.7109375" style="52" customWidth="1"/>
    <col min="7680" max="7680" width="9.140625" style="52"/>
    <col min="7681" max="7681" width="40.28515625" style="52" bestFit="1" customWidth="1"/>
    <col min="7682" max="7682" width="10" style="52" customWidth="1"/>
    <col min="7683" max="7683" width="10.140625" style="52" customWidth="1"/>
    <col min="7684" max="7684" width="12.28515625" style="52" customWidth="1"/>
    <col min="7685" max="7685" width="15.7109375" style="52" customWidth="1"/>
    <col min="7686" max="7686" width="12.85546875" style="52" customWidth="1"/>
    <col min="7687" max="7687" width="12.7109375" style="52" customWidth="1"/>
    <col min="7688" max="7688" width="12.85546875" style="52" customWidth="1"/>
    <col min="7689" max="7689" width="14.42578125" style="52" customWidth="1"/>
    <col min="7690" max="7934" width="9.140625" style="52"/>
    <col min="7935" max="7935" width="2.7109375" style="52" customWidth="1"/>
    <col min="7936" max="7936" width="9.140625" style="52"/>
    <col min="7937" max="7937" width="40.28515625" style="52" bestFit="1" customWidth="1"/>
    <col min="7938" max="7938" width="10" style="52" customWidth="1"/>
    <col min="7939" max="7939" width="10.140625" style="52" customWidth="1"/>
    <col min="7940" max="7940" width="12.28515625" style="52" customWidth="1"/>
    <col min="7941" max="7941" width="15.7109375" style="52" customWidth="1"/>
    <col min="7942" max="7942" width="12.85546875" style="52" customWidth="1"/>
    <col min="7943" max="7943" width="12.7109375" style="52" customWidth="1"/>
    <col min="7944" max="7944" width="12.85546875" style="52" customWidth="1"/>
    <col min="7945" max="7945" width="14.42578125" style="52" customWidth="1"/>
    <col min="7946" max="8190" width="9.140625" style="52"/>
    <col min="8191" max="8191" width="2.7109375" style="52" customWidth="1"/>
    <col min="8192" max="8192" width="9.140625" style="52"/>
    <col min="8193" max="8193" width="40.28515625" style="52" bestFit="1" customWidth="1"/>
    <col min="8194" max="8194" width="10" style="52" customWidth="1"/>
    <col min="8195" max="8195" width="10.140625" style="52" customWidth="1"/>
    <col min="8196" max="8196" width="12.28515625" style="52" customWidth="1"/>
    <col min="8197" max="8197" width="15.7109375" style="52" customWidth="1"/>
    <col min="8198" max="8198" width="12.85546875" style="52" customWidth="1"/>
    <col min="8199" max="8199" width="12.7109375" style="52" customWidth="1"/>
    <col min="8200" max="8200" width="12.85546875" style="52" customWidth="1"/>
    <col min="8201" max="8201" width="14.42578125" style="52" customWidth="1"/>
    <col min="8202" max="8446" width="9.140625" style="52"/>
    <col min="8447" max="8447" width="2.7109375" style="52" customWidth="1"/>
    <col min="8448" max="8448" width="9.140625" style="52"/>
    <col min="8449" max="8449" width="40.28515625" style="52" bestFit="1" customWidth="1"/>
    <col min="8450" max="8450" width="10" style="52" customWidth="1"/>
    <col min="8451" max="8451" width="10.140625" style="52" customWidth="1"/>
    <col min="8452" max="8452" width="12.28515625" style="52" customWidth="1"/>
    <col min="8453" max="8453" width="15.7109375" style="52" customWidth="1"/>
    <col min="8454" max="8454" width="12.85546875" style="52" customWidth="1"/>
    <col min="8455" max="8455" width="12.7109375" style="52" customWidth="1"/>
    <col min="8456" max="8456" width="12.85546875" style="52" customWidth="1"/>
    <col min="8457" max="8457" width="14.42578125" style="52" customWidth="1"/>
    <col min="8458" max="8702" width="9.140625" style="52"/>
    <col min="8703" max="8703" width="2.7109375" style="52" customWidth="1"/>
    <col min="8704" max="8704" width="9.140625" style="52"/>
    <col min="8705" max="8705" width="40.28515625" style="52" bestFit="1" customWidth="1"/>
    <col min="8706" max="8706" width="10" style="52" customWidth="1"/>
    <col min="8707" max="8707" width="10.140625" style="52" customWidth="1"/>
    <col min="8708" max="8708" width="12.28515625" style="52" customWidth="1"/>
    <col min="8709" max="8709" width="15.7109375" style="52" customWidth="1"/>
    <col min="8710" max="8710" width="12.85546875" style="52" customWidth="1"/>
    <col min="8711" max="8711" width="12.7109375" style="52" customWidth="1"/>
    <col min="8712" max="8712" width="12.85546875" style="52" customWidth="1"/>
    <col min="8713" max="8713" width="14.42578125" style="52" customWidth="1"/>
    <col min="8714" max="8958" width="9.140625" style="52"/>
    <col min="8959" max="8959" width="2.7109375" style="52" customWidth="1"/>
    <col min="8960" max="8960" width="9.140625" style="52"/>
    <col min="8961" max="8961" width="40.28515625" style="52" bestFit="1" customWidth="1"/>
    <col min="8962" max="8962" width="10" style="52" customWidth="1"/>
    <col min="8963" max="8963" width="10.140625" style="52" customWidth="1"/>
    <col min="8964" max="8964" width="12.28515625" style="52" customWidth="1"/>
    <col min="8965" max="8965" width="15.7109375" style="52" customWidth="1"/>
    <col min="8966" max="8966" width="12.85546875" style="52" customWidth="1"/>
    <col min="8967" max="8967" width="12.7109375" style="52" customWidth="1"/>
    <col min="8968" max="8968" width="12.85546875" style="52" customWidth="1"/>
    <col min="8969" max="8969" width="14.42578125" style="52" customWidth="1"/>
    <col min="8970" max="9214" width="9.140625" style="52"/>
    <col min="9215" max="9215" width="2.7109375" style="52" customWidth="1"/>
    <col min="9216" max="9216" width="9.140625" style="52"/>
    <col min="9217" max="9217" width="40.28515625" style="52" bestFit="1" customWidth="1"/>
    <col min="9218" max="9218" width="10" style="52" customWidth="1"/>
    <col min="9219" max="9219" width="10.140625" style="52" customWidth="1"/>
    <col min="9220" max="9220" width="12.28515625" style="52" customWidth="1"/>
    <col min="9221" max="9221" width="15.7109375" style="52" customWidth="1"/>
    <col min="9222" max="9222" width="12.85546875" style="52" customWidth="1"/>
    <col min="9223" max="9223" width="12.7109375" style="52" customWidth="1"/>
    <col min="9224" max="9224" width="12.85546875" style="52" customWidth="1"/>
    <col min="9225" max="9225" width="14.42578125" style="52" customWidth="1"/>
    <col min="9226" max="9470" width="9.140625" style="52"/>
    <col min="9471" max="9471" width="2.7109375" style="52" customWidth="1"/>
    <col min="9472" max="9472" width="9.140625" style="52"/>
    <col min="9473" max="9473" width="40.28515625" style="52" bestFit="1" customWidth="1"/>
    <col min="9474" max="9474" width="10" style="52" customWidth="1"/>
    <col min="9475" max="9475" width="10.140625" style="52" customWidth="1"/>
    <col min="9476" max="9476" width="12.28515625" style="52" customWidth="1"/>
    <col min="9477" max="9477" width="15.7109375" style="52" customWidth="1"/>
    <col min="9478" max="9478" width="12.85546875" style="52" customWidth="1"/>
    <col min="9479" max="9479" width="12.7109375" style="52" customWidth="1"/>
    <col min="9480" max="9480" width="12.85546875" style="52" customWidth="1"/>
    <col min="9481" max="9481" width="14.42578125" style="52" customWidth="1"/>
    <col min="9482" max="9726" width="9.140625" style="52"/>
    <col min="9727" max="9727" width="2.7109375" style="52" customWidth="1"/>
    <col min="9728" max="9728" width="9.140625" style="52"/>
    <col min="9729" max="9729" width="40.28515625" style="52" bestFit="1" customWidth="1"/>
    <col min="9730" max="9730" width="10" style="52" customWidth="1"/>
    <col min="9731" max="9731" width="10.140625" style="52" customWidth="1"/>
    <col min="9732" max="9732" width="12.28515625" style="52" customWidth="1"/>
    <col min="9733" max="9733" width="15.7109375" style="52" customWidth="1"/>
    <col min="9734" max="9734" width="12.85546875" style="52" customWidth="1"/>
    <col min="9735" max="9735" width="12.7109375" style="52" customWidth="1"/>
    <col min="9736" max="9736" width="12.85546875" style="52" customWidth="1"/>
    <col min="9737" max="9737" width="14.42578125" style="52" customWidth="1"/>
    <col min="9738" max="9982" width="9.140625" style="52"/>
    <col min="9983" max="9983" width="2.7109375" style="52" customWidth="1"/>
    <col min="9984" max="9984" width="9.140625" style="52"/>
    <col min="9985" max="9985" width="40.28515625" style="52" bestFit="1" customWidth="1"/>
    <col min="9986" max="9986" width="10" style="52" customWidth="1"/>
    <col min="9987" max="9987" width="10.140625" style="52" customWidth="1"/>
    <col min="9988" max="9988" width="12.28515625" style="52" customWidth="1"/>
    <col min="9989" max="9989" width="15.7109375" style="52" customWidth="1"/>
    <col min="9990" max="9990" width="12.85546875" style="52" customWidth="1"/>
    <col min="9991" max="9991" width="12.7109375" style="52" customWidth="1"/>
    <col min="9992" max="9992" width="12.85546875" style="52" customWidth="1"/>
    <col min="9993" max="9993" width="14.42578125" style="52" customWidth="1"/>
    <col min="9994" max="10238" width="9.140625" style="52"/>
    <col min="10239" max="10239" width="2.7109375" style="52" customWidth="1"/>
    <col min="10240" max="10240" width="9.140625" style="52"/>
    <col min="10241" max="10241" width="40.28515625" style="52" bestFit="1" customWidth="1"/>
    <col min="10242" max="10242" width="10" style="52" customWidth="1"/>
    <col min="10243" max="10243" width="10.140625" style="52" customWidth="1"/>
    <col min="10244" max="10244" width="12.28515625" style="52" customWidth="1"/>
    <col min="10245" max="10245" width="15.7109375" style="52" customWidth="1"/>
    <col min="10246" max="10246" width="12.85546875" style="52" customWidth="1"/>
    <col min="10247" max="10247" width="12.7109375" style="52" customWidth="1"/>
    <col min="10248" max="10248" width="12.85546875" style="52" customWidth="1"/>
    <col min="10249" max="10249" width="14.42578125" style="52" customWidth="1"/>
    <col min="10250" max="10494" width="9.140625" style="52"/>
    <col min="10495" max="10495" width="2.7109375" style="52" customWidth="1"/>
    <col min="10496" max="10496" width="9.140625" style="52"/>
    <col min="10497" max="10497" width="40.28515625" style="52" bestFit="1" customWidth="1"/>
    <col min="10498" max="10498" width="10" style="52" customWidth="1"/>
    <col min="10499" max="10499" width="10.140625" style="52" customWidth="1"/>
    <col min="10500" max="10500" width="12.28515625" style="52" customWidth="1"/>
    <col min="10501" max="10501" width="15.7109375" style="52" customWidth="1"/>
    <col min="10502" max="10502" width="12.85546875" style="52" customWidth="1"/>
    <col min="10503" max="10503" width="12.7109375" style="52" customWidth="1"/>
    <col min="10504" max="10504" width="12.85546875" style="52" customWidth="1"/>
    <col min="10505" max="10505" width="14.42578125" style="52" customWidth="1"/>
    <col min="10506" max="10750" width="9.140625" style="52"/>
    <col min="10751" max="10751" width="2.7109375" style="52" customWidth="1"/>
    <col min="10752" max="10752" width="9.140625" style="52"/>
    <col min="10753" max="10753" width="40.28515625" style="52" bestFit="1" customWidth="1"/>
    <col min="10754" max="10754" width="10" style="52" customWidth="1"/>
    <col min="10755" max="10755" width="10.140625" style="52" customWidth="1"/>
    <col min="10756" max="10756" width="12.28515625" style="52" customWidth="1"/>
    <col min="10757" max="10757" width="15.7109375" style="52" customWidth="1"/>
    <col min="10758" max="10758" width="12.85546875" style="52" customWidth="1"/>
    <col min="10759" max="10759" width="12.7109375" style="52" customWidth="1"/>
    <col min="10760" max="10760" width="12.85546875" style="52" customWidth="1"/>
    <col min="10761" max="10761" width="14.42578125" style="52" customWidth="1"/>
    <col min="10762" max="11006" width="9.140625" style="52"/>
    <col min="11007" max="11007" width="2.7109375" style="52" customWidth="1"/>
    <col min="11008" max="11008" width="9.140625" style="52"/>
    <col min="11009" max="11009" width="40.28515625" style="52" bestFit="1" customWidth="1"/>
    <col min="11010" max="11010" width="10" style="52" customWidth="1"/>
    <col min="11011" max="11011" width="10.140625" style="52" customWidth="1"/>
    <col min="11012" max="11012" width="12.28515625" style="52" customWidth="1"/>
    <col min="11013" max="11013" width="15.7109375" style="52" customWidth="1"/>
    <col min="11014" max="11014" width="12.85546875" style="52" customWidth="1"/>
    <col min="11015" max="11015" width="12.7109375" style="52" customWidth="1"/>
    <col min="11016" max="11016" width="12.85546875" style="52" customWidth="1"/>
    <col min="11017" max="11017" width="14.42578125" style="52" customWidth="1"/>
    <col min="11018" max="11262" width="9.140625" style="52"/>
    <col min="11263" max="11263" width="2.7109375" style="52" customWidth="1"/>
    <col min="11264" max="11264" width="9.140625" style="52"/>
    <col min="11265" max="11265" width="40.28515625" style="52" bestFit="1" customWidth="1"/>
    <col min="11266" max="11266" width="10" style="52" customWidth="1"/>
    <col min="11267" max="11267" width="10.140625" style="52" customWidth="1"/>
    <col min="11268" max="11268" width="12.28515625" style="52" customWidth="1"/>
    <col min="11269" max="11269" width="15.7109375" style="52" customWidth="1"/>
    <col min="11270" max="11270" width="12.85546875" style="52" customWidth="1"/>
    <col min="11271" max="11271" width="12.7109375" style="52" customWidth="1"/>
    <col min="11272" max="11272" width="12.85546875" style="52" customWidth="1"/>
    <col min="11273" max="11273" width="14.42578125" style="52" customWidth="1"/>
    <col min="11274" max="11518" width="9.140625" style="52"/>
    <col min="11519" max="11519" width="2.7109375" style="52" customWidth="1"/>
    <col min="11520" max="11520" width="9.140625" style="52"/>
    <col min="11521" max="11521" width="40.28515625" style="52" bestFit="1" customWidth="1"/>
    <col min="11522" max="11522" width="10" style="52" customWidth="1"/>
    <col min="11523" max="11523" width="10.140625" style="52" customWidth="1"/>
    <col min="11524" max="11524" width="12.28515625" style="52" customWidth="1"/>
    <col min="11525" max="11525" width="15.7109375" style="52" customWidth="1"/>
    <col min="11526" max="11526" width="12.85546875" style="52" customWidth="1"/>
    <col min="11527" max="11527" width="12.7109375" style="52" customWidth="1"/>
    <col min="11528" max="11528" width="12.85546875" style="52" customWidth="1"/>
    <col min="11529" max="11529" width="14.42578125" style="52" customWidth="1"/>
    <col min="11530" max="11774" width="9.140625" style="52"/>
    <col min="11775" max="11775" width="2.7109375" style="52" customWidth="1"/>
    <col min="11776" max="11776" width="9.140625" style="52"/>
    <col min="11777" max="11777" width="40.28515625" style="52" bestFit="1" customWidth="1"/>
    <col min="11778" max="11778" width="10" style="52" customWidth="1"/>
    <col min="11779" max="11779" width="10.140625" style="52" customWidth="1"/>
    <col min="11780" max="11780" width="12.28515625" style="52" customWidth="1"/>
    <col min="11781" max="11781" width="15.7109375" style="52" customWidth="1"/>
    <col min="11782" max="11782" width="12.85546875" style="52" customWidth="1"/>
    <col min="11783" max="11783" width="12.7109375" style="52" customWidth="1"/>
    <col min="11784" max="11784" width="12.85546875" style="52" customWidth="1"/>
    <col min="11785" max="11785" width="14.42578125" style="52" customWidth="1"/>
    <col min="11786" max="12030" width="9.140625" style="52"/>
    <col min="12031" max="12031" width="2.7109375" style="52" customWidth="1"/>
    <col min="12032" max="12032" width="9.140625" style="52"/>
    <col min="12033" max="12033" width="40.28515625" style="52" bestFit="1" customWidth="1"/>
    <col min="12034" max="12034" width="10" style="52" customWidth="1"/>
    <col min="12035" max="12035" width="10.140625" style="52" customWidth="1"/>
    <col min="12036" max="12036" width="12.28515625" style="52" customWidth="1"/>
    <col min="12037" max="12037" width="15.7109375" style="52" customWidth="1"/>
    <col min="12038" max="12038" width="12.85546875" style="52" customWidth="1"/>
    <col min="12039" max="12039" width="12.7109375" style="52" customWidth="1"/>
    <col min="12040" max="12040" width="12.85546875" style="52" customWidth="1"/>
    <col min="12041" max="12041" width="14.42578125" style="52" customWidth="1"/>
    <col min="12042" max="12286" width="9.140625" style="52"/>
    <col min="12287" max="12287" width="2.7109375" style="52" customWidth="1"/>
    <col min="12288" max="12288" width="9.140625" style="52"/>
    <col min="12289" max="12289" width="40.28515625" style="52" bestFit="1" customWidth="1"/>
    <col min="12290" max="12290" width="10" style="52" customWidth="1"/>
    <col min="12291" max="12291" width="10.140625" style="52" customWidth="1"/>
    <col min="12292" max="12292" width="12.28515625" style="52" customWidth="1"/>
    <col min="12293" max="12293" width="15.7109375" style="52" customWidth="1"/>
    <col min="12294" max="12294" width="12.85546875" style="52" customWidth="1"/>
    <col min="12295" max="12295" width="12.7109375" style="52" customWidth="1"/>
    <col min="12296" max="12296" width="12.85546875" style="52" customWidth="1"/>
    <col min="12297" max="12297" width="14.42578125" style="52" customWidth="1"/>
    <col min="12298" max="12542" width="9.140625" style="52"/>
    <col min="12543" max="12543" width="2.7109375" style="52" customWidth="1"/>
    <col min="12544" max="12544" width="9.140625" style="52"/>
    <col min="12545" max="12545" width="40.28515625" style="52" bestFit="1" customWidth="1"/>
    <col min="12546" max="12546" width="10" style="52" customWidth="1"/>
    <col min="12547" max="12547" width="10.140625" style="52" customWidth="1"/>
    <col min="12548" max="12548" width="12.28515625" style="52" customWidth="1"/>
    <col min="12549" max="12549" width="15.7109375" style="52" customWidth="1"/>
    <col min="12550" max="12550" width="12.85546875" style="52" customWidth="1"/>
    <col min="12551" max="12551" width="12.7109375" style="52" customWidth="1"/>
    <col min="12552" max="12552" width="12.85546875" style="52" customWidth="1"/>
    <col min="12553" max="12553" width="14.42578125" style="52" customWidth="1"/>
    <col min="12554" max="12798" width="9.140625" style="52"/>
    <col min="12799" max="12799" width="2.7109375" style="52" customWidth="1"/>
    <col min="12800" max="12800" width="9.140625" style="52"/>
    <col min="12801" max="12801" width="40.28515625" style="52" bestFit="1" customWidth="1"/>
    <col min="12802" max="12802" width="10" style="52" customWidth="1"/>
    <col min="12803" max="12803" width="10.140625" style="52" customWidth="1"/>
    <col min="12804" max="12804" width="12.28515625" style="52" customWidth="1"/>
    <col min="12805" max="12805" width="15.7109375" style="52" customWidth="1"/>
    <col min="12806" max="12806" width="12.85546875" style="52" customWidth="1"/>
    <col min="12807" max="12807" width="12.7109375" style="52" customWidth="1"/>
    <col min="12808" max="12808" width="12.85546875" style="52" customWidth="1"/>
    <col min="12809" max="12809" width="14.42578125" style="52" customWidth="1"/>
    <col min="12810" max="13054" width="9.140625" style="52"/>
    <col min="13055" max="13055" width="2.7109375" style="52" customWidth="1"/>
    <col min="13056" max="13056" width="9.140625" style="52"/>
    <col min="13057" max="13057" width="40.28515625" style="52" bestFit="1" customWidth="1"/>
    <col min="13058" max="13058" width="10" style="52" customWidth="1"/>
    <col min="13059" max="13059" width="10.140625" style="52" customWidth="1"/>
    <col min="13060" max="13060" width="12.28515625" style="52" customWidth="1"/>
    <col min="13061" max="13061" width="15.7109375" style="52" customWidth="1"/>
    <col min="13062" max="13062" width="12.85546875" style="52" customWidth="1"/>
    <col min="13063" max="13063" width="12.7109375" style="52" customWidth="1"/>
    <col min="13064" max="13064" width="12.85546875" style="52" customWidth="1"/>
    <col min="13065" max="13065" width="14.42578125" style="52" customWidth="1"/>
    <col min="13066" max="13310" width="9.140625" style="52"/>
    <col min="13311" max="13311" width="2.7109375" style="52" customWidth="1"/>
    <col min="13312" max="13312" width="9.140625" style="52"/>
    <col min="13313" max="13313" width="40.28515625" style="52" bestFit="1" customWidth="1"/>
    <col min="13314" max="13314" width="10" style="52" customWidth="1"/>
    <col min="13315" max="13315" width="10.140625" style="52" customWidth="1"/>
    <col min="13316" max="13316" width="12.28515625" style="52" customWidth="1"/>
    <col min="13317" max="13317" width="15.7109375" style="52" customWidth="1"/>
    <col min="13318" max="13318" width="12.85546875" style="52" customWidth="1"/>
    <col min="13319" max="13319" width="12.7109375" style="52" customWidth="1"/>
    <col min="13320" max="13320" width="12.85546875" style="52" customWidth="1"/>
    <col min="13321" max="13321" width="14.42578125" style="52" customWidth="1"/>
    <col min="13322" max="13566" width="9.140625" style="52"/>
    <col min="13567" max="13567" width="2.7109375" style="52" customWidth="1"/>
    <col min="13568" max="13568" width="9.140625" style="52"/>
    <col min="13569" max="13569" width="40.28515625" style="52" bestFit="1" customWidth="1"/>
    <col min="13570" max="13570" width="10" style="52" customWidth="1"/>
    <col min="13571" max="13571" width="10.140625" style="52" customWidth="1"/>
    <col min="13572" max="13572" width="12.28515625" style="52" customWidth="1"/>
    <col min="13573" max="13573" width="15.7109375" style="52" customWidth="1"/>
    <col min="13574" max="13574" width="12.85546875" style="52" customWidth="1"/>
    <col min="13575" max="13575" width="12.7109375" style="52" customWidth="1"/>
    <col min="13576" max="13576" width="12.85546875" style="52" customWidth="1"/>
    <col min="13577" max="13577" width="14.42578125" style="52" customWidth="1"/>
    <col min="13578" max="13822" width="9.140625" style="52"/>
    <col min="13823" max="13823" width="2.7109375" style="52" customWidth="1"/>
    <col min="13824" max="13824" width="9.140625" style="52"/>
    <col min="13825" max="13825" width="40.28515625" style="52" bestFit="1" customWidth="1"/>
    <col min="13826" max="13826" width="10" style="52" customWidth="1"/>
    <col min="13827" max="13827" width="10.140625" style="52" customWidth="1"/>
    <col min="13828" max="13828" width="12.28515625" style="52" customWidth="1"/>
    <col min="13829" max="13829" width="15.7109375" style="52" customWidth="1"/>
    <col min="13830" max="13830" width="12.85546875" style="52" customWidth="1"/>
    <col min="13831" max="13831" width="12.7109375" style="52" customWidth="1"/>
    <col min="13832" max="13832" width="12.85546875" style="52" customWidth="1"/>
    <col min="13833" max="13833" width="14.42578125" style="52" customWidth="1"/>
    <col min="13834" max="14078" width="9.140625" style="52"/>
    <col min="14079" max="14079" width="2.7109375" style="52" customWidth="1"/>
    <col min="14080" max="14080" width="9.140625" style="52"/>
    <col min="14081" max="14081" width="40.28515625" style="52" bestFit="1" customWidth="1"/>
    <col min="14082" max="14082" width="10" style="52" customWidth="1"/>
    <col min="14083" max="14083" width="10.140625" style="52" customWidth="1"/>
    <col min="14084" max="14084" width="12.28515625" style="52" customWidth="1"/>
    <col min="14085" max="14085" width="15.7109375" style="52" customWidth="1"/>
    <col min="14086" max="14086" width="12.85546875" style="52" customWidth="1"/>
    <col min="14087" max="14087" width="12.7109375" style="52" customWidth="1"/>
    <col min="14088" max="14088" width="12.85546875" style="52" customWidth="1"/>
    <col min="14089" max="14089" width="14.42578125" style="52" customWidth="1"/>
    <col min="14090" max="14334" width="9.140625" style="52"/>
    <col min="14335" max="14335" width="2.7109375" style="52" customWidth="1"/>
    <col min="14336" max="14336" width="9.140625" style="52"/>
    <col min="14337" max="14337" width="40.28515625" style="52" bestFit="1" customWidth="1"/>
    <col min="14338" max="14338" width="10" style="52" customWidth="1"/>
    <col min="14339" max="14339" width="10.140625" style="52" customWidth="1"/>
    <col min="14340" max="14340" width="12.28515625" style="52" customWidth="1"/>
    <col min="14341" max="14341" width="15.7109375" style="52" customWidth="1"/>
    <col min="14342" max="14342" width="12.85546875" style="52" customWidth="1"/>
    <col min="14343" max="14343" width="12.7109375" style="52" customWidth="1"/>
    <col min="14344" max="14344" width="12.85546875" style="52" customWidth="1"/>
    <col min="14345" max="14345" width="14.42578125" style="52" customWidth="1"/>
    <col min="14346" max="14590" width="9.140625" style="52"/>
    <col min="14591" max="14591" width="2.7109375" style="52" customWidth="1"/>
    <col min="14592" max="14592" width="9.140625" style="52"/>
    <col min="14593" max="14593" width="40.28515625" style="52" bestFit="1" customWidth="1"/>
    <col min="14594" max="14594" width="10" style="52" customWidth="1"/>
    <col min="14595" max="14595" width="10.140625" style="52" customWidth="1"/>
    <col min="14596" max="14596" width="12.28515625" style="52" customWidth="1"/>
    <col min="14597" max="14597" width="15.7109375" style="52" customWidth="1"/>
    <col min="14598" max="14598" width="12.85546875" style="52" customWidth="1"/>
    <col min="14599" max="14599" width="12.7109375" style="52" customWidth="1"/>
    <col min="14600" max="14600" width="12.85546875" style="52" customWidth="1"/>
    <col min="14601" max="14601" width="14.42578125" style="52" customWidth="1"/>
    <col min="14602" max="14846" width="9.140625" style="52"/>
    <col min="14847" max="14847" width="2.7109375" style="52" customWidth="1"/>
    <col min="14848" max="14848" width="9.140625" style="52"/>
    <col min="14849" max="14849" width="40.28515625" style="52" bestFit="1" customWidth="1"/>
    <col min="14850" max="14850" width="10" style="52" customWidth="1"/>
    <col min="14851" max="14851" width="10.140625" style="52" customWidth="1"/>
    <col min="14852" max="14852" width="12.28515625" style="52" customWidth="1"/>
    <col min="14853" max="14853" width="15.7109375" style="52" customWidth="1"/>
    <col min="14854" max="14854" width="12.85546875" style="52" customWidth="1"/>
    <col min="14855" max="14855" width="12.7109375" style="52" customWidth="1"/>
    <col min="14856" max="14856" width="12.85546875" style="52" customWidth="1"/>
    <col min="14857" max="14857" width="14.42578125" style="52" customWidth="1"/>
    <col min="14858" max="15102" width="9.140625" style="52"/>
    <col min="15103" max="15103" width="2.7109375" style="52" customWidth="1"/>
    <col min="15104" max="15104" width="9.140625" style="52"/>
    <col min="15105" max="15105" width="40.28515625" style="52" bestFit="1" customWidth="1"/>
    <col min="15106" max="15106" width="10" style="52" customWidth="1"/>
    <col min="15107" max="15107" width="10.140625" style="52" customWidth="1"/>
    <col min="15108" max="15108" width="12.28515625" style="52" customWidth="1"/>
    <col min="15109" max="15109" width="15.7109375" style="52" customWidth="1"/>
    <col min="15110" max="15110" width="12.85546875" style="52" customWidth="1"/>
    <col min="15111" max="15111" width="12.7109375" style="52" customWidth="1"/>
    <col min="15112" max="15112" width="12.85546875" style="52" customWidth="1"/>
    <col min="15113" max="15113" width="14.42578125" style="52" customWidth="1"/>
    <col min="15114" max="15358" width="9.140625" style="52"/>
    <col min="15359" max="15359" width="2.7109375" style="52" customWidth="1"/>
    <col min="15360" max="15360" width="9.140625" style="52"/>
    <col min="15361" max="15361" width="40.28515625" style="52" bestFit="1" customWidth="1"/>
    <col min="15362" max="15362" width="10" style="52" customWidth="1"/>
    <col min="15363" max="15363" width="10.140625" style="52" customWidth="1"/>
    <col min="15364" max="15364" width="12.28515625" style="52" customWidth="1"/>
    <col min="15365" max="15365" width="15.7109375" style="52" customWidth="1"/>
    <col min="15366" max="15366" width="12.85546875" style="52" customWidth="1"/>
    <col min="15367" max="15367" width="12.7109375" style="52" customWidth="1"/>
    <col min="15368" max="15368" width="12.85546875" style="52" customWidth="1"/>
    <col min="15369" max="15369" width="14.42578125" style="52" customWidth="1"/>
    <col min="15370" max="15614" width="9.140625" style="52"/>
    <col min="15615" max="15615" width="2.7109375" style="52" customWidth="1"/>
    <col min="15616" max="15616" width="9.140625" style="52"/>
    <col min="15617" max="15617" width="40.28515625" style="52" bestFit="1" customWidth="1"/>
    <col min="15618" max="15618" width="10" style="52" customWidth="1"/>
    <col min="15619" max="15619" width="10.140625" style="52" customWidth="1"/>
    <col min="15620" max="15620" width="12.28515625" style="52" customWidth="1"/>
    <col min="15621" max="15621" width="15.7109375" style="52" customWidth="1"/>
    <col min="15622" max="15622" width="12.85546875" style="52" customWidth="1"/>
    <col min="15623" max="15623" width="12.7109375" style="52" customWidth="1"/>
    <col min="15624" max="15624" width="12.85546875" style="52" customWidth="1"/>
    <col min="15625" max="15625" width="14.42578125" style="52" customWidth="1"/>
    <col min="15626" max="15870" width="9.140625" style="52"/>
    <col min="15871" max="15871" width="2.7109375" style="52" customWidth="1"/>
    <col min="15872" max="15872" width="9.140625" style="52"/>
    <col min="15873" max="15873" width="40.28515625" style="52" bestFit="1" customWidth="1"/>
    <col min="15874" max="15874" width="10" style="52" customWidth="1"/>
    <col min="15875" max="15875" width="10.140625" style="52" customWidth="1"/>
    <col min="15876" max="15876" width="12.28515625" style="52" customWidth="1"/>
    <col min="15877" max="15877" width="15.7109375" style="52" customWidth="1"/>
    <col min="15878" max="15878" width="12.85546875" style="52" customWidth="1"/>
    <col min="15879" max="15879" width="12.7109375" style="52" customWidth="1"/>
    <col min="15880" max="15880" width="12.85546875" style="52" customWidth="1"/>
    <col min="15881" max="15881" width="14.42578125" style="52" customWidth="1"/>
    <col min="15882" max="16126" width="9.140625" style="52"/>
    <col min="16127" max="16127" width="2.7109375" style="52" customWidth="1"/>
    <col min="16128" max="16128" width="9.140625" style="52"/>
    <col min="16129" max="16129" width="40.28515625" style="52" bestFit="1" customWidth="1"/>
    <col min="16130" max="16130" width="10" style="52" customWidth="1"/>
    <col min="16131" max="16131" width="10.140625" style="52" customWidth="1"/>
    <col min="16132" max="16132" width="12.28515625" style="52" customWidth="1"/>
    <col min="16133" max="16133" width="15.7109375" style="52" customWidth="1"/>
    <col min="16134" max="16134" width="12.85546875" style="52" customWidth="1"/>
    <col min="16135" max="16135" width="12.7109375" style="52" customWidth="1"/>
    <col min="16136" max="16136" width="12.85546875" style="52" customWidth="1"/>
    <col min="16137" max="16137" width="14.42578125" style="52" customWidth="1"/>
    <col min="16138" max="16384" width="9.140625" style="52"/>
  </cols>
  <sheetData>
    <row r="1" spans="1:13" x14ac:dyDescent="0.2">
      <c r="C1" s="155"/>
      <c r="D1" s="154"/>
      <c r="E1" s="155"/>
      <c r="F1" s="155"/>
      <c r="G1" s="155"/>
      <c r="H1" s="155"/>
      <c r="I1" s="155"/>
      <c r="J1" s="152" t="s">
        <v>301</v>
      </c>
      <c r="K1" s="1146" t="str">
        <f>EBNUMBER</f>
        <v>EB-2016-0066</v>
      </c>
      <c r="M1" s="155"/>
    </row>
    <row r="2" spans="1:13" x14ac:dyDescent="0.2">
      <c r="C2" s="155"/>
      <c r="D2" s="154"/>
      <c r="E2" s="155"/>
      <c r="F2" s="155"/>
      <c r="G2" s="155"/>
      <c r="H2" s="155"/>
      <c r="I2" s="155"/>
      <c r="J2" s="152" t="s">
        <v>302</v>
      </c>
      <c r="K2" s="51"/>
      <c r="M2" s="155"/>
    </row>
    <row r="3" spans="1:13" x14ac:dyDescent="0.2">
      <c r="C3" s="155"/>
      <c r="D3" s="154"/>
      <c r="E3" s="155"/>
      <c r="F3" s="155"/>
      <c r="G3" s="155"/>
      <c r="H3" s="155"/>
      <c r="I3" s="155"/>
      <c r="J3" s="152" t="s">
        <v>303</v>
      </c>
      <c r="K3" s="51"/>
      <c r="M3" s="155"/>
    </row>
    <row r="4" spans="1:13" x14ac:dyDescent="0.2">
      <c r="C4" s="155"/>
      <c r="D4" s="154"/>
      <c r="E4" s="155"/>
      <c r="F4" s="155"/>
      <c r="G4" s="155"/>
      <c r="H4" s="155"/>
      <c r="I4" s="155"/>
      <c r="J4" s="152" t="s">
        <v>304</v>
      </c>
      <c r="K4" s="51"/>
      <c r="M4" s="155"/>
    </row>
    <row r="5" spans="1:13" x14ac:dyDescent="0.2">
      <c r="C5" s="155"/>
      <c r="D5" s="154"/>
      <c r="E5" s="155"/>
      <c r="F5" s="155"/>
      <c r="G5" s="155"/>
      <c r="H5" s="155"/>
      <c r="I5" s="155"/>
      <c r="J5" s="152" t="s">
        <v>305</v>
      </c>
      <c r="K5" s="1147"/>
      <c r="M5" s="155"/>
    </row>
    <row r="6" spans="1:13" x14ac:dyDescent="0.2">
      <c r="C6" s="155"/>
      <c r="D6" s="154"/>
      <c r="E6" s="155"/>
      <c r="F6" s="155"/>
      <c r="G6" s="155"/>
      <c r="H6" s="155"/>
      <c r="I6" s="155"/>
      <c r="J6" s="152"/>
      <c r="K6" s="1146"/>
      <c r="M6" s="155"/>
    </row>
    <row r="7" spans="1:13" x14ac:dyDescent="0.2">
      <c r="C7" s="155"/>
      <c r="D7" s="154"/>
      <c r="E7" s="155"/>
      <c r="F7" s="155"/>
      <c r="G7" s="155"/>
      <c r="H7" s="155"/>
      <c r="I7" s="155"/>
      <c r="J7" s="152" t="s">
        <v>306</v>
      </c>
      <c r="K7" s="1147"/>
      <c r="M7" s="239"/>
    </row>
    <row r="9" spans="1:13" ht="18" x14ac:dyDescent="0.2">
      <c r="A9" s="1679" t="s">
        <v>1446</v>
      </c>
      <c r="B9" s="1679"/>
      <c r="C9" s="1679"/>
      <c r="D9" s="1679"/>
      <c r="E9" s="1679"/>
      <c r="F9" s="1679"/>
      <c r="G9" s="1679"/>
      <c r="H9" s="1679"/>
      <c r="I9" s="1679"/>
    </row>
    <row r="10" spans="1:13" ht="18" x14ac:dyDescent="0.2">
      <c r="A10" s="1679" t="s">
        <v>2</v>
      </c>
      <c r="B10" s="1679"/>
      <c r="C10" s="1679"/>
      <c r="D10" s="1679"/>
      <c r="E10" s="1679"/>
      <c r="F10" s="1679"/>
      <c r="G10" s="1679"/>
      <c r="H10" s="1679"/>
      <c r="I10" s="1679"/>
    </row>
    <row r="11" spans="1:13" ht="24" customHeight="1" x14ac:dyDescent="0.2">
      <c r="A11" s="1680" t="s">
        <v>1094</v>
      </c>
      <c r="B11" s="1680"/>
      <c r="C11" s="1680"/>
      <c r="D11" s="1680"/>
      <c r="E11" s="1680"/>
      <c r="F11" s="1680"/>
      <c r="G11" s="1680"/>
      <c r="H11" s="1680"/>
      <c r="I11" s="295"/>
      <c r="J11" s="295"/>
    </row>
    <row r="12" spans="1:13" ht="24" customHeight="1" x14ac:dyDescent="0.2">
      <c r="A12" s="1113"/>
      <c r="B12" s="1113"/>
      <c r="C12" s="1113"/>
      <c r="D12" s="1113"/>
      <c r="E12" s="1113"/>
      <c r="F12" s="1113"/>
      <c r="G12" s="1113"/>
      <c r="H12" s="1113"/>
      <c r="I12" s="295"/>
      <c r="J12" s="295"/>
    </row>
    <row r="13" spans="1:13" ht="49.5" customHeight="1" x14ac:dyDescent="0.25">
      <c r="A13" s="1700" t="s">
        <v>1042</v>
      </c>
      <c r="B13" s="1701"/>
      <c r="C13" s="878"/>
      <c r="D13" s="1115"/>
      <c r="E13" s="1145"/>
      <c r="F13" s="1145"/>
      <c r="G13" s="1145"/>
      <c r="H13" s="1113"/>
      <c r="I13" s="1113"/>
      <c r="J13" s="1116" t="s">
        <v>1057</v>
      </c>
      <c r="K13" s="1116" t="s">
        <v>882</v>
      </c>
    </row>
    <row r="14" spans="1:13" ht="42.75" customHeight="1" x14ac:dyDescent="0.2">
      <c r="A14" s="1693" t="s">
        <v>1101</v>
      </c>
      <c r="B14" s="1694"/>
      <c r="C14" s="1682" t="s">
        <v>1076</v>
      </c>
      <c r="D14" s="1652"/>
      <c r="E14" s="1652"/>
      <c r="F14" s="1652"/>
      <c r="G14" s="1652"/>
      <c r="H14" s="1652"/>
      <c r="I14" s="1652"/>
      <c r="J14" s="1118">
        <v>2017</v>
      </c>
      <c r="K14" s="1125" t="s">
        <v>105</v>
      </c>
    </row>
    <row r="15" spans="1:13" ht="44.25" customHeight="1" x14ac:dyDescent="0.2">
      <c r="A15" s="1149" t="s">
        <v>266</v>
      </c>
      <c r="B15" s="1148" t="s">
        <v>1095</v>
      </c>
      <c r="C15" s="1682" t="s">
        <v>1096</v>
      </c>
      <c r="D15" s="1652"/>
      <c r="E15" s="1652"/>
      <c r="F15" s="1652"/>
      <c r="G15" s="1652"/>
      <c r="H15" s="1652"/>
      <c r="I15" s="1652"/>
      <c r="J15" s="1118" t="s">
        <v>266</v>
      </c>
      <c r="K15" s="1125" t="s">
        <v>266</v>
      </c>
    </row>
    <row r="16" spans="1:13" ht="13.5" customHeight="1" x14ac:dyDescent="0.25">
      <c r="A16" s="1139"/>
      <c r="B16" s="1139"/>
      <c r="C16" s="1145"/>
      <c r="D16" s="1145"/>
      <c r="E16" s="1139"/>
      <c r="F16" s="1139"/>
      <c r="G16" s="1139"/>
      <c r="H16" s="1139"/>
    </row>
    <row r="17" spans="1:11" ht="13.5" thickBot="1" x14ac:dyDescent="0.25"/>
    <row r="18" spans="1:11" ht="62.25" customHeight="1" x14ac:dyDescent="0.2">
      <c r="A18" s="313" t="s">
        <v>3</v>
      </c>
      <c r="B18" s="1687" t="s">
        <v>235</v>
      </c>
      <c r="C18" s="245" t="s">
        <v>237</v>
      </c>
      <c r="D18" s="245" t="s">
        <v>395</v>
      </c>
      <c r="E18" s="245" t="s">
        <v>385</v>
      </c>
      <c r="F18" s="277" t="s">
        <v>1086</v>
      </c>
      <c r="G18" s="1697" t="s">
        <v>1062</v>
      </c>
      <c r="H18" s="245" t="s">
        <v>388</v>
      </c>
      <c r="I18" s="1150"/>
      <c r="J18" s="1710"/>
      <c r="K18" s="1150"/>
    </row>
    <row r="19" spans="1:11" ht="57.75" customHeight="1" thickBot="1" x14ac:dyDescent="0.25">
      <c r="A19" s="314"/>
      <c r="B19" s="1696"/>
      <c r="C19" s="278" t="s">
        <v>5</v>
      </c>
      <c r="D19" s="278" t="s">
        <v>7</v>
      </c>
      <c r="E19" s="278" t="s">
        <v>8</v>
      </c>
      <c r="F19" s="296" t="s">
        <v>1087</v>
      </c>
      <c r="G19" s="1698"/>
      <c r="H19" s="278" t="s">
        <v>382</v>
      </c>
      <c r="I19" s="1151"/>
      <c r="J19" s="1710"/>
      <c r="K19" s="1152"/>
    </row>
    <row r="20" spans="1:11" ht="25.5" x14ac:dyDescent="0.2">
      <c r="A20" s="315">
        <v>1611</v>
      </c>
      <c r="B20" s="316" t="s">
        <v>381</v>
      </c>
      <c r="C20" s="173"/>
      <c r="D20" s="317"/>
      <c r="E20" s="318">
        <f t="shared" ref="E20:E57" si="0">IF(D20=0,0,1/D20)</f>
        <v>0</v>
      </c>
      <c r="F20" s="191">
        <f>IF(D20=0,'App.2-CF_DepExp_Yr5'!K20,+'App.2-CF_DepExp_Yr5'!K20+((C20*0.5)/D20))</f>
        <v>0</v>
      </c>
      <c r="G20" s="323"/>
      <c r="H20" s="191">
        <f t="shared" ref="H20:H57" si="1">IF(ISERROR(+F20-G20), 0, +F20-G20)</f>
        <v>0</v>
      </c>
      <c r="I20" s="291"/>
      <c r="J20" s="195"/>
      <c r="K20" s="1153"/>
    </row>
    <row r="21" spans="1:11" x14ac:dyDescent="0.2">
      <c r="A21" s="1141">
        <v>1612</v>
      </c>
      <c r="B21" s="172" t="s">
        <v>442</v>
      </c>
      <c r="C21" s="173"/>
      <c r="D21" s="250"/>
      <c r="E21" s="252">
        <f t="shared" si="0"/>
        <v>0</v>
      </c>
      <c r="F21" s="191">
        <f>IF(D21=0,'App.2-CF_DepExp_Yr5'!K21,+'App.2-CF_DepExp_Yr5'!K21+((C21*0.5)/D21))</f>
        <v>0</v>
      </c>
      <c r="G21" s="324"/>
      <c r="H21" s="191">
        <f t="shared" si="1"/>
        <v>0</v>
      </c>
      <c r="I21" s="291"/>
      <c r="J21" s="195"/>
      <c r="K21" s="1153"/>
    </row>
    <row r="22" spans="1:11" x14ac:dyDescent="0.2">
      <c r="A22" s="253">
        <v>1805</v>
      </c>
      <c r="B22" s="179" t="s">
        <v>267</v>
      </c>
      <c r="C22" s="173"/>
      <c r="D22" s="250"/>
      <c r="E22" s="252">
        <f t="shared" si="0"/>
        <v>0</v>
      </c>
      <c r="F22" s="191">
        <f>IF(D22=0,'App.2-CF_DepExp_Yr5'!K22,+'App.2-CF_DepExp_Yr5'!K22+((C22*0.5)/D22))</f>
        <v>0</v>
      </c>
      <c r="G22" s="324"/>
      <c r="H22" s="191">
        <f t="shared" si="1"/>
        <v>0</v>
      </c>
      <c r="I22" s="291"/>
      <c r="J22" s="195"/>
      <c r="K22" s="1153"/>
    </row>
    <row r="23" spans="1:11" x14ac:dyDescent="0.2">
      <c r="A23" s="1141">
        <v>1808</v>
      </c>
      <c r="B23" s="180" t="s">
        <v>268</v>
      </c>
      <c r="C23" s="173"/>
      <c r="D23" s="250"/>
      <c r="E23" s="252">
        <f t="shared" si="0"/>
        <v>0</v>
      </c>
      <c r="F23" s="191">
        <f>IF(D23=0,'App.2-CF_DepExp_Yr5'!K23,+'App.2-CF_DepExp_Yr5'!K23+((C23*0.5)/D23))</f>
        <v>0</v>
      </c>
      <c r="G23" s="324"/>
      <c r="H23" s="191">
        <f t="shared" si="1"/>
        <v>0</v>
      </c>
      <c r="I23" s="291"/>
      <c r="J23" s="195"/>
      <c r="K23" s="1153"/>
    </row>
    <row r="24" spans="1:11" x14ac:dyDescent="0.2">
      <c r="A24" s="1141">
        <v>1810</v>
      </c>
      <c r="B24" s="180" t="s">
        <v>299</v>
      </c>
      <c r="C24" s="173"/>
      <c r="D24" s="250"/>
      <c r="E24" s="252">
        <f t="shared" si="0"/>
        <v>0</v>
      </c>
      <c r="F24" s="191">
        <f>IF(D24=0,'App.2-CF_DepExp_Yr5'!K24,+'App.2-CF_DepExp_Yr5'!K24+((C24*0.5)/D24))</f>
        <v>0</v>
      </c>
      <c r="G24" s="324"/>
      <c r="H24" s="191">
        <f t="shared" si="1"/>
        <v>0</v>
      </c>
      <c r="I24" s="291"/>
      <c r="J24" s="195"/>
      <c r="K24" s="1153"/>
    </row>
    <row r="25" spans="1:11" x14ac:dyDescent="0.2">
      <c r="A25" s="1141">
        <v>1815</v>
      </c>
      <c r="B25" s="180" t="s">
        <v>269</v>
      </c>
      <c r="C25" s="173"/>
      <c r="D25" s="250"/>
      <c r="E25" s="252">
        <f t="shared" si="0"/>
        <v>0</v>
      </c>
      <c r="F25" s="191">
        <f>IF(D25=0,'App.2-CF_DepExp_Yr5'!K25,+'App.2-CF_DepExp_Yr5'!K25+((C25*0.5)/D25))</f>
        <v>0</v>
      </c>
      <c r="G25" s="324"/>
      <c r="H25" s="191">
        <f t="shared" si="1"/>
        <v>0</v>
      </c>
      <c r="I25" s="291"/>
      <c r="J25" s="195"/>
      <c r="K25" s="1153"/>
    </row>
    <row r="26" spans="1:11" x14ac:dyDescent="0.2">
      <c r="A26" s="1141">
        <v>1820</v>
      </c>
      <c r="B26" s="172" t="s">
        <v>207</v>
      </c>
      <c r="C26" s="173"/>
      <c r="D26" s="250"/>
      <c r="E26" s="252">
        <f t="shared" si="0"/>
        <v>0</v>
      </c>
      <c r="F26" s="191">
        <f>IF(D26=0,'App.2-CF_DepExp_Yr5'!K26,+'App.2-CF_DepExp_Yr5'!K26+((C26*0.5)/D26))</f>
        <v>0</v>
      </c>
      <c r="G26" s="324"/>
      <c r="H26" s="191">
        <f t="shared" si="1"/>
        <v>0</v>
      </c>
      <c r="I26" s="291"/>
      <c r="J26" s="195"/>
      <c r="K26" s="1153"/>
    </row>
    <row r="27" spans="1:11" x14ac:dyDescent="0.2">
      <c r="A27" s="1141">
        <v>1825</v>
      </c>
      <c r="B27" s="180" t="s">
        <v>270</v>
      </c>
      <c r="C27" s="173"/>
      <c r="D27" s="250"/>
      <c r="E27" s="252">
        <f t="shared" si="0"/>
        <v>0</v>
      </c>
      <c r="F27" s="191">
        <f>IF(D27=0,'App.2-CF_DepExp_Yr5'!K27,+'App.2-CF_DepExp_Yr5'!K27+((C27*0.5)/D27))</f>
        <v>0</v>
      </c>
      <c r="G27" s="324"/>
      <c r="H27" s="191">
        <f t="shared" si="1"/>
        <v>0</v>
      </c>
      <c r="I27" s="291"/>
      <c r="J27" s="195"/>
      <c r="K27" s="1153"/>
    </row>
    <row r="28" spans="1:11" x14ac:dyDescent="0.2">
      <c r="A28" s="1141">
        <v>1830</v>
      </c>
      <c r="B28" s="180" t="s">
        <v>271</v>
      </c>
      <c r="C28" s="173"/>
      <c r="D28" s="250"/>
      <c r="E28" s="252">
        <f t="shared" si="0"/>
        <v>0</v>
      </c>
      <c r="F28" s="191">
        <f>IF(D28=0,'App.2-CF_DepExp_Yr5'!K28,+'App.2-CF_DepExp_Yr5'!K28+((C28*0.5)/D28))</f>
        <v>0</v>
      </c>
      <c r="G28" s="324"/>
      <c r="H28" s="191">
        <f t="shared" si="1"/>
        <v>0</v>
      </c>
      <c r="I28" s="291"/>
      <c r="J28" s="195"/>
      <c r="K28" s="1153"/>
    </row>
    <row r="29" spans="1:11" x14ac:dyDescent="0.2">
      <c r="A29" s="1141">
        <v>1835</v>
      </c>
      <c r="B29" s="180" t="s">
        <v>208</v>
      </c>
      <c r="C29" s="173"/>
      <c r="D29" s="250"/>
      <c r="E29" s="252">
        <f t="shared" si="0"/>
        <v>0</v>
      </c>
      <c r="F29" s="191">
        <f>IF(D29=0,'App.2-CF_DepExp_Yr5'!K29,+'App.2-CF_DepExp_Yr5'!K29+((C29*0.5)/D29))</f>
        <v>0</v>
      </c>
      <c r="G29" s="324"/>
      <c r="H29" s="191">
        <f t="shared" si="1"/>
        <v>0</v>
      </c>
      <c r="I29" s="291"/>
      <c r="J29" s="195"/>
      <c r="K29" s="1153"/>
    </row>
    <row r="30" spans="1:11" x14ac:dyDescent="0.2">
      <c r="A30" s="1141">
        <v>1840</v>
      </c>
      <c r="B30" s="180" t="s">
        <v>209</v>
      </c>
      <c r="C30" s="173"/>
      <c r="D30" s="250"/>
      <c r="E30" s="252">
        <f t="shared" si="0"/>
        <v>0</v>
      </c>
      <c r="F30" s="191">
        <f>IF(D30=0,'App.2-CF_DepExp_Yr5'!K30,+'App.2-CF_DepExp_Yr5'!K30+((C30*0.5)/D30))</f>
        <v>0</v>
      </c>
      <c r="G30" s="324"/>
      <c r="H30" s="191">
        <f t="shared" si="1"/>
        <v>0</v>
      </c>
      <c r="I30" s="291"/>
      <c r="J30" s="195"/>
      <c r="K30" s="1153"/>
    </row>
    <row r="31" spans="1:11" x14ac:dyDescent="0.2">
      <c r="A31" s="1141">
        <v>1845</v>
      </c>
      <c r="B31" s="180" t="s">
        <v>210</v>
      </c>
      <c r="C31" s="173"/>
      <c r="D31" s="250"/>
      <c r="E31" s="252">
        <f t="shared" si="0"/>
        <v>0</v>
      </c>
      <c r="F31" s="191">
        <f>IF(D31=0,'App.2-CF_DepExp_Yr5'!K31,+'App.2-CF_DepExp_Yr5'!K31+((C31*0.5)/D31))</f>
        <v>0</v>
      </c>
      <c r="G31" s="324"/>
      <c r="H31" s="191">
        <f t="shared" si="1"/>
        <v>0</v>
      </c>
      <c r="I31" s="291"/>
      <c r="J31" s="195"/>
      <c r="K31" s="1153"/>
    </row>
    <row r="32" spans="1:11" x14ac:dyDescent="0.2">
      <c r="A32" s="1141">
        <v>1850</v>
      </c>
      <c r="B32" s="180" t="s">
        <v>272</v>
      </c>
      <c r="C32" s="173"/>
      <c r="D32" s="250"/>
      <c r="E32" s="252">
        <f t="shared" si="0"/>
        <v>0</v>
      </c>
      <c r="F32" s="191">
        <f>IF(D32=0,'App.2-CF_DepExp_Yr5'!K32,+'App.2-CF_DepExp_Yr5'!K32+((C32*0.5)/D32))</f>
        <v>0</v>
      </c>
      <c r="G32" s="324"/>
      <c r="H32" s="191">
        <f t="shared" si="1"/>
        <v>0</v>
      </c>
      <c r="I32" s="291"/>
      <c r="J32" s="195"/>
      <c r="K32" s="1153"/>
    </row>
    <row r="33" spans="1:11" x14ac:dyDescent="0.2">
      <c r="A33" s="1141">
        <v>1855</v>
      </c>
      <c r="B33" s="180" t="s">
        <v>211</v>
      </c>
      <c r="C33" s="173"/>
      <c r="D33" s="250"/>
      <c r="E33" s="252">
        <f t="shared" si="0"/>
        <v>0</v>
      </c>
      <c r="F33" s="191">
        <f>IF(D33=0,'App.2-CF_DepExp_Yr5'!K33,+'App.2-CF_DepExp_Yr5'!K33+((C33*0.5)/D33))</f>
        <v>0</v>
      </c>
      <c r="G33" s="324"/>
      <c r="H33" s="191">
        <f t="shared" si="1"/>
        <v>0</v>
      </c>
      <c r="I33" s="291"/>
      <c r="J33" s="195"/>
      <c r="K33" s="1153"/>
    </row>
    <row r="34" spans="1:11" x14ac:dyDescent="0.2">
      <c r="A34" s="1141">
        <v>1860</v>
      </c>
      <c r="B34" s="180" t="s">
        <v>273</v>
      </c>
      <c r="C34" s="173"/>
      <c r="D34" s="250"/>
      <c r="E34" s="252">
        <f t="shared" si="0"/>
        <v>0</v>
      </c>
      <c r="F34" s="191">
        <f>IF(D34=0,'App.2-CF_DepExp_Yr5'!K34,+'App.2-CF_DepExp_Yr5'!K34+((C34*0.5)/D34))</f>
        <v>0</v>
      </c>
      <c r="G34" s="324"/>
      <c r="H34" s="191">
        <f t="shared" si="1"/>
        <v>0</v>
      </c>
      <c r="I34" s="291"/>
      <c r="J34" s="195"/>
      <c r="K34" s="1153"/>
    </row>
    <row r="35" spans="1:11" x14ac:dyDescent="0.2">
      <c r="A35" s="253">
        <v>1860</v>
      </c>
      <c r="B35" s="179" t="s">
        <v>212</v>
      </c>
      <c r="C35" s="173"/>
      <c r="D35" s="250"/>
      <c r="E35" s="252">
        <f t="shared" si="0"/>
        <v>0</v>
      </c>
      <c r="F35" s="191">
        <f>IF(D35=0,'App.2-CF_DepExp_Yr5'!K35,+'App.2-CF_DepExp_Yr5'!K35+((C35*0.5)/D35))</f>
        <v>0</v>
      </c>
      <c r="G35" s="324"/>
      <c r="H35" s="191">
        <f t="shared" si="1"/>
        <v>0</v>
      </c>
      <c r="I35" s="291"/>
      <c r="J35" s="195"/>
      <c r="K35" s="1153"/>
    </row>
    <row r="36" spans="1:11" x14ac:dyDescent="0.2">
      <c r="A36" s="253">
        <v>1905</v>
      </c>
      <c r="B36" s="179" t="s">
        <v>267</v>
      </c>
      <c r="C36" s="173"/>
      <c r="D36" s="250"/>
      <c r="E36" s="252">
        <f t="shared" si="0"/>
        <v>0</v>
      </c>
      <c r="F36" s="191">
        <f>IF(D36=0,'App.2-CF_DepExp_Yr5'!K36,+'App.2-CF_DepExp_Yr5'!K36+((C36*0.5)/D36))</f>
        <v>0</v>
      </c>
      <c r="G36" s="324"/>
      <c r="H36" s="191">
        <f t="shared" si="1"/>
        <v>0</v>
      </c>
      <c r="I36" s="291"/>
      <c r="J36" s="195"/>
      <c r="K36" s="1153"/>
    </row>
    <row r="37" spans="1:11" x14ac:dyDescent="0.2">
      <c r="A37" s="1141">
        <v>1908</v>
      </c>
      <c r="B37" s="180" t="s">
        <v>275</v>
      </c>
      <c r="C37" s="173"/>
      <c r="D37" s="250"/>
      <c r="E37" s="252">
        <f t="shared" si="0"/>
        <v>0</v>
      </c>
      <c r="F37" s="191">
        <f>IF(D37=0,'App.2-CF_DepExp_Yr5'!K37,+'App.2-CF_DepExp_Yr5'!K37+((C37*0.5)/D37))</f>
        <v>0</v>
      </c>
      <c r="G37" s="324"/>
      <c r="H37" s="191">
        <f t="shared" si="1"/>
        <v>0</v>
      </c>
      <c r="I37" s="291"/>
      <c r="J37" s="195"/>
      <c r="K37" s="1153"/>
    </row>
    <row r="38" spans="1:11" x14ac:dyDescent="0.2">
      <c r="A38" s="1141">
        <v>1910</v>
      </c>
      <c r="B38" s="180" t="s">
        <v>299</v>
      </c>
      <c r="C38" s="173"/>
      <c r="D38" s="250"/>
      <c r="E38" s="252">
        <f t="shared" si="0"/>
        <v>0</v>
      </c>
      <c r="F38" s="191">
        <f>IF(D38=0,'App.2-CF_DepExp_Yr5'!K38,+'App.2-CF_DepExp_Yr5'!K38+((C38*0.5)/D38))</f>
        <v>0</v>
      </c>
      <c r="G38" s="324"/>
      <c r="H38" s="191">
        <f t="shared" si="1"/>
        <v>0</v>
      </c>
      <c r="I38" s="291"/>
      <c r="J38" s="195"/>
      <c r="K38" s="1153"/>
    </row>
    <row r="39" spans="1:11" x14ac:dyDescent="0.2">
      <c r="A39" s="1141">
        <v>1915</v>
      </c>
      <c r="B39" s="180" t="s">
        <v>213</v>
      </c>
      <c r="C39" s="173"/>
      <c r="D39" s="250"/>
      <c r="E39" s="252">
        <f t="shared" si="0"/>
        <v>0</v>
      </c>
      <c r="F39" s="191">
        <f>IF(D39=0,'App.2-CF_DepExp_Yr5'!K39,+'App.2-CF_DepExp_Yr5'!K39+((C39*0.5)/D39))</f>
        <v>0</v>
      </c>
      <c r="G39" s="324"/>
      <c r="H39" s="191">
        <f t="shared" si="1"/>
        <v>0</v>
      </c>
      <c r="I39" s="291"/>
      <c r="J39" s="195"/>
      <c r="K39" s="1153"/>
    </row>
    <row r="40" spans="1:11" x14ac:dyDescent="0.2">
      <c r="A40" s="1141">
        <v>1915</v>
      </c>
      <c r="B40" s="180" t="s">
        <v>214</v>
      </c>
      <c r="C40" s="173"/>
      <c r="D40" s="250"/>
      <c r="E40" s="252">
        <f t="shared" si="0"/>
        <v>0</v>
      </c>
      <c r="F40" s="191">
        <f>IF(D40=0,'App.2-CF_DepExp_Yr5'!K40,+'App.2-CF_DepExp_Yr5'!K40+((C40*0.5)/D40))</f>
        <v>0</v>
      </c>
      <c r="G40" s="324"/>
      <c r="H40" s="191">
        <f t="shared" si="1"/>
        <v>0</v>
      </c>
      <c r="I40" s="291"/>
      <c r="J40" s="195"/>
      <c r="K40" s="1153"/>
    </row>
    <row r="41" spans="1:11" x14ac:dyDescent="0.2">
      <c r="A41" s="1141">
        <v>1920</v>
      </c>
      <c r="B41" s="180" t="s">
        <v>215</v>
      </c>
      <c r="C41" s="173"/>
      <c r="D41" s="250"/>
      <c r="E41" s="252">
        <f t="shared" si="0"/>
        <v>0</v>
      </c>
      <c r="F41" s="191">
        <f>IF(D41=0,'App.2-CF_DepExp_Yr5'!K41,+'App.2-CF_DepExp_Yr5'!K41+((C41*0.5)/D41))</f>
        <v>0</v>
      </c>
      <c r="G41" s="324"/>
      <c r="H41" s="191">
        <f t="shared" si="1"/>
        <v>0</v>
      </c>
      <c r="I41" s="291"/>
      <c r="J41" s="195"/>
      <c r="K41" s="1153"/>
    </row>
    <row r="42" spans="1:11" x14ac:dyDescent="0.2">
      <c r="A42" s="254">
        <v>1920</v>
      </c>
      <c r="B42" s="172" t="s">
        <v>217</v>
      </c>
      <c r="C42" s="173"/>
      <c r="D42" s="250"/>
      <c r="E42" s="252">
        <f t="shared" si="0"/>
        <v>0</v>
      </c>
      <c r="F42" s="191">
        <f>IF(D42=0,'App.2-CF_DepExp_Yr5'!K42,+'App.2-CF_DepExp_Yr5'!K42+((C42*0.5)/D42))</f>
        <v>0</v>
      </c>
      <c r="G42" s="324"/>
      <c r="H42" s="191">
        <f t="shared" si="1"/>
        <v>0</v>
      </c>
      <c r="I42" s="291"/>
      <c r="J42" s="195"/>
      <c r="K42" s="1153"/>
    </row>
    <row r="43" spans="1:11" x14ac:dyDescent="0.2">
      <c r="A43" s="254">
        <v>1920</v>
      </c>
      <c r="B43" s="172" t="s">
        <v>216</v>
      </c>
      <c r="C43" s="173"/>
      <c r="D43" s="250"/>
      <c r="E43" s="252">
        <f t="shared" si="0"/>
        <v>0</v>
      </c>
      <c r="F43" s="191">
        <f>IF(D43=0,'App.2-CF_DepExp_Yr5'!K43,+'App.2-CF_DepExp_Yr5'!K43+((C43*0.5)/D43))</f>
        <v>0</v>
      </c>
      <c r="G43" s="324"/>
      <c r="H43" s="191">
        <f t="shared" si="1"/>
        <v>0</v>
      </c>
      <c r="I43" s="291"/>
      <c r="J43" s="195"/>
      <c r="K43" s="1153"/>
    </row>
    <row r="44" spans="1:11" x14ac:dyDescent="0.2">
      <c r="A44" s="1141">
        <v>1930</v>
      </c>
      <c r="B44" s="180" t="s">
        <v>286</v>
      </c>
      <c r="C44" s="173"/>
      <c r="D44" s="250"/>
      <c r="E44" s="252">
        <f t="shared" si="0"/>
        <v>0</v>
      </c>
      <c r="F44" s="191">
        <f>IF(D44=0,'App.2-CF_DepExp_Yr5'!K44,+'App.2-CF_DepExp_Yr5'!K44+((C44*0.5)/D44))</f>
        <v>0</v>
      </c>
      <c r="G44" s="324"/>
      <c r="H44" s="191">
        <f t="shared" si="1"/>
        <v>0</v>
      </c>
      <c r="I44" s="291"/>
      <c r="J44" s="195"/>
      <c r="K44" s="1153"/>
    </row>
    <row r="45" spans="1:11" x14ac:dyDescent="0.2">
      <c r="A45" s="1141">
        <v>1935</v>
      </c>
      <c r="B45" s="180" t="s">
        <v>287</v>
      </c>
      <c r="C45" s="173"/>
      <c r="D45" s="250"/>
      <c r="E45" s="252">
        <f t="shared" si="0"/>
        <v>0</v>
      </c>
      <c r="F45" s="191">
        <f>IF(D45=0,'App.2-CF_DepExp_Yr5'!K45,+'App.2-CF_DepExp_Yr5'!K45+((C45*0.5)/D45))</f>
        <v>0</v>
      </c>
      <c r="G45" s="324"/>
      <c r="H45" s="191">
        <f t="shared" si="1"/>
        <v>0</v>
      </c>
      <c r="I45" s="291"/>
      <c r="J45" s="195"/>
      <c r="K45" s="1153"/>
    </row>
    <row r="46" spans="1:11" x14ac:dyDescent="0.2">
      <c r="A46" s="1141">
        <v>1940</v>
      </c>
      <c r="B46" s="180" t="s">
        <v>288</v>
      </c>
      <c r="C46" s="173"/>
      <c r="D46" s="250"/>
      <c r="E46" s="252">
        <f t="shared" si="0"/>
        <v>0</v>
      </c>
      <c r="F46" s="191">
        <f>IF(D46=0,'App.2-CF_DepExp_Yr5'!K46,+'App.2-CF_DepExp_Yr5'!K46+((C46*0.5)/D46))</f>
        <v>0</v>
      </c>
      <c r="G46" s="324"/>
      <c r="H46" s="191">
        <f t="shared" si="1"/>
        <v>0</v>
      </c>
      <c r="I46" s="291"/>
      <c r="J46" s="195"/>
      <c r="K46" s="1153"/>
    </row>
    <row r="47" spans="1:11" x14ac:dyDescent="0.2">
      <c r="A47" s="1141">
        <v>1945</v>
      </c>
      <c r="B47" s="180" t="s">
        <v>289</v>
      </c>
      <c r="C47" s="173"/>
      <c r="D47" s="250"/>
      <c r="E47" s="252">
        <f t="shared" si="0"/>
        <v>0</v>
      </c>
      <c r="F47" s="191">
        <f>IF(D47=0,'App.2-CF_DepExp_Yr5'!K47,+'App.2-CF_DepExp_Yr5'!K47+((C47*0.5)/D47))</f>
        <v>0</v>
      </c>
      <c r="G47" s="324"/>
      <c r="H47" s="191">
        <f t="shared" si="1"/>
        <v>0</v>
      </c>
      <c r="I47" s="291"/>
      <c r="J47" s="195"/>
      <c r="K47" s="1153"/>
    </row>
    <row r="48" spans="1:11" x14ac:dyDescent="0.2">
      <c r="A48" s="1141">
        <v>1950</v>
      </c>
      <c r="B48" s="180" t="s">
        <v>218</v>
      </c>
      <c r="C48" s="173"/>
      <c r="D48" s="250"/>
      <c r="E48" s="252">
        <f t="shared" si="0"/>
        <v>0</v>
      </c>
      <c r="F48" s="191">
        <f>IF(D48=0,'App.2-CF_DepExp_Yr5'!K48,+'App.2-CF_DepExp_Yr5'!K48+((C48*0.5)/D48))</f>
        <v>0</v>
      </c>
      <c r="G48" s="324"/>
      <c r="H48" s="191">
        <f t="shared" si="1"/>
        <v>0</v>
      </c>
      <c r="I48" s="291"/>
      <c r="J48" s="195"/>
      <c r="K48" s="1153"/>
    </row>
    <row r="49" spans="1:11" x14ac:dyDescent="0.2">
      <c r="A49" s="1141">
        <v>1955</v>
      </c>
      <c r="B49" s="180" t="s">
        <v>290</v>
      </c>
      <c r="C49" s="173"/>
      <c r="D49" s="250"/>
      <c r="E49" s="252">
        <f t="shared" si="0"/>
        <v>0</v>
      </c>
      <c r="F49" s="191">
        <f>IF(D49=0,'App.2-CF_DepExp_Yr5'!K49,+'App.2-CF_DepExp_Yr5'!K49+((C49*0.5)/D49))</f>
        <v>0</v>
      </c>
      <c r="G49" s="324"/>
      <c r="H49" s="191">
        <f t="shared" si="1"/>
        <v>0</v>
      </c>
      <c r="I49" s="291"/>
      <c r="J49" s="195"/>
      <c r="K49" s="1153"/>
    </row>
    <row r="50" spans="1:11" x14ac:dyDescent="0.2">
      <c r="A50" s="255">
        <v>1955</v>
      </c>
      <c r="B50" s="184" t="s">
        <v>219</v>
      </c>
      <c r="C50" s="173"/>
      <c r="D50" s="250"/>
      <c r="E50" s="252">
        <f t="shared" si="0"/>
        <v>0</v>
      </c>
      <c r="F50" s="191">
        <f>IF(D50=0,'App.2-CF_DepExp_Yr5'!K50,+'App.2-CF_DepExp_Yr5'!K50+((C50*0.5)/D50))</f>
        <v>0</v>
      </c>
      <c r="G50" s="324"/>
      <c r="H50" s="191">
        <f t="shared" si="1"/>
        <v>0</v>
      </c>
      <c r="I50" s="291"/>
      <c r="J50" s="195"/>
      <c r="K50" s="1153"/>
    </row>
    <row r="51" spans="1:11" x14ac:dyDescent="0.2">
      <c r="A51" s="254">
        <v>1960</v>
      </c>
      <c r="B51" s="172" t="s">
        <v>220</v>
      </c>
      <c r="C51" s="173"/>
      <c r="D51" s="250"/>
      <c r="E51" s="252">
        <f t="shared" si="0"/>
        <v>0</v>
      </c>
      <c r="F51" s="191">
        <f>IF(D51=0,'App.2-CF_DepExp_Yr5'!K51,+'App.2-CF_DepExp_Yr5'!K51+((C51*0.5)/D51))</f>
        <v>0</v>
      </c>
      <c r="G51" s="324"/>
      <c r="H51" s="191">
        <f t="shared" si="1"/>
        <v>0</v>
      </c>
      <c r="I51" s="291"/>
      <c r="J51" s="195"/>
      <c r="K51" s="1153"/>
    </row>
    <row r="52" spans="1:11" x14ac:dyDescent="0.2">
      <c r="A52" s="255">
        <v>1970</v>
      </c>
      <c r="B52" s="256" t="s">
        <v>501</v>
      </c>
      <c r="C52" s="173"/>
      <c r="D52" s="250"/>
      <c r="E52" s="252">
        <f t="shared" si="0"/>
        <v>0</v>
      </c>
      <c r="F52" s="191">
        <f>IF(D52=0,'App.2-CF_DepExp_Yr5'!K52,+'App.2-CF_DepExp_Yr5'!K52+((C52*0.5)/D52))</f>
        <v>0</v>
      </c>
      <c r="G52" s="324"/>
      <c r="H52" s="191">
        <f t="shared" si="1"/>
        <v>0</v>
      </c>
      <c r="I52" s="291"/>
      <c r="J52" s="195"/>
      <c r="K52" s="1153"/>
    </row>
    <row r="53" spans="1:11" x14ac:dyDescent="0.2">
      <c r="A53" s="1141">
        <v>1975</v>
      </c>
      <c r="B53" s="180" t="s">
        <v>291</v>
      </c>
      <c r="C53" s="173"/>
      <c r="D53" s="250"/>
      <c r="E53" s="252">
        <f t="shared" si="0"/>
        <v>0</v>
      </c>
      <c r="F53" s="191">
        <f>IF(D53=0,'App.2-CF_DepExp_Yr5'!K53,+'App.2-CF_DepExp_Yr5'!K53+((C53*0.5)/D53))</f>
        <v>0</v>
      </c>
      <c r="G53" s="324"/>
      <c r="H53" s="191">
        <f t="shared" si="1"/>
        <v>0</v>
      </c>
      <c r="I53" s="291"/>
      <c r="J53" s="195"/>
      <c r="K53" s="1153"/>
    </row>
    <row r="54" spans="1:11" x14ac:dyDescent="0.2">
      <c r="A54" s="1141">
        <v>1980</v>
      </c>
      <c r="B54" s="180" t="s">
        <v>292</v>
      </c>
      <c r="C54" s="173"/>
      <c r="D54" s="250"/>
      <c r="E54" s="252">
        <f t="shared" si="0"/>
        <v>0</v>
      </c>
      <c r="F54" s="191">
        <f>IF(D54=0,'App.2-CF_DepExp_Yr5'!K54,+'App.2-CF_DepExp_Yr5'!K54+((C54*0.5)/D54))</f>
        <v>0</v>
      </c>
      <c r="G54" s="324"/>
      <c r="H54" s="191">
        <f t="shared" si="1"/>
        <v>0</v>
      </c>
      <c r="I54" s="291"/>
      <c r="J54" s="195"/>
      <c r="K54" s="1153"/>
    </row>
    <row r="55" spans="1:11" x14ac:dyDescent="0.2">
      <c r="A55" s="1141">
        <v>1985</v>
      </c>
      <c r="B55" s="180" t="s">
        <v>293</v>
      </c>
      <c r="C55" s="173"/>
      <c r="D55" s="250"/>
      <c r="E55" s="252">
        <f t="shared" si="0"/>
        <v>0</v>
      </c>
      <c r="F55" s="191">
        <f>IF(D55=0,'App.2-CF_DepExp_Yr5'!K55,+'App.2-CF_DepExp_Yr5'!K55+((C55*0.5)/D55))</f>
        <v>0</v>
      </c>
      <c r="G55" s="324"/>
      <c r="H55" s="191">
        <f t="shared" si="1"/>
        <v>0</v>
      </c>
      <c r="I55" s="291"/>
      <c r="J55" s="195"/>
      <c r="K55" s="1153"/>
    </row>
    <row r="56" spans="1:11" x14ac:dyDescent="0.2">
      <c r="A56" s="1141">
        <v>1990</v>
      </c>
      <c r="B56" s="1142" t="s">
        <v>502</v>
      </c>
      <c r="C56" s="173"/>
      <c r="D56" s="250"/>
      <c r="E56" s="252">
        <f t="shared" si="0"/>
        <v>0</v>
      </c>
      <c r="F56" s="191">
        <f>IF(D56=0,'App.2-CF_DepExp_Yr5'!K56,+'App.2-CF_DepExp_Yr5'!K56+((C56*0.5)/D56))</f>
        <v>0</v>
      </c>
      <c r="G56" s="324"/>
      <c r="H56" s="191">
        <f t="shared" si="1"/>
        <v>0</v>
      </c>
      <c r="I56" s="291"/>
      <c r="J56" s="195"/>
      <c r="K56" s="1153"/>
    </row>
    <row r="57" spans="1:11" ht="13.5" thickBot="1" x14ac:dyDescent="0.25">
      <c r="A57" s="1143">
        <v>1995</v>
      </c>
      <c r="B57" s="180" t="s">
        <v>294</v>
      </c>
      <c r="C57" s="173"/>
      <c r="D57" s="250"/>
      <c r="E57" s="252">
        <f t="shared" si="0"/>
        <v>0</v>
      </c>
      <c r="F57" s="191">
        <f>IF(D57=0,'App.2-CF_DepExp_Yr5'!K57,+'App.2-CF_DepExp_Yr5'!K57+((C57*0.5)/D57))</f>
        <v>0</v>
      </c>
      <c r="G57" s="325"/>
      <c r="H57" s="285">
        <f t="shared" si="1"/>
        <v>0</v>
      </c>
      <c r="I57" s="291"/>
      <c r="J57" s="195"/>
      <c r="K57" s="1153"/>
    </row>
    <row r="58" spans="1:11" ht="14.25" thickTop="1" thickBot="1" x14ac:dyDescent="0.25">
      <c r="A58" s="261"/>
      <c r="B58" s="301" t="s">
        <v>295</v>
      </c>
      <c r="C58" s="302">
        <f>SUM(C20:C57)</f>
        <v>0</v>
      </c>
      <c r="D58" s="287"/>
      <c r="E58" s="326"/>
      <c r="F58" s="310">
        <f>SUM(F20:F57)</f>
        <v>0</v>
      </c>
      <c r="G58" s="310">
        <f>SUM(G20:G57)</f>
        <v>0</v>
      </c>
      <c r="H58" s="310">
        <f>SUM(H20:H57)</f>
        <v>0</v>
      </c>
      <c r="I58" s="291"/>
      <c r="J58" s="1153"/>
      <c r="K58" s="1153"/>
    </row>
    <row r="59" spans="1:11" x14ac:dyDescent="0.2">
      <c r="A59" s="289"/>
      <c r="B59" s="311" t="s">
        <v>506</v>
      </c>
      <c r="C59" s="312"/>
      <c r="D59" s="312"/>
      <c r="E59" s="312"/>
      <c r="F59" s="173"/>
      <c r="G59" s="312"/>
      <c r="H59" s="312"/>
    </row>
    <row r="60" spans="1:11" ht="27" customHeight="1" x14ac:dyDescent="0.2">
      <c r="B60" s="1684" t="s">
        <v>1079</v>
      </c>
      <c r="C60" s="1684"/>
      <c r="D60" s="1684"/>
      <c r="E60" s="1709"/>
      <c r="F60" s="191">
        <f>SUM(F58:F59)</f>
        <v>0</v>
      </c>
    </row>
    <row r="61" spans="1:11" x14ac:dyDescent="0.2">
      <c r="A61" s="152" t="s">
        <v>11</v>
      </c>
      <c r="B61" s="56"/>
      <c r="C61" s="56"/>
      <c r="D61" s="56"/>
      <c r="E61" s="56"/>
      <c r="F61" s="56"/>
      <c r="G61" s="56"/>
      <c r="H61" s="56"/>
    </row>
    <row r="62" spans="1:11" ht="27" customHeight="1" x14ac:dyDescent="0.2">
      <c r="A62" s="305">
        <v>1</v>
      </c>
      <c r="B62" s="1590" t="s">
        <v>424</v>
      </c>
      <c r="C62" s="1590"/>
      <c r="D62" s="1590"/>
      <c r="E62" s="1590"/>
      <c r="F62" s="1590"/>
      <c r="G62" s="1590"/>
      <c r="H62" s="1590"/>
      <c r="I62" s="1144"/>
    </row>
    <row r="63" spans="1:11" ht="12.75" customHeight="1" x14ac:dyDescent="0.2">
      <c r="A63" s="294">
        <v>2</v>
      </c>
      <c r="B63" s="1590" t="s">
        <v>865</v>
      </c>
      <c r="C63" s="1590"/>
      <c r="D63" s="1590"/>
      <c r="E63" s="1590"/>
      <c r="F63" s="1590"/>
      <c r="G63" s="1590"/>
      <c r="H63" s="1590"/>
      <c r="I63" s="1590"/>
    </row>
    <row r="64" spans="1:11" ht="12.75" customHeight="1" x14ac:dyDescent="0.2">
      <c r="A64" s="327"/>
      <c r="I64" s="1140"/>
    </row>
    <row r="65" spans="1:11" ht="11.25" customHeight="1" x14ac:dyDescent="0.2">
      <c r="A65" s="294"/>
      <c r="B65" s="1590"/>
      <c r="C65" s="1590"/>
      <c r="D65" s="1590"/>
      <c r="E65" s="1590"/>
      <c r="F65" s="1590"/>
      <c r="G65" s="1590"/>
      <c r="H65" s="1590"/>
      <c r="I65" s="1590"/>
    </row>
    <row r="66" spans="1:11" ht="12.75" customHeight="1" x14ac:dyDescent="0.2">
      <c r="A66" s="152" t="s">
        <v>226</v>
      </c>
      <c r="B66" s="1684" t="s">
        <v>190</v>
      </c>
      <c r="C66" s="1684"/>
      <c r="D66" s="1684"/>
      <c r="E66" s="1684"/>
      <c r="F66" s="1684"/>
      <c r="G66" s="1684"/>
      <c r="H66" s="1684"/>
      <c r="I66" s="271"/>
    </row>
    <row r="67" spans="1:11" ht="27" customHeight="1" x14ac:dyDescent="0.2">
      <c r="A67" s="56"/>
      <c r="B67" s="1684"/>
      <c r="C67" s="1684"/>
      <c r="D67" s="1684"/>
      <c r="E67" s="1684"/>
      <c r="F67" s="1684"/>
      <c r="G67" s="1684"/>
      <c r="H67" s="1684"/>
      <c r="I67" s="271"/>
    </row>
    <row r="68" spans="1:11" ht="12.75" customHeight="1" x14ac:dyDescent="0.2">
      <c r="A68" s="152"/>
      <c r="B68" s="1684"/>
      <c r="C68" s="1684"/>
      <c r="D68" s="1684"/>
      <c r="E68" s="1684"/>
      <c r="F68" s="1684"/>
      <c r="G68" s="1684"/>
      <c r="H68" s="1684"/>
      <c r="I68" s="271"/>
    </row>
    <row r="69" spans="1:11" ht="27" customHeight="1" x14ac:dyDescent="0.2">
      <c r="A69" s="56"/>
      <c r="B69" s="1684"/>
      <c r="C69" s="1684"/>
      <c r="D69" s="1684"/>
      <c r="E69" s="1684"/>
      <c r="F69" s="1684"/>
      <c r="G69" s="1684"/>
      <c r="H69" s="1684"/>
      <c r="I69" s="271"/>
    </row>
    <row r="70" spans="1:11" x14ac:dyDescent="0.2">
      <c r="J70" s="322"/>
      <c r="K70" s="322"/>
    </row>
    <row r="71" spans="1:11" ht="23.25" customHeight="1" x14ac:dyDescent="0.2">
      <c r="J71" s="322"/>
      <c r="K71" s="322"/>
    </row>
    <row r="72" spans="1:11" x14ac:dyDescent="0.2">
      <c r="A72" s="56"/>
      <c r="B72" s="322"/>
      <c r="C72" s="322"/>
      <c r="D72" s="322"/>
      <c r="E72" s="322"/>
      <c r="F72" s="322"/>
      <c r="G72" s="322"/>
      <c r="H72" s="322"/>
      <c r="I72" s="322"/>
      <c r="J72" s="322"/>
      <c r="K72" s="322"/>
    </row>
    <row r="73" spans="1:11" x14ac:dyDescent="0.2">
      <c r="A73" s="1144"/>
      <c r="B73" s="1144"/>
      <c r="C73" s="1144"/>
      <c r="D73" s="1144"/>
      <c r="E73" s="1144"/>
      <c r="F73" s="56"/>
      <c r="G73" s="56"/>
      <c r="H73" s="56"/>
    </row>
  </sheetData>
  <mergeCells count="16">
    <mergeCell ref="A9:I9"/>
    <mergeCell ref="A10:I10"/>
    <mergeCell ref="A11:H11"/>
    <mergeCell ref="A13:B13"/>
    <mergeCell ref="A14:B14"/>
    <mergeCell ref="C14:I14"/>
    <mergeCell ref="C15:I15"/>
    <mergeCell ref="B18:B19"/>
    <mergeCell ref="G18:G19"/>
    <mergeCell ref="J18:J19"/>
    <mergeCell ref="B60:E60"/>
    <mergeCell ref="B62:H62"/>
    <mergeCell ref="B63:I63"/>
    <mergeCell ref="B65:I65"/>
    <mergeCell ref="B66:H67"/>
    <mergeCell ref="B68:H69"/>
  </mergeCells>
  <dataValidations count="1">
    <dataValidation allowBlank="1" showInputMessage="1" showErrorMessage="1" promptTitle="Date Format" prompt="E.g:  &quot;August 1, 2011&quot;" sqref="WVO983055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H65551 JC65551 SY65551 ACU65551 AMQ65551 AWM65551 BGI65551 BQE65551 CAA65551 CJW65551 CTS65551 DDO65551 DNK65551 DXG65551 EHC65551 EQY65551 FAU65551 FKQ65551 FUM65551 GEI65551 GOE65551 GYA65551 HHW65551 HRS65551 IBO65551 ILK65551 IVG65551 JFC65551 JOY65551 JYU65551 KIQ65551 KSM65551 LCI65551 LME65551 LWA65551 MFW65551 MPS65551 MZO65551 NJK65551 NTG65551 ODC65551 OMY65551 OWU65551 PGQ65551 PQM65551 QAI65551 QKE65551 QUA65551 RDW65551 RNS65551 RXO65551 SHK65551 SRG65551 TBC65551 TKY65551 TUU65551 UEQ65551 UOM65551 UYI65551 VIE65551 VSA65551 WBW65551 WLS65551 WVO65551 H131087 JC131087 SY131087 ACU131087 AMQ131087 AWM131087 BGI131087 BQE131087 CAA131087 CJW131087 CTS131087 DDO131087 DNK131087 DXG131087 EHC131087 EQY131087 FAU131087 FKQ131087 FUM131087 GEI131087 GOE131087 GYA131087 HHW131087 HRS131087 IBO131087 ILK131087 IVG131087 JFC131087 JOY131087 JYU131087 KIQ131087 KSM131087 LCI131087 LME131087 LWA131087 MFW131087 MPS131087 MZO131087 NJK131087 NTG131087 ODC131087 OMY131087 OWU131087 PGQ131087 PQM131087 QAI131087 QKE131087 QUA131087 RDW131087 RNS131087 RXO131087 SHK131087 SRG131087 TBC131087 TKY131087 TUU131087 UEQ131087 UOM131087 UYI131087 VIE131087 VSA131087 WBW131087 WLS131087 WVO131087 H196623 JC196623 SY196623 ACU196623 AMQ196623 AWM196623 BGI196623 BQE196623 CAA196623 CJW196623 CTS196623 DDO196623 DNK196623 DXG196623 EHC196623 EQY196623 FAU196623 FKQ196623 FUM196623 GEI196623 GOE196623 GYA196623 HHW196623 HRS196623 IBO196623 ILK196623 IVG196623 JFC196623 JOY196623 JYU196623 KIQ196623 KSM196623 LCI196623 LME196623 LWA196623 MFW196623 MPS196623 MZO196623 NJK196623 NTG196623 ODC196623 OMY196623 OWU196623 PGQ196623 PQM196623 QAI196623 QKE196623 QUA196623 RDW196623 RNS196623 RXO196623 SHK196623 SRG196623 TBC196623 TKY196623 TUU196623 UEQ196623 UOM196623 UYI196623 VIE196623 VSA196623 WBW196623 WLS196623 WVO196623 H262159 JC262159 SY262159 ACU262159 AMQ262159 AWM262159 BGI262159 BQE262159 CAA262159 CJW262159 CTS262159 DDO262159 DNK262159 DXG262159 EHC262159 EQY262159 FAU262159 FKQ262159 FUM262159 GEI262159 GOE262159 GYA262159 HHW262159 HRS262159 IBO262159 ILK262159 IVG262159 JFC262159 JOY262159 JYU262159 KIQ262159 KSM262159 LCI262159 LME262159 LWA262159 MFW262159 MPS262159 MZO262159 NJK262159 NTG262159 ODC262159 OMY262159 OWU262159 PGQ262159 PQM262159 QAI262159 QKE262159 QUA262159 RDW262159 RNS262159 RXO262159 SHK262159 SRG262159 TBC262159 TKY262159 TUU262159 UEQ262159 UOM262159 UYI262159 VIE262159 VSA262159 WBW262159 WLS262159 WVO262159 H327695 JC327695 SY327695 ACU327695 AMQ327695 AWM327695 BGI327695 BQE327695 CAA327695 CJW327695 CTS327695 DDO327695 DNK327695 DXG327695 EHC327695 EQY327695 FAU327695 FKQ327695 FUM327695 GEI327695 GOE327695 GYA327695 HHW327695 HRS327695 IBO327695 ILK327695 IVG327695 JFC327695 JOY327695 JYU327695 KIQ327695 KSM327695 LCI327695 LME327695 LWA327695 MFW327695 MPS327695 MZO327695 NJK327695 NTG327695 ODC327695 OMY327695 OWU327695 PGQ327695 PQM327695 QAI327695 QKE327695 QUA327695 RDW327695 RNS327695 RXO327695 SHK327695 SRG327695 TBC327695 TKY327695 TUU327695 UEQ327695 UOM327695 UYI327695 VIE327695 VSA327695 WBW327695 WLS327695 WVO327695 H393231 JC393231 SY393231 ACU393231 AMQ393231 AWM393231 BGI393231 BQE393231 CAA393231 CJW393231 CTS393231 DDO393231 DNK393231 DXG393231 EHC393231 EQY393231 FAU393231 FKQ393231 FUM393231 GEI393231 GOE393231 GYA393231 HHW393231 HRS393231 IBO393231 ILK393231 IVG393231 JFC393231 JOY393231 JYU393231 KIQ393231 KSM393231 LCI393231 LME393231 LWA393231 MFW393231 MPS393231 MZO393231 NJK393231 NTG393231 ODC393231 OMY393231 OWU393231 PGQ393231 PQM393231 QAI393231 QKE393231 QUA393231 RDW393231 RNS393231 RXO393231 SHK393231 SRG393231 TBC393231 TKY393231 TUU393231 UEQ393231 UOM393231 UYI393231 VIE393231 VSA393231 WBW393231 WLS393231 WVO393231 H458767 JC458767 SY458767 ACU458767 AMQ458767 AWM458767 BGI458767 BQE458767 CAA458767 CJW458767 CTS458767 DDO458767 DNK458767 DXG458767 EHC458767 EQY458767 FAU458767 FKQ458767 FUM458767 GEI458767 GOE458767 GYA458767 HHW458767 HRS458767 IBO458767 ILK458767 IVG458767 JFC458767 JOY458767 JYU458767 KIQ458767 KSM458767 LCI458767 LME458767 LWA458767 MFW458767 MPS458767 MZO458767 NJK458767 NTG458767 ODC458767 OMY458767 OWU458767 PGQ458767 PQM458767 QAI458767 QKE458767 QUA458767 RDW458767 RNS458767 RXO458767 SHK458767 SRG458767 TBC458767 TKY458767 TUU458767 UEQ458767 UOM458767 UYI458767 VIE458767 VSA458767 WBW458767 WLS458767 WVO458767 H524303 JC524303 SY524303 ACU524303 AMQ524303 AWM524303 BGI524303 BQE524303 CAA524303 CJW524303 CTS524303 DDO524303 DNK524303 DXG524303 EHC524303 EQY524303 FAU524303 FKQ524303 FUM524303 GEI524303 GOE524303 GYA524303 HHW524303 HRS524303 IBO524303 ILK524303 IVG524303 JFC524303 JOY524303 JYU524303 KIQ524303 KSM524303 LCI524303 LME524303 LWA524303 MFW524303 MPS524303 MZO524303 NJK524303 NTG524303 ODC524303 OMY524303 OWU524303 PGQ524303 PQM524303 QAI524303 QKE524303 QUA524303 RDW524303 RNS524303 RXO524303 SHK524303 SRG524303 TBC524303 TKY524303 TUU524303 UEQ524303 UOM524303 UYI524303 VIE524303 VSA524303 WBW524303 WLS524303 WVO524303 H589839 JC589839 SY589839 ACU589839 AMQ589839 AWM589839 BGI589839 BQE589839 CAA589839 CJW589839 CTS589839 DDO589839 DNK589839 DXG589839 EHC589839 EQY589839 FAU589839 FKQ589839 FUM589839 GEI589839 GOE589839 GYA589839 HHW589839 HRS589839 IBO589839 ILK589839 IVG589839 JFC589839 JOY589839 JYU589839 KIQ589839 KSM589839 LCI589839 LME589839 LWA589839 MFW589839 MPS589839 MZO589839 NJK589839 NTG589839 ODC589839 OMY589839 OWU589839 PGQ589839 PQM589839 QAI589839 QKE589839 QUA589839 RDW589839 RNS589839 RXO589839 SHK589839 SRG589839 TBC589839 TKY589839 TUU589839 UEQ589839 UOM589839 UYI589839 VIE589839 VSA589839 WBW589839 WLS589839 WVO589839 H655375 JC655375 SY655375 ACU655375 AMQ655375 AWM655375 BGI655375 BQE655375 CAA655375 CJW655375 CTS655375 DDO655375 DNK655375 DXG655375 EHC655375 EQY655375 FAU655375 FKQ655375 FUM655375 GEI655375 GOE655375 GYA655375 HHW655375 HRS655375 IBO655375 ILK655375 IVG655375 JFC655375 JOY655375 JYU655375 KIQ655375 KSM655375 LCI655375 LME655375 LWA655375 MFW655375 MPS655375 MZO655375 NJK655375 NTG655375 ODC655375 OMY655375 OWU655375 PGQ655375 PQM655375 QAI655375 QKE655375 QUA655375 RDW655375 RNS655375 RXO655375 SHK655375 SRG655375 TBC655375 TKY655375 TUU655375 UEQ655375 UOM655375 UYI655375 VIE655375 VSA655375 WBW655375 WLS655375 WVO655375 H720911 JC720911 SY720911 ACU720911 AMQ720911 AWM720911 BGI720911 BQE720911 CAA720911 CJW720911 CTS720911 DDO720911 DNK720911 DXG720911 EHC720911 EQY720911 FAU720911 FKQ720911 FUM720911 GEI720911 GOE720911 GYA720911 HHW720911 HRS720911 IBO720911 ILK720911 IVG720911 JFC720911 JOY720911 JYU720911 KIQ720911 KSM720911 LCI720911 LME720911 LWA720911 MFW720911 MPS720911 MZO720911 NJK720911 NTG720911 ODC720911 OMY720911 OWU720911 PGQ720911 PQM720911 QAI720911 QKE720911 QUA720911 RDW720911 RNS720911 RXO720911 SHK720911 SRG720911 TBC720911 TKY720911 TUU720911 UEQ720911 UOM720911 UYI720911 VIE720911 VSA720911 WBW720911 WLS720911 WVO720911 H786447 JC786447 SY786447 ACU786447 AMQ786447 AWM786447 BGI786447 BQE786447 CAA786447 CJW786447 CTS786447 DDO786447 DNK786447 DXG786447 EHC786447 EQY786447 FAU786447 FKQ786447 FUM786447 GEI786447 GOE786447 GYA786447 HHW786447 HRS786447 IBO786447 ILK786447 IVG786447 JFC786447 JOY786447 JYU786447 KIQ786447 KSM786447 LCI786447 LME786447 LWA786447 MFW786447 MPS786447 MZO786447 NJK786447 NTG786447 ODC786447 OMY786447 OWU786447 PGQ786447 PQM786447 QAI786447 QKE786447 QUA786447 RDW786447 RNS786447 RXO786447 SHK786447 SRG786447 TBC786447 TKY786447 TUU786447 UEQ786447 UOM786447 UYI786447 VIE786447 VSA786447 WBW786447 WLS786447 WVO786447 H851983 JC851983 SY851983 ACU851983 AMQ851983 AWM851983 BGI851983 BQE851983 CAA851983 CJW851983 CTS851983 DDO851983 DNK851983 DXG851983 EHC851983 EQY851983 FAU851983 FKQ851983 FUM851983 GEI851983 GOE851983 GYA851983 HHW851983 HRS851983 IBO851983 ILK851983 IVG851983 JFC851983 JOY851983 JYU851983 KIQ851983 KSM851983 LCI851983 LME851983 LWA851983 MFW851983 MPS851983 MZO851983 NJK851983 NTG851983 ODC851983 OMY851983 OWU851983 PGQ851983 PQM851983 QAI851983 QKE851983 QUA851983 RDW851983 RNS851983 RXO851983 SHK851983 SRG851983 TBC851983 TKY851983 TUU851983 UEQ851983 UOM851983 UYI851983 VIE851983 VSA851983 WBW851983 WLS851983 WVO851983 H917519 JC917519 SY917519 ACU917519 AMQ917519 AWM917519 BGI917519 BQE917519 CAA917519 CJW917519 CTS917519 DDO917519 DNK917519 DXG917519 EHC917519 EQY917519 FAU917519 FKQ917519 FUM917519 GEI917519 GOE917519 GYA917519 HHW917519 HRS917519 IBO917519 ILK917519 IVG917519 JFC917519 JOY917519 JYU917519 KIQ917519 KSM917519 LCI917519 LME917519 LWA917519 MFW917519 MPS917519 MZO917519 NJK917519 NTG917519 ODC917519 OMY917519 OWU917519 PGQ917519 PQM917519 QAI917519 QKE917519 QUA917519 RDW917519 RNS917519 RXO917519 SHK917519 SRG917519 TBC917519 TKY917519 TUU917519 UEQ917519 UOM917519 UYI917519 VIE917519 VSA917519 WBW917519 WLS917519 WVO917519 H983055 JC983055 SY983055 ACU983055 AMQ983055 AWM983055 BGI983055 BQE983055 CAA983055 CJW983055 CTS983055 DDO983055 DNK983055 DXG983055 EHC983055 EQY983055 FAU983055 FKQ983055 FUM983055 GEI983055 GOE983055 GYA983055 HHW983055 HRS983055 IBO983055 ILK983055 IVG983055 JFC983055 JOY983055 JYU983055 KIQ983055 KSM983055 LCI983055 LME983055 LWA983055 MFW983055 MPS983055 MZO983055 NJK983055 NTG983055 ODC983055 OMY983055 OWU983055 PGQ983055 PQM983055 QAI983055 QKE983055 QUA983055 RDW983055 RNS983055 RXO983055 SHK983055 SRG983055 TBC983055 TKY983055 TUU983055 UEQ983055 UOM983055 UYI983055 VIE983055 VSA983055 WBW983055 WLS983055"/>
  </dataValidations>
  <printOptions horizontalCentered="1"/>
  <pageMargins left="0.74803149606299213" right="0.74803149606299213" top="0.70866141732283472" bottom="0.39370078740157483" header="0.39370078740157483" footer="0.27559055118110237"/>
  <pageSetup scale="4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7090" r:id="rId4" name="Check Box 2">
              <controlPr defaultSize="0" autoFill="0" autoLine="0" autoPict="0">
                <anchor moveWithCells="1">
                  <from>
                    <xdr:col>0</xdr:col>
                    <xdr:colOff>323850</xdr:colOff>
                    <xdr:row>13</xdr:row>
                    <xdr:rowOff>47625</xdr:rowOff>
                  </from>
                  <to>
                    <xdr:col>0</xdr:col>
                    <xdr:colOff>590550</xdr:colOff>
                    <xdr:row>13</xdr:row>
                    <xdr:rowOff>485775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rgb="FF00B0F0"/>
    <pageSetUpPr fitToPage="1"/>
  </sheetPr>
  <dimension ref="A1:N310"/>
  <sheetViews>
    <sheetView showGridLines="0" zoomScaleNormal="100" workbookViewId="0">
      <selection activeCell="E16" sqref="E16"/>
    </sheetView>
  </sheetViews>
  <sheetFormatPr defaultRowHeight="12.75" x14ac:dyDescent="0.2"/>
  <cols>
    <col min="1" max="1" width="8.7109375" style="52" customWidth="1"/>
    <col min="2" max="2" width="45" style="52" customWidth="1"/>
    <col min="3" max="3" width="13.42578125" style="52" customWidth="1"/>
    <col min="4" max="4" width="14.85546875" style="52" customWidth="1"/>
    <col min="5" max="5" width="13.5703125" style="52" customWidth="1"/>
    <col min="6" max="6" width="11" style="52" customWidth="1"/>
    <col min="7" max="7" width="19.42578125" style="52" customWidth="1"/>
    <col min="8" max="8" width="7.7109375" style="52" customWidth="1"/>
    <col min="9" max="9" width="12.28515625" style="52" customWidth="1"/>
    <col min="10" max="10" width="12.7109375" style="52" customWidth="1"/>
    <col min="11" max="11" width="17.28515625" style="52" customWidth="1"/>
    <col min="12" max="12" width="16.5703125" style="52" bestFit="1" customWidth="1"/>
    <col min="13" max="257" width="9.140625" style="52"/>
    <col min="258" max="258" width="2.7109375" style="52" customWidth="1"/>
    <col min="259" max="259" width="9.140625" style="52"/>
    <col min="260" max="260" width="40.28515625" style="52" bestFit="1" customWidth="1"/>
    <col min="261" max="261" width="12.85546875" style="52" customWidth="1"/>
    <col min="262" max="262" width="10" style="52" customWidth="1"/>
    <col min="263" max="263" width="19.42578125" style="52" customWidth="1"/>
    <col min="264" max="264" width="7.7109375" style="52" customWidth="1"/>
    <col min="265" max="265" width="12.28515625" style="52" customWidth="1"/>
    <col min="266" max="266" width="12.7109375" style="52" customWidth="1"/>
    <col min="267" max="267" width="13.5703125" style="52" customWidth="1"/>
    <col min="268" max="268" width="11.85546875" style="52" customWidth="1"/>
    <col min="269" max="513" width="9.140625" style="52"/>
    <col min="514" max="514" width="2.7109375" style="52" customWidth="1"/>
    <col min="515" max="515" width="9.140625" style="52"/>
    <col min="516" max="516" width="40.28515625" style="52" bestFit="1" customWidth="1"/>
    <col min="517" max="517" width="12.85546875" style="52" customWidth="1"/>
    <col min="518" max="518" width="10" style="52" customWidth="1"/>
    <col min="519" max="519" width="19.42578125" style="52" customWidth="1"/>
    <col min="520" max="520" width="7.7109375" style="52" customWidth="1"/>
    <col min="521" max="521" width="12.28515625" style="52" customWidth="1"/>
    <col min="522" max="522" width="12.7109375" style="52" customWidth="1"/>
    <col min="523" max="523" width="13.5703125" style="52" customWidth="1"/>
    <col min="524" max="524" width="11.85546875" style="52" customWidth="1"/>
    <col min="525" max="769" width="9.140625" style="52"/>
    <col min="770" max="770" width="2.7109375" style="52" customWidth="1"/>
    <col min="771" max="771" width="9.140625" style="52"/>
    <col min="772" max="772" width="40.28515625" style="52" bestFit="1" customWidth="1"/>
    <col min="773" max="773" width="12.85546875" style="52" customWidth="1"/>
    <col min="774" max="774" width="10" style="52" customWidth="1"/>
    <col min="775" max="775" width="19.42578125" style="52" customWidth="1"/>
    <col min="776" max="776" width="7.7109375" style="52" customWidth="1"/>
    <col min="777" max="777" width="12.28515625" style="52" customWidth="1"/>
    <col min="778" max="778" width="12.7109375" style="52" customWidth="1"/>
    <col min="779" max="779" width="13.5703125" style="52" customWidth="1"/>
    <col min="780" max="780" width="11.85546875" style="52" customWidth="1"/>
    <col min="781" max="1025" width="9.140625" style="52"/>
    <col min="1026" max="1026" width="2.7109375" style="52" customWidth="1"/>
    <col min="1027" max="1027" width="9.140625" style="52"/>
    <col min="1028" max="1028" width="40.28515625" style="52" bestFit="1" customWidth="1"/>
    <col min="1029" max="1029" width="12.85546875" style="52" customWidth="1"/>
    <col min="1030" max="1030" width="10" style="52" customWidth="1"/>
    <col min="1031" max="1031" width="19.42578125" style="52" customWidth="1"/>
    <col min="1032" max="1032" width="7.7109375" style="52" customWidth="1"/>
    <col min="1033" max="1033" width="12.28515625" style="52" customWidth="1"/>
    <col min="1034" max="1034" width="12.7109375" style="52" customWidth="1"/>
    <col min="1035" max="1035" width="13.5703125" style="52" customWidth="1"/>
    <col min="1036" max="1036" width="11.85546875" style="52" customWidth="1"/>
    <col min="1037" max="1281" width="9.140625" style="52"/>
    <col min="1282" max="1282" width="2.7109375" style="52" customWidth="1"/>
    <col min="1283" max="1283" width="9.140625" style="52"/>
    <col min="1284" max="1284" width="40.28515625" style="52" bestFit="1" customWidth="1"/>
    <col min="1285" max="1285" width="12.85546875" style="52" customWidth="1"/>
    <col min="1286" max="1286" width="10" style="52" customWidth="1"/>
    <col min="1287" max="1287" width="19.42578125" style="52" customWidth="1"/>
    <col min="1288" max="1288" width="7.7109375" style="52" customWidth="1"/>
    <col min="1289" max="1289" width="12.28515625" style="52" customWidth="1"/>
    <col min="1290" max="1290" width="12.7109375" style="52" customWidth="1"/>
    <col min="1291" max="1291" width="13.5703125" style="52" customWidth="1"/>
    <col min="1292" max="1292" width="11.85546875" style="52" customWidth="1"/>
    <col min="1293" max="1537" width="9.140625" style="52"/>
    <col min="1538" max="1538" width="2.7109375" style="52" customWidth="1"/>
    <col min="1539" max="1539" width="9.140625" style="52"/>
    <col min="1540" max="1540" width="40.28515625" style="52" bestFit="1" customWidth="1"/>
    <col min="1541" max="1541" width="12.85546875" style="52" customWidth="1"/>
    <col min="1542" max="1542" width="10" style="52" customWidth="1"/>
    <col min="1543" max="1543" width="19.42578125" style="52" customWidth="1"/>
    <col min="1544" max="1544" width="7.7109375" style="52" customWidth="1"/>
    <col min="1545" max="1545" width="12.28515625" style="52" customWidth="1"/>
    <col min="1546" max="1546" width="12.7109375" style="52" customWidth="1"/>
    <col min="1547" max="1547" width="13.5703125" style="52" customWidth="1"/>
    <col min="1548" max="1548" width="11.85546875" style="52" customWidth="1"/>
    <col min="1549" max="1793" width="9.140625" style="52"/>
    <col min="1794" max="1794" width="2.7109375" style="52" customWidth="1"/>
    <col min="1795" max="1795" width="9.140625" style="52"/>
    <col min="1796" max="1796" width="40.28515625" style="52" bestFit="1" customWidth="1"/>
    <col min="1797" max="1797" width="12.85546875" style="52" customWidth="1"/>
    <col min="1798" max="1798" width="10" style="52" customWidth="1"/>
    <col min="1799" max="1799" width="19.42578125" style="52" customWidth="1"/>
    <col min="1800" max="1800" width="7.7109375" style="52" customWidth="1"/>
    <col min="1801" max="1801" width="12.28515625" style="52" customWidth="1"/>
    <col min="1802" max="1802" width="12.7109375" style="52" customWidth="1"/>
    <col min="1803" max="1803" width="13.5703125" style="52" customWidth="1"/>
    <col min="1804" max="1804" width="11.85546875" style="52" customWidth="1"/>
    <col min="1805" max="2049" width="9.140625" style="52"/>
    <col min="2050" max="2050" width="2.7109375" style="52" customWidth="1"/>
    <col min="2051" max="2051" width="9.140625" style="52"/>
    <col min="2052" max="2052" width="40.28515625" style="52" bestFit="1" customWidth="1"/>
    <col min="2053" max="2053" width="12.85546875" style="52" customWidth="1"/>
    <col min="2054" max="2054" width="10" style="52" customWidth="1"/>
    <col min="2055" max="2055" width="19.42578125" style="52" customWidth="1"/>
    <col min="2056" max="2056" width="7.7109375" style="52" customWidth="1"/>
    <col min="2057" max="2057" width="12.28515625" style="52" customWidth="1"/>
    <col min="2058" max="2058" width="12.7109375" style="52" customWidth="1"/>
    <col min="2059" max="2059" width="13.5703125" style="52" customWidth="1"/>
    <col min="2060" max="2060" width="11.85546875" style="52" customWidth="1"/>
    <col min="2061" max="2305" width="9.140625" style="52"/>
    <col min="2306" max="2306" width="2.7109375" style="52" customWidth="1"/>
    <col min="2307" max="2307" width="9.140625" style="52"/>
    <col min="2308" max="2308" width="40.28515625" style="52" bestFit="1" customWidth="1"/>
    <col min="2309" max="2309" width="12.85546875" style="52" customWidth="1"/>
    <col min="2310" max="2310" width="10" style="52" customWidth="1"/>
    <col min="2311" max="2311" width="19.42578125" style="52" customWidth="1"/>
    <col min="2312" max="2312" width="7.7109375" style="52" customWidth="1"/>
    <col min="2313" max="2313" width="12.28515625" style="52" customWidth="1"/>
    <col min="2314" max="2314" width="12.7109375" style="52" customWidth="1"/>
    <col min="2315" max="2315" width="13.5703125" style="52" customWidth="1"/>
    <col min="2316" max="2316" width="11.85546875" style="52" customWidth="1"/>
    <col min="2317" max="2561" width="9.140625" style="52"/>
    <col min="2562" max="2562" width="2.7109375" style="52" customWidth="1"/>
    <col min="2563" max="2563" width="9.140625" style="52"/>
    <col min="2564" max="2564" width="40.28515625" style="52" bestFit="1" customWidth="1"/>
    <col min="2565" max="2565" width="12.85546875" style="52" customWidth="1"/>
    <col min="2566" max="2566" width="10" style="52" customWidth="1"/>
    <col min="2567" max="2567" width="19.42578125" style="52" customWidth="1"/>
    <col min="2568" max="2568" width="7.7109375" style="52" customWidth="1"/>
    <col min="2569" max="2569" width="12.28515625" style="52" customWidth="1"/>
    <col min="2570" max="2570" width="12.7109375" style="52" customWidth="1"/>
    <col min="2571" max="2571" width="13.5703125" style="52" customWidth="1"/>
    <col min="2572" max="2572" width="11.85546875" style="52" customWidth="1"/>
    <col min="2573" max="2817" width="9.140625" style="52"/>
    <col min="2818" max="2818" width="2.7109375" style="52" customWidth="1"/>
    <col min="2819" max="2819" width="9.140625" style="52"/>
    <col min="2820" max="2820" width="40.28515625" style="52" bestFit="1" customWidth="1"/>
    <col min="2821" max="2821" width="12.85546875" style="52" customWidth="1"/>
    <col min="2822" max="2822" width="10" style="52" customWidth="1"/>
    <col min="2823" max="2823" width="19.42578125" style="52" customWidth="1"/>
    <col min="2824" max="2824" width="7.7109375" style="52" customWidth="1"/>
    <col min="2825" max="2825" width="12.28515625" style="52" customWidth="1"/>
    <col min="2826" max="2826" width="12.7109375" style="52" customWidth="1"/>
    <col min="2827" max="2827" width="13.5703125" style="52" customWidth="1"/>
    <col min="2828" max="2828" width="11.85546875" style="52" customWidth="1"/>
    <col min="2829" max="3073" width="9.140625" style="52"/>
    <col min="3074" max="3074" width="2.7109375" style="52" customWidth="1"/>
    <col min="3075" max="3075" width="9.140625" style="52"/>
    <col min="3076" max="3076" width="40.28515625" style="52" bestFit="1" customWidth="1"/>
    <col min="3077" max="3077" width="12.85546875" style="52" customWidth="1"/>
    <col min="3078" max="3078" width="10" style="52" customWidth="1"/>
    <col min="3079" max="3079" width="19.42578125" style="52" customWidth="1"/>
    <col min="3080" max="3080" width="7.7109375" style="52" customWidth="1"/>
    <col min="3081" max="3081" width="12.28515625" style="52" customWidth="1"/>
    <col min="3082" max="3082" width="12.7109375" style="52" customWidth="1"/>
    <col min="3083" max="3083" width="13.5703125" style="52" customWidth="1"/>
    <col min="3084" max="3084" width="11.85546875" style="52" customWidth="1"/>
    <col min="3085" max="3329" width="9.140625" style="52"/>
    <col min="3330" max="3330" width="2.7109375" style="52" customWidth="1"/>
    <col min="3331" max="3331" width="9.140625" style="52"/>
    <col min="3332" max="3332" width="40.28515625" style="52" bestFit="1" customWidth="1"/>
    <col min="3333" max="3333" width="12.85546875" style="52" customWidth="1"/>
    <col min="3334" max="3334" width="10" style="52" customWidth="1"/>
    <col min="3335" max="3335" width="19.42578125" style="52" customWidth="1"/>
    <col min="3336" max="3336" width="7.7109375" style="52" customWidth="1"/>
    <col min="3337" max="3337" width="12.28515625" style="52" customWidth="1"/>
    <col min="3338" max="3338" width="12.7109375" style="52" customWidth="1"/>
    <col min="3339" max="3339" width="13.5703125" style="52" customWidth="1"/>
    <col min="3340" max="3340" width="11.85546875" style="52" customWidth="1"/>
    <col min="3341" max="3585" width="9.140625" style="52"/>
    <col min="3586" max="3586" width="2.7109375" style="52" customWidth="1"/>
    <col min="3587" max="3587" width="9.140625" style="52"/>
    <col min="3588" max="3588" width="40.28515625" style="52" bestFit="1" customWidth="1"/>
    <col min="3589" max="3589" width="12.85546875" style="52" customWidth="1"/>
    <col min="3590" max="3590" width="10" style="52" customWidth="1"/>
    <col min="3591" max="3591" width="19.42578125" style="52" customWidth="1"/>
    <col min="3592" max="3592" width="7.7109375" style="52" customWidth="1"/>
    <col min="3593" max="3593" width="12.28515625" style="52" customWidth="1"/>
    <col min="3594" max="3594" width="12.7109375" style="52" customWidth="1"/>
    <col min="3595" max="3595" width="13.5703125" style="52" customWidth="1"/>
    <col min="3596" max="3596" width="11.85546875" style="52" customWidth="1"/>
    <col min="3597" max="3841" width="9.140625" style="52"/>
    <col min="3842" max="3842" width="2.7109375" style="52" customWidth="1"/>
    <col min="3843" max="3843" width="9.140625" style="52"/>
    <col min="3844" max="3844" width="40.28515625" style="52" bestFit="1" customWidth="1"/>
    <col min="3845" max="3845" width="12.85546875" style="52" customWidth="1"/>
    <col min="3846" max="3846" width="10" style="52" customWidth="1"/>
    <col min="3847" max="3847" width="19.42578125" style="52" customWidth="1"/>
    <col min="3848" max="3848" width="7.7109375" style="52" customWidth="1"/>
    <col min="3849" max="3849" width="12.28515625" style="52" customWidth="1"/>
    <col min="3850" max="3850" width="12.7109375" style="52" customWidth="1"/>
    <col min="3851" max="3851" width="13.5703125" style="52" customWidth="1"/>
    <col min="3852" max="3852" width="11.85546875" style="52" customWidth="1"/>
    <col min="3853" max="4097" width="9.140625" style="52"/>
    <col min="4098" max="4098" width="2.7109375" style="52" customWidth="1"/>
    <col min="4099" max="4099" width="9.140625" style="52"/>
    <col min="4100" max="4100" width="40.28515625" style="52" bestFit="1" customWidth="1"/>
    <col min="4101" max="4101" width="12.85546875" style="52" customWidth="1"/>
    <col min="4102" max="4102" width="10" style="52" customWidth="1"/>
    <col min="4103" max="4103" width="19.42578125" style="52" customWidth="1"/>
    <col min="4104" max="4104" width="7.7109375" style="52" customWidth="1"/>
    <col min="4105" max="4105" width="12.28515625" style="52" customWidth="1"/>
    <col min="4106" max="4106" width="12.7109375" style="52" customWidth="1"/>
    <col min="4107" max="4107" width="13.5703125" style="52" customWidth="1"/>
    <col min="4108" max="4108" width="11.85546875" style="52" customWidth="1"/>
    <col min="4109" max="4353" width="9.140625" style="52"/>
    <col min="4354" max="4354" width="2.7109375" style="52" customWidth="1"/>
    <col min="4355" max="4355" width="9.140625" style="52"/>
    <col min="4356" max="4356" width="40.28515625" style="52" bestFit="1" customWidth="1"/>
    <col min="4357" max="4357" width="12.85546875" style="52" customWidth="1"/>
    <col min="4358" max="4358" width="10" style="52" customWidth="1"/>
    <col min="4359" max="4359" width="19.42578125" style="52" customWidth="1"/>
    <col min="4360" max="4360" width="7.7109375" style="52" customWidth="1"/>
    <col min="4361" max="4361" width="12.28515625" style="52" customWidth="1"/>
    <col min="4362" max="4362" width="12.7109375" style="52" customWidth="1"/>
    <col min="4363" max="4363" width="13.5703125" style="52" customWidth="1"/>
    <col min="4364" max="4364" width="11.85546875" style="52" customWidth="1"/>
    <col min="4365" max="4609" width="9.140625" style="52"/>
    <col min="4610" max="4610" width="2.7109375" style="52" customWidth="1"/>
    <col min="4611" max="4611" width="9.140625" style="52"/>
    <col min="4612" max="4612" width="40.28515625" style="52" bestFit="1" customWidth="1"/>
    <col min="4613" max="4613" width="12.85546875" style="52" customWidth="1"/>
    <col min="4614" max="4614" width="10" style="52" customWidth="1"/>
    <col min="4615" max="4615" width="19.42578125" style="52" customWidth="1"/>
    <col min="4616" max="4616" width="7.7109375" style="52" customWidth="1"/>
    <col min="4617" max="4617" width="12.28515625" style="52" customWidth="1"/>
    <col min="4618" max="4618" width="12.7109375" style="52" customWidth="1"/>
    <col min="4619" max="4619" width="13.5703125" style="52" customWidth="1"/>
    <col min="4620" max="4620" width="11.85546875" style="52" customWidth="1"/>
    <col min="4621" max="4865" width="9.140625" style="52"/>
    <col min="4866" max="4866" width="2.7109375" style="52" customWidth="1"/>
    <col min="4867" max="4867" width="9.140625" style="52"/>
    <col min="4868" max="4868" width="40.28515625" style="52" bestFit="1" customWidth="1"/>
    <col min="4869" max="4869" width="12.85546875" style="52" customWidth="1"/>
    <col min="4870" max="4870" width="10" style="52" customWidth="1"/>
    <col min="4871" max="4871" width="19.42578125" style="52" customWidth="1"/>
    <col min="4872" max="4872" width="7.7109375" style="52" customWidth="1"/>
    <col min="4873" max="4873" width="12.28515625" style="52" customWidth="1"/>
    <col min="4874" max="4874" width="12.7109375" style="52" customWidth="1"/>
    <col min="4875" max="4875" width="13.5703125" style="52" customWidth="1"/>
    <col min="4876" max="4876" width="11.85546875" style="52" customWidth="1"/>
    <col min="4877" max="5121" width="9.140625" style="52"/>
    <col min="5122" max="5122" width="2.7109375" style="52" customWidth="1"/>
    <col min="5123" max="5123" width="9.140625" style="52"/>
    <col min="5124" max="5124" width="40.28515625" style="52" bestFit="1" customWidth="1"/>
    <col min="5125" max="5125" width="12.85546875" style="52" customWidth="1"/>
    <col min="5126" max="5126" width="10" style="52" customWidth="1"/>
    <col min="5127" max="5127" width="19.42578125" style="52" customWidth="1"/>
    <col min="5128" max="5128" width="7.7109375" style="52" customWidth="1"/>
    <col min="5129" max="5129" width="12.28515625" style="52" customWidth="1"/>
    <col min="5130" max="5130" width="12.7109375" style="52" customWidth="1"/>
    <col min="5131" max="5131" width="13.5703125" style="52" customWidth="1"/>
    <col min="5132" max="5132" width="11.85546875" style="52" customWidth="1"/>
    <col min="5133" max="5377" width="9.140625" style="52"/>
    <col min="5378" max="5378" width="2.7109375" style="52" customWidth="1"/>
    <col min="5379" max="5379" width="9.140625" style="52"/>
    <col min="5380" max="5380" width="40.28515625" style="52" bestFit="1" customWidth="1"/>
    <col min="5381" max="5381" width="12.85546875" style="52" customWidth="1"/>
    <col min="5382" max="5382" width="10" style="52" customWidth="1"/>
    <col min="5383" max="5383" width="19.42578125" style="52" customWidth="1"/>
    <col min="5384" max="5384" width="7.7109375" style="52" customWidth="1"/>
    <col min="5385" max="5385" width="12.28515625" style="52" customWidth="1"/>
    <col min="5386" max="5386" width="12.7109375" style="52" customWidth="1"/>
    <col min="5387" max="5387" width="13.5703125" style="52" customWidth="1"/>
    <col min="5388" max="5388" width="11.85546875" style="52" customWidth="1"/>
    <col min="5389" max="5633" width="9.140625" style="52"/>
    <col min="5634" max="5634" width="2.7109375" style="52" customWidth="1"/>
    <col min="5635" max="5635" width="9.140625" style="52"/>
    <col min="5636" max="5636" width="40.28515625" style="52" bestFit="1" customWidth="1"/>
    <col min="5637" max="5637" width="12.85546875" style="52" customWidth="1"/>
    <col min="5638" max="5638" width="10" style="52" customWidth="1"/>
    <col min="5639" max="5639" width="19.42578125" style="52" customWidth="1"/>
    <col min="5640" max="5640" width="7.7109375" style="52" customWidth="1"/>
    <col min="5641" max="5641" width="12.28515625" style="52" customWidth="1"/>
    <col min="5642" max="5642" width="12.7109375" style="52" customWidth="1"/>
    <col min="5643" max="5643" width="13.5703125" style="52" customWidth="1"/>
    <col min="5644" max="5644" width="11.85546875" style="52" customWidth="1"/>
    <col min="5645" max="5889" width="9.140625" style="52"/>
    <col min="5890" max="5890" width="2.7109375" style="52" customWidth="1"/>
    <col min="5891" max="5891" width="9.140625" style="52"/>
    <col min="5892" max="5892" width="40.28515625" style="52" bestFit="1" customWidth="1"/>
    <col min="5893" max="5893" width="12.85546875" style="52" customWidth="1"/>
    <col min="5894" max="5894" width="10" style="52" customWidth="1"/>
    <col min="5895" max="5895" width="19.42578125" style="52" customWidth="1"/>
    <col min="5896" max="5896" width="7.7109375" style="52" customWidth="1"/>
    <col min="5897" max="5897" width="12.28515625" style="52" customWidth="1"/>
    <col min="5898" max="5898" width="12.7109375" style="52" customWidth="1"/>
    <col min="5899" max="5899" width="13.5703125" style="52" customWidth="1"/>
    <col min="5900" max="5900" width="11.85546875" style="52" customWidth="1"/>
    <col min="5901" max="6145" width="9.140625" style="52"/>
    <col min="6146" max="6146" width="2.7109375" style="52" customWidth="1"/>
    <col min="6147" max="6147" width="9.140625" style="52"/>
    <col min="6148" max="6148" width="40.28515625" style="52" bestFit="1" customWidth="1"/>
    <col min="6149" max="6149" width="12.85546875" style="52" customWidth="1"/>
    <col min="6150" max="6150" width="10" style="52" customWidth="1"/>
    <col min="6151" max="6151" width="19.42578125" style="52" customWidth="1"/>
    <col min="6152" max="6152" width="7.7109375" style="52" customWidth="1"/>
    <col min="6153" max="6153" width="12.28515625" style="52" customWidth="1"/>
    <col min="6154" max="6154" width="12.7109375" style="52" customWidth="1"/>
    <col min="6155" max="6155" width="13.5703125" style="52" customWidth="1"/>
    <col min="6156" max="6156" width="11.85546875" style="52" customWidth="1"/>
    <col min="6157" max="6401" width="9.140625" style="52"/>
    <col min="6402" max="6402" width="2.7109375" style="52" customWidth="1"/>
    <col min="6403" max="6403" width="9.140625" style="52"/>
    <col min="6404" max="6404" width="40.28515625" style="52" bestFit="1" customWidth="1"/>
    <col min="6405" max="6405" width="12.85546875" style="52" customWidth="1"/>
    <col min="6406" max="6406" width="10" style="52" customWidth="1"/>
    <col min="6407" max="6407" width="19.42578125" style="52" customWidth="1"/>
    <col min="6408" max="6408" width="7.7109375" style="52" customWidth="1"/>
    <col min="6409" max="6409" width="12.28515625" style="52" customWidth="1"/>
    <col min="6410" max="6410" width="12.7109375" style="52" customWidth="1"/>
    <col min="6411" max="6411" width="13.5703125" style="52" customWidth="1"/>
    <col min="6412" max="6412" width="11.85546875" style="52" customWidth="1"/>
    <col min="6413" max="6657" width="9.140625" style="52"/>
    <col min="6658" max="6658" width="2.7109375" style="52" customWidth="1"/>
    <col min="6659" max="6659" width="9.140625" style="52"/>
    <col min="6660" max="6660" width="40.28515625" style="52" bestFit="1" customWidth="1"/>
    <col min="6661" max="6661" width="12.85546875" style="52" customWidth="1"/>
    <col min="6662" max="6662" width="10" style="52" customWidth="1"/>
    <col min="6663" max="6663" width="19.42578125" style="52" customWidth="1"/>
    <col min="6664" max="6664" width="7.7109375" style="52" customWidth="1"/>
    <col min="6665" max="6665" width="12.28515625" style="52" customWidth="1"/>
    <col min="6666" max="6666" width="12.7109375" style="52" customWidth="1"/>
    <col min="6667" max="6667" width="13.5703125" style="52" customWidth="1"/>
    <col min="6668" max="6668" width="11.85546875" style="52" customWidth="1"/>
    <col min="6669" max="6913" width="9.140625" style="52"/>
    <col min="6914" max="6914" width="2.7109375" style="52" customWidth="1"/>
    <col min="6915" max="6915" width="9.140625" style="52"/>
    <col min="6916" max="6916" width="40.28515625" style="52" bestFit="1" customWidth="1"/>
    <col min="6917" max="6917" width="12.85546875" style="52" customWidth="1"/>
    <col min="6918" max="6918" width="10" style="52" customWidth="1"/>
    <col min="6919" max="6919" width="19.42578125" style="52" customWidth="1"/>
    <col min="6920" max="6920" width="7.7109375" style="52" customWidth="1"/>
    <col min="6921" max="6921" width="12.28515625" style="52" customWidth="1"/>
    <col min="6922" max="6922" width="12.7109375" style="52" customWidth="1"/>
    <col min="6923" max="6923" width="13.5703125" style="52" customWidth="1"/>
    <col min="6924" max="6924" width="11.85546875" style="52" customWidth="1"/>
    <col min="6925" max="7169" width="9.140625" style="52"/>
    <col min="7170" max="7170" width="2.7109375" style="52" customWidth="1"/>
    <col min="7171" max="7171" width="9.140625" style="52"/>
    <col min="7172" max="7172" width="40.28515625" style="52" bestFit="1" customWidth="1"/>
    <col min="7173" max="7173" width="12.85546875" style="52" customWidth="1"/>
    <col min="7174" max="7174" width="10" style="52" customWidth="1"/>
    <col min="7175" max="7175" width="19.42578125" style="52" customWidth="1"/>
    <col min="7176" max="7176" width="7.7109375" style="52" customWidth="1"/>
    <col min="7177" max="7177" width="12.28515625" style="52" customWidth="1"/>
    <col min="7178" max="7178" width="12.7109375" style="52" customWidth="1"/>
    <col min="7179" max="7179" width="13.5703125" style="52" customWidth="1"/>
    <col min="7180" max="7180" width="11.85546875" style="52" customWidth="1"/>
    <col min="7181" max="7425" width="9.140625" style="52"/>
    <col min="7426" max="7426" width="2.7109375" style="52" customWidth="1"/>
    <col min="7427" max="7427" width="9.140625" style="52"/>
    <col min="7428" max="7428" width="40.28515625" style="52" bestFit="1" customWidth="1"/>
    <col min="7429" max="7429" width="12.85546875" style="52" customWidth="1"/>
    <col min="7430" max="7430" width="10" style="52" customWidth="1"/>
    <col min="7431" max="7431" width="19.42578125" style="52" customWidth="1"/>
    <col min="7432" max="7432" width="7.7109375" style="52" customWidth="1"/>
    <col min="7433" max="7433" width="12.28515625" style="52" customWidth="1"/>
    <col min="7434" max="7434" width="12.7109375" style="52" customWidth="1"/>
    <col min="7435" max="7435" width="13.5703125" style="52" customWidth="1"/>
    <col min="7436" max="7436" width="11.85546875" style="52" customWidth="1"/>
    <col min="7437" max="7681" width="9.140625" style="52"/>
    <col min="7682" max="7682" width="2.7109375" style="52" customWidth="1"/>
    <col min="7683" max="7683" width="9.140625" style="52"/>
    <col min="7684" max="7684" width="40.28515625" style="52" bestFit="1" customWidth="1"/>
    <col min="7685" max="7685" width="12.85546875" style="52" customWidth="1"/>
    <col min="7686" max="7686" width="10" style="52" customWidth="1"/>
    <col min="7687" max="7687" width="19.42578125" style="52" customWidth="1"/>
    <col min="7688" max="7688" width="7.7109375" style="52" customWidth="1"/>
    <col min="7689" max="7689" width="12.28515625" style="52" customWidth="1"/>
    <col min="7690" max="7690" width="12.7109375" style="52" customWidth="1"/>
    <col min="7691" max="7691" width="13.5703125" style="52" customWidth="1"/>
    <col min="7692" max="7692" width="11.85546875" style="52" customWidth="1"/>
    <col min="7693" max="7937" width="9.140625" style="52"/>
    <col min="7938" max="7938" width="2.7109375" style="52" customWidth="1"/>
    <col min="7939" max="7939" width="9.140625" style="52"/>
    <col min="7940" max="7940" width="40.28515625" style="52" bestFit="1" customWidth="1"/>
    <col min="7941" max="7941" width="12.85546875" style="52" customWidth="1"/>
    <col min="7942" max="7942" width="10" style="52" customWidth="1"/>
    <col min="7943" max="7943" width="19.42578125" style="52" customWidth="1"/>
    <col min="7944" max="7944" width="7.7109375" style="52" customWidth="1"/>
    <col min="7945" max="7945" width="12.28515625" style="52" customWidth="1"/>
    <col min="7946" max="7946" width="12.7109375" style="52" customWidth="1"/>
    <col min="7947" max="7947" width="13.5703125" style="52" customWidth="1"/>
    <col min="7948" max="7948" width="11.85546875" style="52" customWidth="1"/>
    <col min="7949" max="8193" width="9.140625" style="52"/>
    <col min="8194" max="8194" width="2.7109375" style="52" customWidth="1"/>
    <col min="8195" max="8195" width="9.140625" style="52"/>
    <col min="8196" max="8196" width="40.28515625" style="52" bestFit="1" customWidth="1"/>
    <col min="8197" max="8197" width="12.85546875" style="52" customWidth="1"/>
    <col min="8198" max="8198" width="10" style="52" customWidth="1"/>
    <col min="8199" max="8199" width="19.42578125" style="52" customWidth="1"/>
    <col min="8200" max="8200" width="7.7109375" style="52" customWidth="1"/>
    <col min="8201" max="8201" width="12.28515625" style="52" customWidth="1"/>
    <col min="8202" max="8202" width="12.7109375" style="52" customWidth="1"/>
    <col min="8203" max="8203" width="13.5703125" style="52" customWidth="1"/>
    <col min="8204" max="8204" width="11.85546875" style="52" customWidth="1"/>
    <col min="8205" max="8449" width="9.140625" style="52"/>
    <col min="8450" max="8450" width="2.7109375" style="52" customWidth="1"/>
    <col min="8451" max="8451" width="9.140625" style="52"/>
    <col min="8452" max="8452" width="40.28515625" style="52" bestFit="1" customWidth="1"/>
    <col min="8453" max="8453" width="12.85546875" style="52" customWidth="1"/>
    <col min="8454" max="8454" width="10" style="52" customWidth="1"/>
    <col min="8455" max="8455" width="19.42578125" style="52" customWidth="1"/>
    <col min="8456" max="8456" width="7.7109375" style="52" customWidth="1"/>
    <col min="8457" max="8457" width="12.28515625" style="52" customWidth="1"/>
    <col min="8458" max="8458" width="12.7109375" style="52" customWidth="1"/>
    <col min="8459" max="8459" width="13.5703125" style="52" customWidth="1"/>
    <col min="8460" max="8460" width="11.85546875" style="52" customWidth="1"/>
    <col min="8461" max="8705" width="9.140625" style="52"/>
    <col min="8706" max="8706" width="2.7109375" style="52" customWidth="1"/>
    <col min="8707" max="8707" width="9.140625" style="52"/>
    <col min="8708" max="8708" width="40.28515625" style="52" bestFit="1" customWidth="1"/>
    <col min="8709" max="8709" width="12.85546875" style="52" customWidth="1"/>
    <col min="8710" max="8710" width="10" style="52" customWidth="1"/>
    <col min="8711" max="8711" width="19.42578125" style="52" customWidth="1"/>
    <col min="8712" max="8712" width="7.7109375" style="52" customWidth="1"/>
    <col min="8713" max="8713" width="12.28515625" style="52" customWidth="1"/>
    <col min="8714" max="8714" width="12.7109375" style="52" customWidth="1"/>
    <col min="8715" max="8715" width="13.5703125" style="52" customWidth="1"/>
    <col min="8716" max="8716" width="11.85546875" style="52" customWidth="1"/>
    <col min="8717" max="8961" width="9.140625" style="52"/>
    <col min="8962" max="8962" width="2.7109375" style="52" customWidth="1"/>
    <col min="8963" max="8963" width="9.140625" style="52"/>
    <col min="8964" max="8964" width="40.28515625" style="52" bestFit="1" customWidth="1"/>
    <col min="8965" max="8965" width="12.85546875" style="52" customWidth="1"/>
    <col min="8966" max="8966" width="10" style="52" customWidth="1"/>
    <col min="8967" max="8967" width="19.42578125" style="52" customWidth="1"/>
    <col min="8968" max="8968" width="7.7109375" style="52" customWidth="1"/>
    <col min="8969" max="8969" width="12.28515625" style="52" customWidth="1"/>
    <col min="8970" max="8970" width="12.7109375" style="52" customWidth="1"/>
    <col min="8971" max="8971" width="13.5703125" style="52" customWidth="1"/>
    <col min="8972" max="8972" width="11.85546875" style="52" customWidth="1"/>
    <col min="8973" max="9217" width="9.140625" style="52"/>
    <col min="9218" max="9218" width="2.7109375" style="52" customWidth="1"/>
    <col min="9219" max="9219" width="9.140625" style="52"/>
    <col min="9220" max="9220" width="40.28515625" style="52" bestFit="1" customWidth="1"/>
    <col min="9221" max="9221" width="12.85546875" style="52" customWidth="1"/>
    <col min="9222" max="9222" width="10" style="52" customWidth="1"/>
    <col min="9223" max="9223" width="19.42578125" style="52" customWidth="1"/>
    <col min="9224" max="9224" width="7.7109375" style="52" customWidth="1"/>
    <col min="9225" max="9225" width="12.28515625" style="52" customWidth="1"/>
    <col min="9226" max="9226" width="12.7109375" style="52" customWidth="1"/>
    <col min="9227" max="9227" width="13.5703125" style="52" customWidth="1"/>
    <col min="9228" max="9228" width="11.85546875" style="52" customWidth="1"/>
    <col min="9229" max="9473" width="9.140625" style="52"/>
    <col min="9474" max="9474" width="2.7109375" style="52" customWidth="1"/>
    <col min="9475" max="9475" width="9.140625" style="52"/>
    <col min="9476" max="9476" width="40.28515625" style="52" bestFit="1" customWidth="1"/>
    <col min="9477" max="9477" width="12.85546875" style="52" customWidth="1"/>
    <col min="9478" max="9478" width="10" style="52" customWidth="1"/>
    <col min="9479" max="9479" width="19.42578125" style="52" customWidth="1"/>
    <col min="9480" max="9480" width="7.7109375" style="52" customWidth="1"/>
    <col min="9481" max="9481" width="12.28515625" style="52" customWidth="1"/>
    <col min="9482" max="9482" width="12.7109375" style="52" customWidth="1"/>
    <col min="9483" max="9483" width="13.5703125" style="52" customWidth="1"/>
    <col min="9484" max="9484" width="11.85546875" style="52" customWidth="1"/>
    <col min="9485" max="9729" width="9.140625" style="52"/>
    <col min="9730" max="9730" width="2.7109375" style="52" customWidth="1"/>
    <col min="9731" max="9731" width="9.140625" style="52"/>
    <col min="9732" max="9732" width="40.28515625" style="52" bestFit="1" customWidth="1"/>
    <col min="9733" max="9733" width="12.85546875" style="52" customWidth="1"/>
    <col min="9734" max="9734" width="10" style="52" customWidth="1"/>
    <col min="9735" max="9735" width="19.42578125" style="52" customWidth="1"/>
    <col min="9736" max="9736" width="7.7109375" style="52" customWidth="1"/>
    <col min="9737" max="9737" width="12.28515625" style="52" customWidth="1"/>
    <col min="9738" max="9738" width="12.7109375" style="52" customWidth="1"/>
    <col min="9739" max="9739" width="13.5703125" style="52" customWidth="1"/>
    <col min="9740" max="9740" width="11.85546875" style="52" customWidth="1"/>
    <col min="9741" max="9985" width="9.140625" style="52"/>
    <col min="9986" max="9986" width="2.7109375" style="52" customWidth="1"/>
    <col min="9987" max="9987" width="9.140625" style="52"/>
    <col min="9988" max="9988" width="40.28515625" style="52" bestFit="1" customWidth="1"/>
    <col min="9989" max="9989" width="12.85546875" style="52" customWidth="1"/>
    <col min="9990" max="9990" width="10" style="52" customWidth="1"/>
    <col min="9991" max="9991" width="19.42578125" style="52" customWidth="1"/>
    <col min="9992" max="9992" width="7.7109375" style="52" customWidth="1"/>
    <col min="9993" max="9993" width="12.28515625" style="52" customWidth="1"/>
    <col min="9994" max="9994" width="12.7109375" style="52" customWidth="1"/>
    <col min="9995" max="9995" width="13.5703125" style="52" customWidth="1"/>
    <col min="9996" max="9996" width="11.85546875" style="52" customWidth="1"/>
    <col min="9997" max="10241" width="9.140625" style="52"/>
    <col min="10242" max="10242" width="2.7109375" style="52" customWidth="1"/>
    <col min="10243" max="10243" width="9.140625" style="52"/>
    <col min="10244" max="10244" width="40.28515625" style="52" bestFit="1" customWidth="1"/>
    <col min="10245" max="10245" width="12.85546875" style="52" customWidth="1"/>
    <col min="10246" max="10246" width="10" style="52" customWidth="1"/>
    <col min="10247" max="10247" width="19.42578125" style="52" customWidth="1"/>
    <col min="10248" max="10248" width="7.7109375" style="52" customWidth="1"/>
    <col min="10249" max="10249" width="12.28515625" style="52" customWidth="1"/>
    <col min="10250" max="10250" width="12.7109375" style="52" customWidth="1"/>
    <col min="10251" max="10251" width="13.5703125" style="52" customWidth="1"/>
    <col min="10252" max="10252" width="11.85546875" style="52" customWidth="1"/>
    <col min="10253" max="10497" width="9.140625" style="52"/>
    <col min="10498" max="10498" width="2.7109375" style="52" customWidth="1"/>
    <col min="10499" max="10499" width="9.140625" style="52"/>
    <col min="10500" max="10500" width="40.28515625" style="52" bestFit="1" customWidth="1"/>
    <col min="10501" max="10501" width="12.85546875" style="52" customWidth="1"/>
    <col min="10502" max="10502" width="10" style="52" customWidth="1"/>
    <col min="10503" max="10503" width="19.42578125" style="52" customWidth="1"/>
    <col min="10504" max="10504" width="7.7109375" style="52" customWidth="1"/>
    <col min="10505" max="10505" width="12.28515625" style="52" customWidth="1"/>
    <col min="10506" max="10506" width="12.7109375" style="52" customWidth="1"/>
    <col min="10507" max="10507" width="13.5703125" style="52" customWidth="1"/>
    <col min="10508" max="10508" width="11.85546875" style="52" customWidth="1"/>
    <col min="10509" max="10753" width="9.140625" style="52"/>
    <col min="10754" max="10754" width="2.7109375" style="52" customWidth="1"/>
    <col min="10755" max="10755" width="9.140625" style="52"/>
    <col min="10756" max="10756" width="40.28515625" style="52" bestFit="1" customWidth="1"/>
    <col min="10757" max="10757" width="12.85546875" style="52" customWidth="1"/>
    <col min="10758" max="10758" width="10" style="52" customWidth="1"/>
    <col min="10759" max="10759" width="19.42578125" style="52" customWidth="1"/>
    <col min="10760" max="10760" width="7.7109375" style="52" customWidth="1"/>
    <col min="10761" max="10761" width="12.28515625" style="52" customWidth="1"/>
    <col min="10762" max="10762" width="12.7109375" style="52" customWidth="1"/>
    <col min="10763" max="10763" width="13.5703125" style="52" customWidth="1"/>
    <col min="10764" max="10764" width="11.85546875" style="52" customWidth="1"/>
    <col min="10765" max="11009" width="9.140625" style="52"/>
    <col min="11010" max="11010" width="2.7109375" style="52" customWidth="1"/>
    <col min="11011" max="11011" width="9.140625" style="52"/>
    <col min="11012" max="11012" width="40.28515625" style="52" bestFit="1" customWidth="1"/>
    <col min="11013" max="11013" width="12.85546875" style="52" customWidth="1"/>
    <col min="11014" max="11014" width="10" style="52" customWidth="1"/>
    <col min="11015" max="11015" width="19.42578125" style="52" customWidth="1"/>
    <col min="11016" max="11016" width="7.7109375" style="52" customWidth="1"/>
    <col min="11017" max="11017" width="12.28515625" style="52" customWidth="1"/>
    <col min="11018" max="11018" width="12.7109375" style="52" customWidth="1"/>
    <col min="11019" max="11019" width="13.5703125" style="52" customWidth="1"/>
    <col min="11020" max="11020" width="11.85546875" style="52" customWidth="1"/>
    <col min="11021" max="11265" width="9.140625" style="52"/>
    <col min="11266" max="11266" width="2.7109375" style="52" customWidth="1"/>
    <col min="11267" max="11267" width="9.140625" style="52"/>
    <col min="11268" max="11268" width="40.28515625" style="52" bestFit="1" customWidth="1"/>
    <col min="11269" max="11269" width="12.85546875" style="52" customWidth="1"/>
    <col min="11270" max="11270" width="10" style="52" customWidth="1"/>
    <col min="11271" max="11271" width="19.42578125" style="52" customWidth="1"/>
    <col min="11272" max="11272" width="7.7109375" style="52" customWidth="1"/>
    <col min="11273" max="11273" width="12.28515625" style="52" customWidth="1"/>
    <col min="11274" max="11274" width="12.7109375" style="52" customWidth="1"/>
    <col min="11275" max="11275" width="13.5703125" style="52" customWidth="1"/>
    <col min="11276" max="11276" width="11.85546875" style="52" customWidth="1"/>
    <col min="11277" max="11521" width="9.140625" style="52"/>
    <col min="11522" max="11522" width="2.7109375" style="52" customWidth="1"/>
    <col min="11523" max="11523" width="9.140625" style="52"/>
    <col min="11524" max="11524" width="40.28515625" style="52" bestFit="1" customWidth="1"/>
    <col min="11525" max="11525" width="12.85546875" style="52" customWidth="1"/>
    <col min="11526" max="11526" width="10" style="52" customWidth="1"/>
    <col min="11527" max="11527" width="19.42578125" style="52" customWidth="1"/>
    <col min="11528" max="11528" width="7.7109375" style="52" customWidth="1"/>
    <col min="11529" max="11529" width="12.28515625" style="52" customWidth="1"/>
    <col min="11530" max="11530" width="12.7109375" style="52" customWidth="1"/>
    <col min="11531" max="11531" width="13.5703125" style="52" customWidth="1"/>
    <col min="11532" max="11532" width="11.85546875" style="52" customWidth="1"/>
    <col min="11533" max="11777" width="9.140625" style="52"/>
    <col min="11778" max="11778" width="2.7109375" style="52" customWidth="1"/>
    <col min="11779" max="11779" width="9.140625" style="52"/>
    <col min="11780" max="11780" width="40.28515625" style="52" bestFit="1" customWidth="1"/>
    <col min="11781" max="11781" width="12.85546875" style="52" customWidth="1"/>
    <col min="11782" max="11782" width="10" style="52" customWidth="1"/>
    <col min="11783" max="11783" width="19.42578125" style="52" customWidth="1"/>
    <col min="11784" max="11784" width="7.7109375" style="52" customWidth="1"/>
    <col min="11785" max="11785" width="12.28515625" style="52" customWidth="1"/>
    <col min="11786" max="11786" width="12.7109375" style="52" customWidth="1"/>
    <col min="11787" max="11787" width="13.5703125" style="52" customWidth="1"/>
    <col min="11788" max="11788" width="11.85546875" style="52" customWidth="1"/>
    <col min="11789" max="12033" width="9.140625" style="52"/>
    <col min="12034" max="12034" width="2.7109375" style="52" customWidth="1"/>
    <col min="12035" max="12035" width="9.140625" style="52"/>
    <col min="12036" max="12036" width="40.28515625" style="52" bestFit="1" customWidth="1"/>
    <col min="12037" max="12037" width="12.85546875" style="52" customWidth="1"/>
    <col min="12038" max="12038" width="10" style="52" customWidth="1"/>
    <col min="12039" max="12039" width="19.42578125" style="52" customWidth="1"/>
    <col min="12040" max="12040" width="7.7109375" style="52" customWidth="1"/>
    <col min="12041" max="12041" width="12.28515625" style="52" customWidth="1"/>
    <col min="12042" max="12042" width="12.7109375" style="52" customWidth="1"/>
    <col min="12043" max="12043" width="13.5703125" style="52" customWidth="1"/>
    <col min="12044" max="12044" width="11.85546875" style="52" customWidth="1"/>
    <col min="12045" max="12289" width="9.140625" style="52"/>
    <col min="12290" max="12290" width="2.7109375" style="52" customWidth="1"/>
    <col min="12291" max="12291" width="9.140625" style="52"/>
    <col min="12292" max="12292" width="40.28515625" style="52" bestFit="1" customWidth="1"/>
    <col min="12293" max="12293" width="12.85546875" style="52" customWidth="1"/>
    <col min="12294" max="12294" width="10" style="52" customWidth="1"/>
    <col min="12295" max="12295" width="19.42578125" style="52" customWidth="1"/>
    <col min="12296" max="12296" width="7.7109375" style="52" customWidth="1"/>
    <col min="12297" max="12297" width="12.28515625" style="52" customWidth="1"/>
    <col min="12298" max="12298" width="12.7109375" style="52" customWidth="1"/>
    <col min="12299" max="12299" width="13.5703125" style="52" customWidth="1"/>
    <col min="12300" max="12300" width="11.85546875" style="52" customWidth="1"/>
    <col min="12301" max="12545" width="9.140625" style="52"/>
    <col min="12546" max="12546" width="2.7109375" style="52" customWidth="1"/>
    <col min="12547" max="12547" width="9.140625" style="52"/>
    <col min="12548" max="12548" width="40.28515625" style="52" bestFit="1" customWidth="1"/>
    <col min="12549" max="12549" width="12.85546875" style="52" customWidth="1"/>
    <col min="12550" max="12550" width="10" style="52" customWidth="1"/>
    <col min="12551" max="12551" width="19.42578125" style="52" customWidth="1"/>
    <col min="12552" max="12552" width="7.7109375" style="52" customWidth="1"/>
    <col min="12553" max="12553" width="12.28515625" style="52" customWidth="1"/>
    <col min="12554" max="12554" width="12.7109375" style="52" customWidth="1"/>
    <col min="12555" max="12555" width="13.5703125" style="52" customWidth="1"/>
    <col min="12556" max="12556" width="11.85546875" style="52" customWidth="1"/>
    <col min="12557" max="12801" width="9.140625" style="52"/>
    <col min="12802" max="12802" width="2.7109375" style="52" customWidth="1"/>
    <col min="12803" max="12803" width="9.140625" style="52"/>
    <col min="12804" max="12804" width="40.28515625" style="52" bestFit="1" customWidth="1"/>
    <col min="12805" max="12805" width="12.85546875" style="52" customWidth="1"/>
    <col min="12806" max="12806" width="10" style="52" customWidth="1"/>
    <col min="12807" max="12807" width="19.42578125" style="52" customWidth="1"/>
    <col min="12808" max="12808" width="7.7109375" style="52" customWidth="1"/>
    <col min="12809" max="12809" width="12.28515625" style="52" customWidth="1"/>
    <col min="12810" max="12810" width="12.7109375" style="52" customWidth="1"/>
    <col min="12811" max="12811" width="13.5703125" style="52" customWidth="1"/>
    <col min="12812" max="12812" width="11.85546875" style="52" customWidth="1"/>
    <col min="12813" max="13057" width="9.140625" style="52"/>
    <col min="13058" max="13058" width="2.7109375" style="52" customWidth="1"/>
    <col min="13059" max="13059" width="9.140625" style="52"/>
    <col min="13060" max="13060" width="40.28515625" style="52" bestFit="1" customWidth="1"/>
    <col min="13061" max="13061" width="12.85546875" style="52" customWidth="1"/>
    <col min="13062" max="13062" width="10" style="52" customWidth="1"/>
    <col min="13063" max="13063" width="19.42578125" style="52" customWidth="1"/>
    <col min="13064" max="13064" width="7.7109375" style="52" customWidth="1"/>
    <col min="13065" max="13065" width="12.28515625" style="52" customWidth="1"/>
    <col min="13066" max="13066" width="12.7109375" style="52" customWidth="1"/>
    <col min="13067" max="13067" width="13.5703125" style="52" customWidth="1"/>
    <col min="13068" max="13068" width="11.85546875" style="52" customWidth="1"/>
    <col min="13069" max="13313" width="9.140625" style="52"/>
    <col min="13314" max="13314" width="2.7109375" style="52" customWidth="1"/>
    <col min="13315" max="13315" width="9.140625" style="52"/>
    <col min="13316" max="13316" width="40.28515625" style="52" bestFit="1" customWidth="1"/>
    <col min="13317" max="13317" width="12.85546875" style="52" customWidth="1"/>
    <col min="13318" max="13318" width="10" style="52" customWidth="1"/>
    <col min="13319" max="13319" width="19.42578125" style="52" customWidth="1"/>
    <col min="13320" max="13320" width="7.7109375" style="52" customWidth="1"/>
    <col min="13321" max="13321" width="12.28515625" style="52" customWidth="1"/>
    <col min="13322" max="13322" width="12.7109375" style="52" customWidth="1"/>
    <col min="13323" max="13323" width="13.5703125" style="52" customWidth="1"/>
    <col min="13324" max="13324" width="11.85546875" style="52" customWidth="1"/>
    <col min="13325" max="13569" width="9.140625" style="52"/>
    <col min="13570" max="13570" width="2.7109375" style="52" customWidth="1"/>
    <col min="13571" max="13571" width="9.140625" style="52"/>
    <col min="13572" max="13572" width="40.28515625" style="52" bestFit="1" customWidth="1"/>
    <col min="13573" max="13573" width="12.85546875" style="52" customWidth="1"/>
    <col min="13574" max="13574" width="10" style="52" customWidth="1"/>
    <col min="13575" max="13575" width="19.42578125" style="52" customWidth="1"/>
    <col min="13576" max="13576" width="7.7109375" style="52" customWidth="1"/>
    <col min="13577" max="13577" width="12.28515625" style="52" customWidth="1"/>
    <col min="13578" max="13578" width="12.7109375" style="52" customWidth="1"/>
    <col min="13579" max="13579" width="13.5703125" style="52" customWidth="1"/>
    <col min="13580" max="13580" width="11.85546875" style="52" customWidth="1"/>
    <col min="13581" max="13825" width="9.140625" style="52"/>
    <col min="13826" max="13826" width="2.7109375" style="52" customWidth="1"/>
    <col min="13827" max="13827" width="9.140625" style="52"/>
    <col min="13828" max="13828" width="40.28515625" style="52" bestFit="1" customWidth="1"/>
    <col min="13829" max="13829" width="12.85546875" style="52" customWidth="1"/>
    <col min="13830" max="13830" width="10" style="52" customWidth="1"/>
    <col min="13831" max="13831" width="19.42578125" style="52" customWidth="1"/>
    <col min="13832" max="13832" width="7.7109375" style="52" customWidth="1"/>
    <col min="13833" max="13833" width="12.28515625" style="52" customWidth="1"/>
    <col min="13834" max="13834" width="12.7109375" style="52" customWidth="1"/>
    <col min="13835" max="13835" width="13.5703125" style="52" customWidth="1"/>
    <col min="13836" max="13836" width="11.85546875" style="52" customWidth="1"/>
    <col min="13837" max="14081" width="9.140625" style="52"/>
    <col min="14082" max="14082" width="2.7109375" style="52" customWidth="1"/>
    <col min="14083" max="14083" width="9.140625" style="52"/>
    <col min="14084" max="14084" width="40.28515625" style="52" bestFit="1" customWidth="1"/>
    <col min="14085" max="14085" width="12.85546875" style="52" customWidth="1"/>
    <col min="14086" max="14086" width="10" style="52" customWidth="1"/>
    <col min="14087" max="14087" width="19.42578125" style="52" customWidth="1"/>
    <col min="14088" max="14088" width="7.7109375" style="52" customWidth="1"/>
    <col min="14089" max="14089" width="12.28515625" style="52" customWidth="1"/>
    <col min="14090" max="14090" width="12.7109375" style="52" customWidth="1"/>
    <col min="14091" max="14091" width="13.5703125" style="52" customWidth="1"/>
    <col min="14092" max="14092" width="11.85546875" style="52" customWidth="1"/>
    <col min="14093" max="14337" width="9.140625" style="52"/>
    <col min="14338" max="14338" width="2.7109375" style="52" customWidth="1"/>
    <col min="14339" max="14339" width="9.140625" style="52"/>
    <col min="14340" max="14340" width="40.28515625" style="52" bestFit="1" customWidth="1"/>
    <col min="14341" max="14341" width="12.85546875" style="52" customWidth="1"/>
    <col min="14342" max="14342" width="10" style="52" customWidth="1"/>
    <col min="14343" max="14343" width="19.42578125" style="52" customWidth="1"/>
    <col min="14344" max="14344" width="7.7109375" style="52" customWidth="1"/>
    <col min="14345" max="14345" width="12.28515625" style="52" customWidth="1"/>
    <col min="14346" max="14346" width="12.7109375" style="52" customWidth="1"/>
    <col min="14347" max="14347" width="13.5703125" style="52" customWidth="1"/>
    <col min="14348" max="14348" width="11.85546875" style="52" customWidth="1"/>
    <col min="14349" max="14593" width="9.140625" style="52"/>
    <col min="14594" max="14594" width="2.7109375" style="52" customWidth="1"/>
    <col min="14595" max="14595" width="9.140625" style="52"/>
    <col min="14596" max="14596" width="40.28515625" style="52" bestFit="1" customWidth="1"/>
    <col min="14597" max="14597" width="12.85546875" style="52" customWidth="1"/>
    <col min="14598" max="14598" width="10" style="52" customWidth="1"/>
    <col min="14599" max="14599" width="19.42578125" style="52" customWidth="1"/>
    <col min="14600" max="14600" width="7.7109375" style="52" customWidth="1"/>
    <col min="14601" max="14601" width="12.28515625" style="52" customWidth="1"/>
    <col min="14602" max="14602" width="12.7109375" style="52" customWidth="1"/>
    <col min="14603" max="14603" width="13.5703125" style="52" customWidth="1"/>
    <col min="14604" max="14604" width="11.85546875" style="52" customWidth="1"/>
    <col min="14605" max="14849" width="9.140625" style="52"/>
    <col min="14850" max="14850" width="2.7109375" style="52" customWidth="1"/>
    <col min="14851" max="14851" width="9.140625" style="52"/>
    <col min="14852" max="14852" width="40.28515625" style="52" bestFit="1" customWidth="1"/>
    <col min="14853" max="14853" width="12.85546875" style="52" customWidth="1"/>
    <col min="14854" max="14854" width="10" style="52" customWidth="1"/>
    <col min="14855" max="14855" width="19.42578125" style="52" customWidth="1"/>
    <col min="14856" max="14856" width="7.7109375" style="52" customWidth="1"/>
    <col min="14857" max="14857" width="12.28515625" style="52" customWidth="1"/>
    <col min="14858" max="14858" width="12.7109375" style="52" customWidth="1"/>
    <col min="14859" max="14859" width="13.5703125" style="52" customWidth="1"/>
    <col min="14860" max="14860" width="11.85546875" style="52" customWidth="1"/>
    <col min="14861" max="15105" width="9.140625" style="52"/>
    <col min="15106" max="15106" width="2.7109375" style="52" customWidth="1"/>
    <col min="15107" max="15107" width="9.140625" style="52"/>
    <col min="15108" max="15108" width="40.28515625" style="52" bestFit="1" customWidth="1"/>
    <col min="15109" max="15109" width="12.85546875" style="52" customWidth="1"/>
    <col min="15110" max="15110" width="10" style="52" customWidth="1"/>
    <col min="15111" max="15111" width="19.42578125" style="52" customWidth="1"/>
    <col min="15112" max="15112" width="7.7109375" style="52" customWidth="1"/>
    <col min="15113" max="15113" width="12.28515625" style="52" customWidth="1"/>
    <col min="15114" max="15114" width="12.7109375" style="52" customWidth="1"/>
    <col min="15115" max="15115" width="13.5703125" style="52" customWidth="1"/>
    <col min="15116" max="15116" width="11.85546875" style="52" customWidth="1"/>
    <col min="15117" max="15361" width="9.140625" style="52"/>
    <col min="15362" max="15362" width="2.7109375" style="52" customWidth="1"/>
    <col min="15363" max="15363" width="9.140625" style="52"/>
    <col min="15364" max="15364" width="40.28515625" style="52" bestFit="1" customWidth="1"/>
    <col min="15365" max="15365" width="12.85546875" style="52" customWidth="1"/>
    <col min="15366" max="15366" width="10" style="52" customWidth="1"/>
    <col min="15367" max="15367" width="19.42578125" style="52" customWidth="1"/>
    <col min="15368" max="15368" width="7.7109375" style="52" customWidth="1"/>
    <col min="15369" max="15369" width="12.28515625" style="52" customWidth="1"/>
    <col min="15370" max="15370" width="12.7109375" style="52" customWidth="1"/>
    <col min="15371" max="15371" width="13.5703125" style="52" customWidth="1"/>
    <col min="15372" max="15372" width="11.85546875" style="52" customWidth="1"/>
    <col min="15373" max="15617" width="9.140625" style="52"/>
    <col min="15618" max="15618" width="2.7109375" style="52" customWidth="1"/>
    <col min="15619" max="15619" width="9.140625" style="52"/>
    <col min="15620" max="15620" width="40.28515625" style="52" bestFit="1" customWidth="1"/>
    <col min="15621" max="15621" width="12.85546875" style="52" customWidth="1"/>
    <col min="15622" max="15622" width="10" style="52" customWidth="1"/>
    <col min="15623" max="15623" width="19.42578125" style="52" customWidth="1"/>
    <col min="15624" max="15624" width="7.7109375" style="52" customWidth="1"/>
    <col min="15625" max="15625" width="12.28515625" style="52" customWidth="1"/>
    <col min="15626" max="15626" width="12.7109375" style="52" customWidth="1"/>
    <col min="15627" max="15627" width="13.5703125" style="52" customWidth="1"/>
    <col min="15628" max="15628" width="11.85546875" style="52" customWidth="1"/>
    <col min="15629" max="15873" width="9.140625" style="52"/>
    <col min="15874" max="15874" width="2.7109375" style="52" customWidth="1"/>
    <col min="15875" max="15875" width="9.140625" style="52"/>
    <col min="15876" max="15876" width="40.28515625" style="52" bestFit="1" customWidth="1"/>
    <col min="15877" max="15877" width="12.85546875" style="52" customWidth="1"/>
    <col min="15878" max="15878" width="10" style="52" customWidth="1"/>
    <col min="15879" max="15879" width="19.42578125" style="52" customWidth="1"/>
    <col min="15880" max="15880" width="7.7109375" style="52" customWidth="1"/>
    <col min="15881" max="15881" width="12.28515625" style="52" customWidth="1"/>
    <col min="15882" max="15882" width="12.7109375" style="52" customWidth="1"/>
    <col min="15883" max="15883" width="13.5703125" style="52" customWidth="1"/>
    <col min="15884" max="15884" width="11.85546875" style="52" customWidth="1"/>
    <col min="15885" max="16129" width="9.140625" style="52"/>
    <col min="16130" max="16130" width="2.7109375" style="52" customWidth="1"/>
    <col min="16131" max="16131" width="9.140625" style="52"/>
    <col min="16132" max="16132" width="40.28515625" style="52" bestFit="1" customWidth="1"/>
    <col min="16133" max="16133" width="12.85546875" style="52" customWidth="1"/>
    <col min="16134" max="16134" width="10" style="52" customWidth="1"/>
    <col min="16135" max="16135" width="19.42578125" style="52" customWidth="1"/>
    <col min="16136" max="16136" width="7.7109375" style="52" customWidth="1"/>
    <col min="16137" max="16137" width="12.28515625" style="52" customWidth="1"/>
    <col min="16138" max="16138" width="12.7109375" style="52" customWidth="1"/>
    <col min="16139" max="16139" width="13.5703125" style="52" customWidth="1"/>
    <col min="16140" max="16140" width="11.85546875" style="52" customWidth="1"/>
    <col min="16141" max="16384" width="9.140625" style="52"/>
  </cols>
  <sheetData>
    <row r="1" spans="1:13" x14ac:dyDescent="0.2">
      <c r="G1" s="155"/>
      <c r="H1" s="154"/>
      <c r="I1" s="155"/>
      <c r="J1" s="155"/>
      <c r="K1" s="152" t="s">
        <v>301</v>
      </c>
      <c r="L1" s="61" t="str">
        <f>EBNUMBER</f>
        <v>EB-2016-0066</v>
      </c>
      <c r="M1" s="155"/>
    </row>
    <row r="2" spans="1:13" x14ac:dyDescent="0.2">
      <c r="G2" s="155"/>
      <c r="H2" s="154"/>
      <c r="I2" s="155"/>
      <c r="J2" s="155"/>
      <c r="K2" s="152" t="s">
        <v>302</v>
      </c>
      <c r="L2" s="51"/>
      <c r="M2" s="155"/>
    </row>
    <row r="3" spans="1:13" x14ac:dyDescent="0.2">
      <c r="G3" s="155"/>
      <c r="H3" s="154"/>
      <c r="I3" s="155"/>
      <c r="J3" s="155"/>
      <c r="K3" s="152" t="s">
        <v>303</v>
      </c>
      <c r="L3" s="51"/>
      <c r="M3" s="155"/>
    </row>
    <row r="4" spans="1:13" x14ac:dyDescent="0.2">
      <c r="G4" s="155"/>
      <c r="H4" s="154"/>
      <c r="I4" s="155"/>
      <c r="J4" s="155"/>
      <c r="K4" s="152" t="s">
        <v>304</v>
      </c>
      <c r="L4" s="51"/>
      <c r="M4" s="155"/>
    </row>
    <row r="5" spans="1:13" x14ac:dyDescent="0.2">
      <c r="G5" s="155"/>
      <c r="H5" s="154"/>
      <c r="I5" s="155"/>
      <c r="J5" s="155"/>
      <c r="K5" s="152" t="s">
        <v>305</v>
      </c>
      <c r="L5" s="1093"/>
      <c r="M5" s="155"/>
    </row>
    <row r="6" spans="1:13" x14ac:dyDescent="0.2">
      <c r="G6" s="155"/>
      <c r="H6" s="154"/>
      <c r="I6" s="155"/>
      <c r="J6" s="155"/>
      <c r="K6" s="152"/>
      <c r="L6" s="1092"/>
      <c r="M6" s="155"/>
    </row>
    <row r="7" spans="1:13" x14ac:dyDescent="0.2">
      <c r="G7" s="155"/>
      <c r="H7" s="154"/>
      <c r="I7" s="155"/>
      <c r="J7" s="239"/>
      <c r="K7" s="152" t="s">
        <v>306</v>
      </c>
      <c r="L7" s="1093"/>
      <c r="M7" s="239"/>
    </row>
    <row r="9" spans="1:13" ht="21" x14ac:dyDescent="0.25">
      <c r="A9" s="1591" t="s">
        <v>1072</v>
      </c>
      <c r="B9" s="1591"/>
      <c r="C9" s="1591"/>
      <c r="D9" s="1591"/>
      <c r="E9" s="1591"/>
      <c r="F9" s="1591"/>
      <c r="G9" s="1591"/>
      <c r="H9" s="1591"/>
      <c r="I9" s="1591"/>
      <c r="J9" s="1591"/>
      <c r="K9" s="1591"/>
      <c r="L9" s="1591"/>
    </row>
    <row r="10" spans="1:13" ht="18" x14ac:dyDescent="0.25">
      <c r="A10" s="1591" t="s">
        <v>2</v>
      </c>
      <c r="B10" s="1591"/>
      <c r="C10" s="1591"/>
      <c r="D10" s="1591"/>
      <c r="E10" s="1591"/>
      <c r="F10" s="1591"/>
      <c r="G10" s="1591"/>
      <c r="H10" s="1591"/>
      <c r="I10" s="1591"/>
      <c r="J10" s="1591"/>
      <c r="K10" s="1591"/>
      <c r="L10" s="1591"/>
    </row>
    <row r="11" spans="1:13" ht="22.5" customHeight="1" x14ac:dyDescent="0.25">
      <c r="A11" s="1591" t="s">
        <v>1071</v>
      </c>
      <c r="B11" s="1591"/>
      <c r="C11" s="1591"/>
      <c r="D11" s="1591"/>
      <c r="E11" s="1591"/>
      <c r="F11" s="1591"/>
      <c r="G11" s="1591"/>
      <c r="H11" s="1591"/>
      <c r="I11" s="1591"/>
      <c r="J11" s="1591"/>
      <c r="K11" s="1591"/>
      <c r="L11" s="1591"/>
      <c r="M11" s="1112"/>
    </row>
    <row r="12" spans="1:13" ht="22.5" customHeight="1" x14ac:dyDescent="0.25">
      <c r="A12" s="1112"/>
      <c r="B12" s="1112"/>
      <c r="C12" s="1112"/>
      <c r="D12" s="1112"/>
      <c r="E12" s="1112"/>
      <c r="F12" s="1112"/>
      <c r="G12" s="1112"/>
      <c r="H12" s="1112"/>
      <c r="I12" s="1112"/>
      <c r="J12" s="1112"/>
      <c r="K12" s="1112"/>
      <c r="L12" s="1112"/>
      <c r="M12" s="1112"/>
    </row>
    <row r="13" spans="1:13" x14ac:dyDescent="0.2">
      <c r="A13" s="204" t="s">
        <v>1070</v>
      </c>
      <c r="B13" s="295"/>
      <c r="C13" s="295"/>
      <c r="D13" s="295"/>
      <c r="E13" s="295"/>
      <c r="F13" s="295"/>
      <c r="G13" s="295"/>
      <c r="H13" s="295"/>
      <c r="I13" s="295"/>
      <c r="J13" s="295"/>
      <c r="K13" s="295"/>
      <c r="L13" s="295"/>
    </row>
    <row r="14" spans="1:13" ht="22.5" customHeight="1" x14ac:dyDescent="0.2">
      <c r="A14" s="204"/>
      <c r="B14" s="295"/>
      <c r="C14" s="295"/>
      <c r="D14" s="295"/>
      <c r="E14" s="295"/>
      <c r="F14" s="295"/>
      <c r="H14" s="295"/>
      <c r="I14" s="295"/>
      <c r="J14" s="295"/>
      <c r="K14" s="295"/>
      <c r="L14" s="295"/>
    </row>
    <row r="15" spans="1:13" ht="22.5" customHeight="1" x14ac:dyDescent="0.2">
      <c r="B15" s="1113"/>
      <c r="C15" s="1136"/>
      <c r="D15" s="1136" t="s">
        <v>882</v>
      </c>
      <c r="E15" s="48" t="s">
        <v>105</v>
      </c>
      <c r="F15" s="1113"/>
      <c r="G15" s="1138"/>
      <c r="H15" s="1113"/>
      <c r="I15" s="1113"/>
      <c r="J15" s="1113"/>
      <c r="K15" s="1113"/>
      <c r="L15" s="295"/>
    </row>
    <row r="16" spans="1:13" ht="13.5" customHeight="1" x14ac:dyDescent="0.25">
      <c r="A16" s="1046"/>
      <c r="B16" s="1046"/>
      <c r="C16" s="1136"/>
      <c r="D16" s="1136" t="s">
        <v>102</v>
      </c>
      <c r="E16" s="1137">
        <v>2013</v>
      </c>
      <c r="H16" s="1046"/>
      <c r="I16" s="1046"/>
      <c r="J16" s="1046"/>
    </row>
    <row r="17" spans="1:12" ht="15" customHeight="1" thickBot="1" x14ac:dyDescent="0.25"/>
    <row r="18" spans="1:12" ht="61.5" customHeight="1" x14ac:dyDescent="0.2">
      <c r="A18" s="1685" t="s">
        <v>3</v>
      </c>
      <c r="B18" s="1687" t="s">
        <v>235</v>
      </c>
      <c r="C18" s="245" t="s">
        <v>1043</v>
      </c>
      <c r="D18" s="245" t="s">
        <v>476</v>
      </c>
      <c r="E18" s="245" t="s">
        <v>477</v>
      </c>
      <c r="F18" s="245" t="s">
        <v>237</v>
      </c>
      <c r="G18" s="245" t="s">
        <v>1073</v>
      </c>
      <c r="H18" s="245" t="s">
        <v>6</v>
      </c>
      <c r="I18" s="245" t="s">
        <v>298</v>
      </c>
      <c r="J18" s="277" t="s">
        <v>1082</v>
      </c>
      <c r="K18" s="1697" t="s">
        <v>1062</v>
      </c>
      <c r="L18" s="277" t="s">
        <v>1074</v>
      </c>
    </row>
    <row r="19" spans="1:12" ht="25.5" customHeight="1" x14ac:dyDescent="0.2">
      <c r="A19" s="1686"/>
      <c r="B19" s="1688"/>
      <c r="C19" s="249" t="s">
        <v>4</v>
      </c>
      <c r="D19" s="249" t="s">
        <v>478</v>
      </c>
      <c r="E19" s="249" t="s">
        <v>479</v>
      </c>
      <c r="F19" s="249" t="s">
        <v>5</v>
      </c>
      <c r="G19" s="328" t="s">
        <v>997</v>
      </c>
      <c r="H19" s="249" t="s">
        <v>7</v>
      </c>
      <c r="I19" s="249" t="s">
        <v>8</v>
      </c>
      <c r="J19" s="329" t="s">
        <v>9</v>
      </c>
      <c r="K19" s="1711"/>
      <c r="L19" s="329" t="s">
        <v>382</v>
      </c>
    </row>
    <row r="20" spans="1:12" ht="25.5" x14ac:dyDescent="0.2">
      <c r="A20" s="1064">
        <v>1611</v>
      </c>
      <c r="B20" s="172" t="s">
        <v>381</v>
      </c>
      <c r="C20" s="173">
        <v>241021</v>
      </c>
      <c r="D20" s="173">
        <v>145574</v>
      </c>
      <c r="E20" s="191">
        <f>C20-D20</f>
        <v>95447</v>
      </c>
      <c r="F20" s="173">
        <v>2716</v>
      </c>
      <c r="G20" s="191">
        <f>E20+0.5*F20</f>
        <v>96805</v>
      </c>
      <c r="H20" s="250">
        <v>5</v>
      </c>
      <c r="I20" s="251">
        <f t="shared" ref="I20:I66" si="0">IF(H20=0,0,1/H20)</f>
        <v>0.2</v>
      </c>
      <c r="J20" s="191">
        <f t="shared" ref="J20:J66" si="1">IF(H20=0,0,G20/H20)</f>
        <v>19361</v>
      </c>
      <c r="K20" s="173">
        <v>19361</v>
      </c>
      <c r="L20" s="191">
        <f t="shared" ref="L20:L66" si="2">IF(ISERROR(+J20-K20), 0, +J20-K20)</f>
        <v>0</v>
      </c>
    </row>
    <row r="21" spans="1:12" x14ac:dyDescent="0.2">
      <c r="A21" s="1064">
        <v>1612</v>
      </c>
      <c r="B21" s="172" t="s">
        <v>442</v>
      </c>
      <c r="C21" s="173">
        <v>2945</v>
      </c>
      <c r="D21" s="173">
        <v>2945</v>
      </c>
      <c r="E21" s="191">
        <f t="shared" ref="E21:E66" si="3">C21-D21</f>
        <v>0</v>
      </c>
      <c r="F21" s="173"/>
      <c r="G21" s="191">
        <f t="shared" ref="G21:G66" si="4">E21+0.5*F21</f>
        <v>0</v>
      </c>
      <c r="H21" s="250">
        <v>5</v>
      </c>
      <c r="I21" s="252">
        <f t="shared" si="0"/>
        <v>0.2</v>
      </c>
      <c r="J21" s="191">
        <f t="shared" si="1"/>
        <v>0</v>
      </c>
      <c r="K21" s="173"/>
      <c r="L21" s="191">
        <f t="shared" si="2"/>
        <v>0</v>
      </c>
    </row>
    <row r="22" spans="1:12" x14ac:dyDescent="0.2">
      <c r="A22" s="253">
        <v>1805</v>
      </c>
      <c r="B22" s="179" t="s">
        <v>267</v>
      </c>
      <c r="C22" s="173">
        <v>2112</v>
      </c>
      <c r="D22" s="173">
        <v>0</v>
      </c>
      <c r="E22" s="191">
        <f t="shared" si="3"/>
        <v>2112</v>
      </c>
      <c r="F22" s="173"/>
      <c r="G22" s="191">
        <f t="shared" si="4"/>
        <v>2112</v>
      </c>
      <c r="H22" s="250"/>
      <c r="I22" s="252">
        <f t="shared" si="0"/>
        <v>0</v>
      </c>
      <c r="J22" s="191">
        <f t="shared" si="1"/>
        <v>0</v>
      </c>
      <c r="K22" s="173"/>
      <c r="L22" s="191">
        <f t="shared" si="2"/>
        <v>0</v>
      </c>
    </row>
    <row r="23" spans="1:12" x14ac:dyDescent="0.2">
      <c r="A23" s="1064">
        <v>1808</v>
      </c>
      <c r="B23" s="180" t="s">
        <v>268</v>
      </c>
      <c r="C23" s="173"/>
      <c r="D23" s="173"/>
      <c r="E23" s="191">
        <f t="shared" si="3"/>
        <v>0</v>
      </c>
      <c r="F23" s="173"/>
      <c r="G23" s="191">
        <f t="shared" si="4"/>
        <v>0</v>
      </c>
      <c r="H23" s="250"/>
      <c r="I23" s="252">
        <f t="shared" si="0"/>
        <v>0</v>
      </c>
      <c r="J23" s="191">
        <f t="shared" si="1"/>
        <v>0</v>
      </c>
      <c r="K23" s="173"/>
      <c r="L23" s="191">
        <f t="shared" si="2"/>
        <v>0</v>
      </c>
    </row>
    <row r="24" spans="1:12" x14ac:dyDescent="0.2">
      <c r="A24" s="1064">
        <v>1810</v>
      </c>
      <c r="B24" s="180" t="s">
        <v>299</v>
      </c>
      <c r="C24" s="173"/>
      <c r="D24" s="173"/>
      <c r="E24" s="191">
        <f t="shared" si="3"/>
        <v>0</v>
      </c>
      <c r="F24" s="173"/>
      <c r="G24" s="191">
        <f t="shared" si="4"/>
        <v>0</v>
      </c>
      <c r="H24" s="250"/>
      <c r="I24" s="252">
        <f t="shared" si="0"/>
        <v>0</v>
      </c>
      <c r="J24" s="191">
        <f t="shared" si="1"/>
        <v>0</v>
      </c>
      <c r="K24" s="173"/>
      <c r="L24" s="191">
        <f t="shared" si="2"/>
        <v>0</v>
      </c>
    </row>
    <row r="25" spans="1:12" x14ac:dyDescent="0.2">
      <c r="A25" s="1064">
        <v>1815</v>
      </c>
      <c r="B25" s="180" t="s">
        <v>269</v>
      </c>
      <c r="C25" s="173"/>
      <c r="D25" s="173"/>
      <c r="E25" s="191">
        <f t="shared" si="3"/>
        <v>0</v>
      </c>
      <c r="F25" s="173"/>
      <c r="G25" s="191">
        <f t="shared" si="4"/>
        <v>0</v>
      </c>
      <c r="H25" s="250"/>
      <c r="I25" s="252">
        <f t="shared" si="0"/>
        <v>0</v>
      </c>
      <c r="J25" s="191">
        <f t="shared" si="1"/>
        <v>0</v>
      </c>
      <c r="K25" s="173"/>
      <c r="L25" s="191">
        <f t="shared" si="2"/>
        <v>0</v>
      </c>
    </row>
    <row r="26" spans="1:12" x14ac:dyDescent="0.2">
      <c r="A26" s="1064">
        <v>1820</v>
      </c>
      <c r="B26" s="172" t="s">
        <v>207</v>
      </c>
      <c r="C26" s="173">
        <v>142098</v>
      </c>
      <c r="D26" s="173">
        <v>140238</v>
      </c>
      <c r="E26" s="191">
        <f t="shared" si="3"/>
        <v>1860</v>
      </c>
      <c r="F26" s="173"/>
      <c r="G26" s="191">
        <f t="shared" si="4"/>
        <v>1860</v>
      </c>
      <c r="H26" s="250">
        <v>30</v>
      </c>
      <c r="I26" s="252">
        <f t="shared" si="0"/>
        <v>3.3333333333333333E-2</v>
      </c>
      <c r="J26" s="191">
        <f t="shared" si="1"/>
        <v>62</v>
      </c>
      <c r="K26" s="173">
        <v>62</v>
      </c>
      <c r="L26" s="191">
        <f t="shared" si="2"/>
        <v>0</v>
      </c>
    </row>
    <row r="27" spans="1:12" x14ac:dyDescent="0.2">
      <c r="A27" s="1064">
        <v>1825</v>
      </c>
      <c r="B27" s="180" t="s">
        <v>270</v>
      </c>
      <c r="C27" s="173"/>
      <c r="D27" s="173"/>
      <c r="E27" s="191">
        <f t="shared" si="3"/>
        <v>0</v>
      </c>
      <c r="F27" s="173"/>
      <c r="G27" s="191">
        <f t="shared" si="4"/>
        <v>0</v>
      </c>
      <c r="H27" s="250"/>
      <c r="I27" s="252">
        <f t="shared" si="0"/>
        <v>0</v>
      </c>
      <c r="J27" s="191">
        <f t="shared" si="1"/>
        <v>0</v>
      </c>
      <c r="K27" s="173"/>
      <c r="L27" s="191">
        <f t="shared" si="2"/>
        <v>0</v>
      </c>
    </row>
    <row r="28" spans="1:12" x14ac:dyDescent="0.2">
      <c r="A28" s="1064">
        <v>1830</v>
      </c>
      <c r="B28" s="180" t="s">
        <v>271</v>
      </c>
      <c r="C28" s="173">
        <v>912587</v>
      </c>
      <c r="D28" s="173">
        <v>116739.49999999991</v>
      </c>
      <c r="E28" s="191">
        <f t="shared" si="3"/>
        <v>795847.50000000012</v>
      </c>
      <c r="F28" s="173">
        <v>88785</v>
      </c>
      <c r="G28" s="191">
        <f t="shared" si="4"/>
        <v>840240.00000000012</v>
      </c>
      <c r="H28" s="250">
        <v>45</v>
      </c>
      <c r="I28" s="252">
        <f t="shared" si="0"/>
        <v>2.2222222222222223E-2</v>
      </c>
      <c r="J28" s="191">
        <f t="shared" si="1"/>
        <v>18672.000000000004</v>
      </c>
      <c r="K28" s="173">
        <v>18672</v>
      </c>
      <c r="L28" s="191">
        <f t="shared" si="2"/>
        <v>3.637978807091713E-12</v>
      </c>
    </row>
    <row r="29" spans="1:12" x14ac:dyDescent="0.2">
      <c r="A29" s="1064">
        <v>1835</v>
      </c>
      <c r="B29" s="180" t="s">
        <v>208</v>
      </c>
      <c r="C29" s="173">
        <v>6381164</v>
      </c>
      <c r="D29" s="173">
        <v>4236767.0000000009</v>
      </c>
      <c r="E29" s="191">
        <f t="shared" si="3"/>
        <v>2144396.9999999991</v>
      </c>
      <c r="F29" s="173">
        <v>76806</v>
      </c>
      <c r="G29" s="191">
        <f t="shared" si="4"/>
        <v>2182799.9999999991</v>
      </c>
      <c r="H29" s="250">
        <v>60</v>
      </c>
      <c r="I29" s="252">
        <f t="shared" si="0"/>
        <v>1.6666666666666666E-2</v>
      </c>
      <c r="J29" s="191">
        <f t="shared" si="1"/>
        <v>36379.999999999985</v>
      </c>
      <c r="K29" s="173">
        <v>36380</v>
      </c>
      <c r="L29" s="191">
        <f t="shared" si="2"/>
        <v>-1.4551915228366852E-11</v>
      </c>
    </row>
    <row r="30" spans="1:12" x14ac:dyDescent="0.2">
      <c r="A30" s="1064">
        <v>1840</v>
      </c>
      <c r="B30" s="180" t="s">
        <v>209</v>
      </c>
      <c r="C30" s="173">
        <v>1375872</v>
      </c>
      <c r="D30" s="173">
        <v>159320.00000000017</v>
      </c>
      <c r="E30" s="191">
        <f t="shared" si="3"/>
        <v>1216551.9999999998</v>
      </c>
      <c r="F30" s="173">
        <v>425196</v>
      </c>
      <c r="G30" s="191">
        <f t="shared" si="4"/>
        <v>1429149.9999999998</v>
      </c>
      <c r="H30" s="250">
        <v>50</v>
      </c>
      <c r="I30" s="252">
        <f t="shared" si="0"/>
        <v>0.02</v>
      </c>
      <c r="J30" s="191">
        <f t="shared" si="1"/>
        <v>28582.999999999996</v>
      </c>
      <c r="K30" s="173">
        <v>28583</v>
      </c>
      <c r="L30" s="191">
        <f t="shared" si="2"/>
        <v>-3.637978807091713E-12</v>
      </c>
    </row>
    <row r="31" spans="1:12" x14ac:dyDescent="0.2">
      <c r="A31" s="1064">
        <v>1845</v>
      </c>
      <c r="B31" s="180" t="s">
        <v>210</v>
      </c>
      <c r="C31" s="173">
        <v>7476397</v>
      </c>
      <c r="D31" s="173">
        <v>4022978.9999999995</v>
      </c>
      <c r="E31" s="191">
        <f t="shared" si="3"/>
        <v>3453418.0000000005</v>
      </c>
      <c r="F31" s="173">
        <v>440764</v>
      </c>
      <c r="G31" s="191">
        <f t="shared" si="4"/>
        <v>3673800.0000000005</v>
      </c>
      <c r="H31" s="250">
        <v>40</v>
      </c>
      <c r="I31" s="252">
        <f t="shared" si="0"/>
        <v>2.5000000000000001E-2</v>
      </c>
      <c r="J31" s="191">
        <f t="shared" si="1"/>
        <v>91845.000000000015</v>
      </c>
      <c r="K31" s="173">
        <v>91845</v>
      </c>
      <c r="L31" s="191">
        <f t="shared" si="2"/>
        <v>1.4551915228366852E-11</v>
      </c>
    </row>
    <row r="32" spans="1:12" x14ac:dyDescent="0.2">
      <c r="A32" s="1064">
        <v>1850</v>
      </c>
      <c r="B32" s="180" t="s">
        <v>272</v>
      </c>
      <c r="C32" s="173">
        <v>5727767</v>
      </c>
      <c r="D32" s="173">
        <v>2962439</v>
      </c>
      <c r="E32" s="191">
        <f t="shared" si="3"/>
        <v>2765328</v>
      </c>
      <c r="F32" s="173">
        <v>237824</v>
      </c>
      <c r="G32" s="191">
        <f t="shared" si="4"/>
        <v>2884240</v>
      </c>
      <c r="H32" s="250">
        <v>40</v>
      </c>
      <c r="I32" s="252">
        <f t="shared" si="0"/>
        <v>2.5000000000000001E-2</v>
      </c>
      <c r="J32" s="191">
        <f t="shared" si="1"/>
        <v>72106</v>
      </c>
      <c r="K32" s="173">
        <v>72106</v>
      </c>
      <c r="L32" s="191">
        <f t="shared" si="2"/>
        <v>0</v>
      </c>
    </row>
    <row r="33" spans="1:12" x14ac:dyDescent="0.2">
      <c r="A33" s="1478">
        <v>1851</v>
      </c>
      <c r="B33" s="180" t="s">
        <v>1416</v>
      </c>
      <c r="C33" s="173"/>
      <c r="D33" s="173"/>
      <c r="E33" s="191">
        <f t="shared" si="3"/>
        <v>0</v>
      </c>
      <c r="F33" s="173"/>
      <c r="G33" s="191">
        <f t="shared" si="4"/>
        <v>0</v>
      </c>
      <c r="H33" s="250">
        <v>20</v>
      </c>
      <c r="I33" s="252">
        <f t="shared" si="0"/>
        <v>0.05</v>
      </c>
      <c r="J33" s="191">
        <f t="shared" si="1"/>
        <v>0</v>
      </c>
      <c r="K33" s="173"/>
      <c r="L33" s="191">
        <f t="shared" si="2"/>
        <v>0</v>
      </c>
    </row>
    <row r="34" spans="1:12" ht="25.5" x14ac:dyDescent="0.2">
      <c r="A34" s="1478">
        <v>1852</v>
      </c>
      <c r="B34" s="180" t="s">
        <v>1422</v>
      </c>
      <c r="C34" s="173">
        <v>0</v>
      </c>
      <c r="D34" s="173">
        <v>0</v>
      </c>
      <c r="E34" s="191">
        <f t="shared" si="3"/>
        <v>0</v>
      </c>
      <c r="F34" s="173">
        <v>22746</v>
      </c>
      <c r="G34" s="191">
        <f t="shared" si="4"/>
        <v>11373</v>
      </c>
      <c r="H34" s="250">
        <v>60</v>
      </c>
      <c r="I34" s="252">
        <f t="shared" si="0"/>
        <v>1.6666666666666666E-2</v>
      </c>
      <c r="J34" s="191">
        <f t="shared" si="1"/>
        <v>189.55</v>
      </c>
      <c r="K34" s="173">
        <v>190</v>
      </c>
      <c r="L34" s="191">
        <f t="shared" si="2"/>
        <v>-0.44999999999998863</v>
      </c>
    </row>
    <row r="35" spans="1:12" x14ac:dyDescent="0.2">
      <c r="A35" s="1064">
        <v>1855</v>
      </c>
      <c r="B35" s="180" t="s">
        <v>211</v>
      </c>
      <c r="C35" s="173">
        <v>772791</v>
      </c>
      <c r="D35" s="173">
        <v>-238.99999999987631</v>
      </c>
      <c r="E35" s="191">
        <f t="shared" si="3"/>
        <v>773029.99999999988</v>
      </c>
      <c r="F35" s="173">
        <v>99790</v>
      </c>
      <c r="G35" s="191">
        <f t="shared" si="4"/>
        <v>822924.99999999988</v>
      </c>
      <c r="H35" s="250">
        <v>25</v>
      </c>
      <c r="I35" s="252">
        <f t="shared" si="0"/>
        <v>0.04</v>
      </c>
      <c r="J35" s="191">
        <f t="shared" si="1"/>
        <v>32916.999999999993</v>
      </c>
      <c r="K35" s="173">
        <v>32917</v>
      </c>
      <c r="L35" s="191">
        <f t="shared" si="2"/>
        <v>-7.2759576141834259E-12</v>
      </c>
    </row>
    <row r="36" spans="1:12" x14ac:dyDescent="0.2">
      <c r="A36" s="1064">
        <v>1860</v>
      </c>
      <c r="B36" s="180" t="s">
        <v>273</v>
      </c>
      <c r="C36" s="173">
        <v>516664</v>
      </c>
      <c r="D36" s="173">
        <v>83233</v>
      </c>
      <c r="E36" s="191">
        <f t="shared" si="3"/>
        <v>433431</v>
      </c>
      <c r="F36" s="173">
        <v>-516664</v>
      </c>
      <c r="G36" s="191">
        <f t="shared" si="4"/>
        <v>175099</v>
      </c>
      <c r="H36" s="250"/>
      <c r="I36" s="252">
        <f t="shared" si="0"/>
        <v>0</v>
      </c>
      <c r="J36" s="191">
        <f t="shared" si="1"/>
        <v>0</v>
      </c>
      <c r="K36" s="173">
        <v>-83233</v>
      </c>
      <c r="L36" s="191">
        <f t="shared" si="2"/>
        <v>83233</v>
      </c>
    </row>
    <row r="37" spans="1:12" ht="25.5" x14ac:dyDescent="0.2">
      <c r="A37" s="1478">
        <v>1861</v>
      </c>
      <c r="B37" s="180" t="s">
        <v>1423</v>
      </c>
      <c r="C37" s="173">
        <v>912143</v>
      </c>
      <c r="D37" s="173">
        <v>-359009.49999999977</v>
      </c>
      <c r="E37" s="191">
        <f t="shared" si="3"/>
        <v>1271152.4999999998</v>
      </c>
      <c r="F37" s="173">
        <v>24695</v>
      </c>
      <c r="G37" s="191">
        <f t="shared" si="4"/>
        <v>1283499.9999999998</v>
      </c>
      <c r="H37" s="250">
        <v>10</v>
      </c>
      <c r="I37" s="252">
        <f t="shared" si="0"/>
        <v>0.1</v>
      </c>
      <c r="J37" s="191">
        <f t="shared" si="1"/>
        <v>128349.99999999997</v>
      </c>
      <c r="K37" s="173">
        <v>128350</v>
      </c>
      <c r="L37" s="191">
        <f t="shared" si="2"/>
        <v>-2.9103830456733704E-11</v>
      </c>
    </row>
    <row r="38" spans="1:12" x14ac:dyDescent="0.2">
      <c r="A38" s="1478">
        <v>1862</v>
      </c>
      <c r="B38" s="180" t="s">
        <v>1397</v>
      </c>
      <c r="C38" s="173">
        <v>316116</v>
      </c>
      <c r="D38" s="173">
        <v>-189494.50000000009</v>
      </c>
      <c r="E38" s="191">
        <f t="shared" si="3"/>
        <v>505610.50000000012</v>
      </c>
      <c r="F38" s="173">
        <v>7039</v>
      </c>
      <c r="G38" s="191">
        <f t="shared" si="4"/>
        <v>509130.00000000012</v>
      </c>
      <c r="H38" s="250">
        <v>15</v>
      </c>
      <c r="I38" s="252">
        <f t="shared" si="0"/>
        <v>6.6666666666666666E-2</v>
      </c>
      <c r="J38" s="191">
        <f t="shared" si="1"/>
        <v>33942.000000000007</v>
      </c>
      <c r="K38" s="173">
        <v>33942</v>
      </c>
      <c r="L38" s="191">
        <f t="shared" si="2"/>
        <v>7.2759576141834259E-12</v>
      </c>
    </row>
    <row r="39" spans="1:12" x14ac:dyDescent="0.2">
      <c r="A39" s="1478">
        <v>1863</v>
      </c>
      <c r="B39" s="180" t="s">
        <v>1398</v>
      </c>
      <c r="C39" s="173"/>
      <c r="D39" s="173">
        <v>0</v>
      </c>
      <c r="E39" s="191">
        <f t="shared" si="3"/>
        <v>0</v>
      </c>
      <c r="F39" s="173"/>
      <c r="G39" s="191">
        <f t="shared" si="4"/>
        <v>0</v>
      </c>
      <c r="H39" s="250">
        <v>15</v>
      </c>
      <c r="I39" s="252">
        <f t="shared" si="0"/>
        <v>6.6666666666666666E-2</v>
      </c>
      <c r="J39" s="191">
        <f t="shared" si="1"/>
        <v>0</v>
      </c>
      <c r="K39" s="173"/>
      <c r="L39" s="191">
        <f t="shared" si="2"/>
        <v>0</v>
      </c>
    </row>
    <row r="40" spans="1:12" x14ac:dyDescent="0.2">
      <c r="A40" s="1478">
        <v>1864</v>
      </c>
      <c r="B40" s="180" t="s">
        <v>1424</v>
      </c>
      <c r="C40" s="173">
        <v>108572</v>
      </c>
      <c r="D40" s="173">
        <v>-17237.000000000007</v>
      </c>
      <c r="E40" s="191">
        <f t="shared" si="3"/>
        <v>125809</v>
      </c>
      <c r="F40" s="173">
        <v>2462</v>
      </c>
      <c r="G40" s="191">
        <f t="shared" si="4"/>
        <v>127040</v>
      </c>
      <c r="H40" s="250">
        <v>40</v>
      </c>
      <c r="I40" s="252">
        <f t="shared" si="0"/>
        <v>2.5000000000000001E-2</v>
      </c>
      <c r="J40" s="191">
        <f t="shared" si="1"/>
        <v>3176</v>
      </c>
      <c r="K40" s="173">
        <v>3176</v>
      </c>
      <c r="L40" s="191">
        <f t="shared" si="2"/>
        <v>0</v>
      </c>
    </row>
    <row r="41" spans="1:12" x14ac:dyDescent="0.2">
      <c r="A41" s="253">
        <v>1860</v>
      </c>
      <c r="B41" s="179" t="s">
        <v>212</v>
      </c>
      <c r="C41" s="173"/>
      <c r="D41" s="173"/>
      <c r="E41" s="191">
        <f t="shared" si="3"/>
        <v>0</v>
      </c>
      <c r="F41" s="173"/>
      <c r="G41" s="191">
        <f t="shared" si="4"/>
        <v>0</v>
      </c>
      <c r="H41" s="250"/>
      <c r="I41" s="252">
        <f t="shared" si="0"/>
        <v>0</v>
      </c>
      <c r="J41" s="191">
        <f t="shared" si="1"/>
        <v>0</v>
      </c>
      <c r="K41" s="173"/>
      <c r="L41" s="191">
        <f t="shared" si="2"/>
        <v>0</v>
      </c>
    </row>
    <row r="42" spans="1:12" x14ac:dyDescent="0.2">
      <c r="A42" s="253">
        <v>1905</v>
      </c>
      <c r="B42" s="179" t="s">
        <v>267</v>
      </c>
      <c r="C42" s="173">
        <v>171765</v>
      </c>
      <c r="D42" s="173">
        <v>0</v>
      </c>
      <c r="E42" s="191">
        <f t="shared" si="3"/>
        <v>171765</v>
      </c>
      <c r="F42" s="173"/>
      <c r="G42" s="191">
        <f t="shared" si="4"/>
        <v>171765</v>
      </c>
      <c r="H42" s="250"/>
      <c r="I42" s="252">
        <f t="shared" si="0"/>
        <v>0</v>
      </c>
      <c r="J42" s="191">
        <f t="shared" si="1"/>
        <v>0</v>
      </c>
      <c r="K42" s="173"/>
      <c r="L42" s="191">
        <f t="shared" si="2"/>
        <v>0</v>
      </c>
    </row>
    <row r="43" spans="1:12" x14ac:dyDescent="0.2">
      <c r="A43" s="1064">
        <v>1908</v>
      </c>
      <c r="B43" s="180" t="s">
        <v>275</v>
      </c>
      <c r="C43" s="173">
        <v>664871</v>
      </c>
      <c r="D43" s="173">
        <v>-59629</v>
      </c>
      <c r="E43" s="191">
        <f t="shared" si="3"/>
        <v>724500</v>
      </c>
      <c r="F43" s="173"/>
      <c r="G43" s="191">
        <f t="shared" si="4"/>
        <v>724500</v>
      </c>
      <c r="H43" s="250">
        <v>50</v>
      </c>
      <c r="I43" s="252">
        <f t="shared" si="0"/>
        <v>0.02</v>
      </c>
      <c r="J43" s="191">
        <f t="shared" si="1"/>
        <v>14490</v>
      </c>
      <c r="K43" s="173">
        <v>14490</v>
      </c>
      <c r="L43" s="191">
        <f t="shared" si="2"/>
        <v>0</v>
      </c>
    </row>
    <row r="44" spans="1:12" x14ac:dyDescent="0.2">
      <c r="A44" s="1064">
        <v>1910</v>
      </c>
      <c r="B44" s="180" t="s">
        <v>299</v>
      </c>
      <c r="C44" s="173"/>
      <c r="D44" s="173"/>
      <c r="E44" s="191">
        <f t="shared" si="3"/>
        <v>0</v>
      </c>
      <c r="F44" s="173"/>
      <c r="G44" s="191">
        <f t="shared" si="4"/>
        <v>0</v>
      </c>
      <c r="H44" s="250"/>
      <c r="I44" s="252">
        <f t="shared" si="0"/>
        <v>0</v>
      </c>
      <c r="J44" s="191">
        <f t="shared" si="1"/>
        <v>0</v>
      </c>
      <c r="K44" s="173"/>
      <c r="L44" s="191">
        <f t="shared" si="2"/>
        <v>0</v>
      </c>
    </row>
    <row r="45" spans="1:12" x14ac:dyDescent="0.2">
      <c r="A45" s="1064">
        <v>1915</v>
      </c>
      <c r="B45" s="180" t="s">
        <v>213</v>
      </c>
      <c r="C45" s="173">
        <v>242954</v>
      </c>
      <c r="D45" s="173">
        <v>175335.5</v>
      </c>
      <c r="E45" s="191">
        <f t="shared" si="3"/>
        <v>67618.5</v>
      </c>
      <c r="F45" s="173">
        <v>2223</v>
      </c>
      <c r="G45" s="191">
        <f t="shared" si="4"/>
        <v>68730</v>
      </c>
      <c r="H45" s="250">
        <v>10</v>
      </c>
      <c r="I45" s="252">
        <f t="shared" si="0"/>
        <v>0.1</v>
      </c>
      <c r="J45" s="191">
        <f t="shared" si="1"/>
        <v>6873</v>
      </c>
      <c r="K45" s="173">
        <v>6873</v>
      </c>
      <c r="L45" s="191">
        <f t="shared" si="2"/>
        <v>0</v>
      </c>
    </row>
    <row r="46" spans="1:12" x14ac:dyDescent="0.2">
      <c r="A46" s="1064">
        <v>1915</v>
      </c>
      <c r="B46" s="180" t="s">
        <v>214</v>
      </c>
      <c r="C46" s="173"/>
      <c r="D46" s="173"/>
      <c r="E46" s="191">
        <f t="shared" si="3"/>
        <v>0</v>
      </c>
      <c r="F46" s="173"/>
      <c r="G46" s="191">
        <f t="shared" si="4"/>
        <v>0</v>
      </c>
      <c r="H46" s="250"/>
      <c r="I46" s="252">
        <f t="shared" si="0"/>
        <v>0</v>
      </c>
      <c r="J46" s="191">
        <f t="shared" si="1"/>
        <v>0</v>
      </c>
      <c r="K46" s="173"/>
      <c r="L46" s="191">
        <f t="shared" si="2"/>
        <v>0</v>
      </c>
    </row>
    <row r="47" spans="1:12" x14ac:dyDescent="0.2">
      <c r="A47" s="1064">
        <v>1920</v>
      </c>
      <c r="B47" s="180" t="s">
        <v>215</v>
      </c>
      <c r="C47" s="173">
        <v>365612</v>
      </c>
      <c r="D47" s="173">
        <v>337509.5</v>
      </c>
      <c r="E47" s="191">
        <f t="shared" si="3"/>
        <v>28102.5</v>
      </c>
      <c r="F47" s="173">
        <v>2165</v>
      </c>
      <c r="G47" s="191">
        <f t="shared" si="4"/>
        <v>29185</v>
      </c>
      <c r="H47" s="250">
        <v>5</v>
      </c>
      <c r="I47" s="252">
        <f t="shared" si="0"/>
        <v>0.2</v>
      </c>
      <c r="J47" s="191">
        <f t="shared" si="1"/>
        <v>5837</v>
      </c>
      <c r="K47" s="173">
        <v>5837</v>
      </c>
      <c r="L47" s="191">
        <f t="shared" si="2"/>
        <v>0</v>
      </c>
    </row>
    <row r="48" spans="1:12" x14ac:dyDescent="0.2">
      <c r="A48" s="254">
        <v>1920</v>
      </c>
      <c r="B48" s="172" t="s">
        <v>217</v>
      </c>
      <c r="C48" s="173"/>
      <c r="D48" s="173"/>
      <c r="E48" s="191">
        <f t="shared" si="3"/>
        <v>0</v>
      </c>
      <c r="F48" s="173"/>
      <c r="G48" s="191">
        <f t="shared" si="4"/>
        <v>0</v>
      </c>
      <c r="H48" s="250"/>
      <c r="I48" s="252">
        <f t="shared" si="0"/>
        <v>0</v>
      </c>
      <c r="J48" s="191">
        <f t="shared" si="1"/>
        <v>0</v>
      </c>
      <c r="K48" s="173"/>
      <c r="L48" s="191">
        <f t="shared" si="2"/>
        <v>0</v>
      </c>
    </row>
    <row r="49" spans="1:12" x14ac:dyDescent="0.2">
      <c r="A49" s="254">
        <v>1920</v>
      </c>
      <c r="B49" s="172" t="s">
        <v>216</v>
      </c>
      <c r="C49" s="173"/>
      <c r="D49" s="173"/>
      <c r="E49" s="191">
        <f t="shared" si="3"/>
        <v>0</v>
      </c>
      <c r="F49" s="173"/>
      <c r="G49" s="191">
        <f t="shared" si="4"/>
        <v>0</v>
      </c>
      <c r="H49" s="250"/>
      <c r="I49" s="252">
        <f t="shared" si="0"/>
        <v>0</v>
      </c>
      <c r="J49" s="191">
        <f t="shared" si="1"/>
        <v>0</v>
      </c>
      <c r="K49" s="173"/>
      <c r="L49" s="191">
        <f t="shared" si="2"/>
        <v>0</v>
      </c>
    </row>
    <row r="50" spans="1:12" x14ac:dyDescent="0.2">
      <c r="A50" s="1064">
        <v>1930</v>
      </c>
      <c r="B50" s="180" t="s">
        <v>286</v>
      </c>
      <c r="C50" s="173">
        <v>1886565</v>
      </c>
      <c r="D50" s="173">
        <v>14106330.5</v>
      </c>
      <c r="E50" s="191">
        <f t="shared" si="3"/>
        <v>-12219765.5</v>
      </c>
      <c r="F50" s="173">
        <v>-1886565</v>
      </c>
      <c r="G50" s="191">
        <f t="shared" si="4"/>
        <v>-13163048</v>
      </c>
      <c r="H50" s="250">
        <v>8</v>
      </c>
      <c r="I50" s="252">
        <f t="shared" si="0"/>
        <v>0.125</v>
      </c>
      <c r="J50" s="191">
        <f t="shared" si="1"/>
        <v>-1645381</v>
      </c>
      <c r="K50" s="173">
        <v>-1645381</v>
      </c>
      <c r="L50" s="191">
        <f t="shared" si="2"/>
        <v>0</v>
      </c>
    </row>
    <row r="51" spans="1:12" x14ac:dyDescent="0.2">
      <c r="A51" s="1478">
        <v>1931</v>
      </c>
      <c r="B51" s="180" t="s">
        <v>1425</v>
      </c>
      <c r="C51" s="173">
        <v>94305</v>
      </c>
      <c r="D51" s="173">
        <v>-62865</v>
      </c>
      <c r="E51" s="191">
        <f t="shared" si="3"/>
        <v>157170</v>
      </c>
      <c r="F51" s="173"/>
      <c r="G51" s="191">
        <f t="shared" si="4"/>
        <v>157170</v>
      </c>
      <c r="H51" s="250">
        <v>15</v>
      </c>
      <c r="I51" s="252">
        <f t="shared" si="0"/>
        <v>6.6666666666666666E-2</v>
      </c>
      <c r="J51" s="191">
        <f t="shared" si="1"/>
        <v>10478</v>
      </c>
      <c r="K51" s="173">
        <v>10478</v>
      </c>
      <c r="L51" s="191">
        <f t="shared" si="2"/>
        <v>0</v>
      </c>
    </row>
    <row r="52" spans="1:12" x14ac:dyDescent="0.2">
      <c r="A52" s="1478">
        <v>1932</v>
      </c>
      <c r="B52" s="180" t="s">
        <v>1426</v>
      </c>
      <c r="C52" s="173">
        <v>146879</v>
      </c>
      <c r="D52" s="173">
        <v>-291435</v>
      </c>
      <c r="E52" s="191">
        <f t="shared" si="3"/>
        <v>438314</v>
      </c>
      <c r="F52" s="173">
        <f>30000-4500</f>
        <v>25500</v>
      </c>
      <c r="G52" s="191">
        <f t="shared" si="4"/>
        <v>451064</v>
      </c>
      <c r="H52" s="250">
        <v>8</v>
      </c>
      <c r="I52" s="252">
        <f t="shared" si="0"/>
        <v>0.125</v>
      </c>
      <c r="J52" s="191">
        <f t="shared" si="1"/>
        <v>56383</v>
      </c>
      <c r="K52" s="173">
        <v>56383</v>
      </c>
      <c r="L52" s="191">
        <f t="shared" si="2"/>
        <v>0</v>
      </c>
    </row>
    <row r="53" spans="1:12" x14ac:dyDescent="0.2">
      <c r="A53" s="1478">
        <v>1933</v>
      </c>
      <c r="B53" s="180" t="s">
        <v>1403</v>
      </c>
      <c r="C53" s="173"/>
      <c r="D53" s="173"/>
      <c r="E53" s="191">
        <f t="shared" si="3"/>
        <v>0</v>
      </c>
      <c r="F53" s="173"/>
      <c r="G53" s="191">
        <f t="shared" si="4"/>
        <v>0</v>
      </c>
      <c r="H53" s="250">
        <v>10</v>
      </c>
      <c r="I53" s="252">
        <f t="shared" si="0"/>
        <v>0.1</v>
      </c>
      <c r="J53" s="191">
        <f t="shared" si="1"/>
        <v>0</v>
      </c>
      <c r="K53" s="173"/>
      <c r="L53" s="191">
        <f t="shared" si="2"/>
        <v>0</v>
      </c>
    </row>
    <row r="54" spans="1:12" x14ac:dyDescent="0.2">
      <c r="A54" s="1064">
        <v>1935</v>
      </c>
      <c r="B54" s="180" t="s">
        <v>287</v>
      </c>
      <c r="C54" s="173"/>
      <c r="D54" s="173"/>
      <c r="E54" s="191">
        <f t="shared" si="3"/>
        <v>0</v>
      </c>
      <c r="F54" s="173"/>
      <c r="G54" s="191">
        <f t="shared" si="4"/>
        <v>0</v>
      </c>
      <c r="H54" s="250"/>
      <c r="I54" s="252">
        <f t="shared" si="0"/>
        <v>0</v>
      </c>
      <c r="J54" s="191">
        <f t="shared" si="1"/>
        <v>0</v>
      </c>
      <c r="K54" s="173"/>
      <c r="L54" s="191">
        <f t="shared" si="2"/>
        <v>0</v>
      </c>
    </row>
    <row r="55" spans="1:12" x14ac:dyDescent="0.2">
      <c r="A55" s="1064">
        <v>1940</v>
      </c>
      <c r="B55" s="180" t="s">
        <v>288</v>
      </c>
      <c r="C55" s="173">
        <v>365513</v>
      </c>
      <c r="D55" s="173">
        <v>239603</v>
      </c>
      <c r="E55" s="191">
        <f t="shared" si="3"/>
        <v>125910</v>
      </c>
      <c r="F55" s="173">
        <v>15400</v>
      </c>
      <c r="G55" s="191">
        <f t="shared" si="4"/>
        <v>133610</v>
      </c>
      <c r="H55" s="250">
        <v>10</v>
      </c>
      <c r="I55" s="252">
        <f t="shared" si="0"/>
        <v>0.1</v>
      </c>
      <c r="J55" s="191">
        <f t="shared" si="1"/>
        <v>13361</v>
      </c>
      <c r="K55" s="173">
        <v>13361</v>
      </c>
      <c r="L55" s="191">
        <f t="shared" si="2"/>
        <v>0</v>
      </c>
    </row>
    <row r="56" spans="1:12" x14ac:dyDescent="0.2">
      <c r="A56" s="1064">
        <v>1945</v>
      </c>
      <c r="B56" s="180" t="s">
        <v>289</v>
      </c>
      <c r="C56" s="173"/>
      <c r="D56" s="173"/>
      <c r="E56" s="191">
        <f t="shared" si="3"/>
        <v>0</v>
      </c>
      <c r="F56" s="173"/>
      <c r="G56" s="191">
        <f t="shared" si="4"/>
        <v>0</v>
      </c>
      <c r="H56" s="250"/>
      <c r="I56" s="252">
        <f t="shared" si="0"/>
        <v>0</v>
      </c>
      <c r="J56" s="191">
        <f t="shared" si="1"/>
        <v>0</v>
      </c>
      <c r="K56" s="173"/>
      <c r="L56" s="191">
        <f t="shared" si="2"/>
        <v>0</v>
      </c>
    </row>
    <row r="57" spans="1:12" x14ac:dyDescent="0.2">
      <c r="A57" s="1064">
        <v>1950</v>
      </c>
      <c r="B57" s="180" t="s">
        <v>218</v>
      </c>
      <c r="C57" s="173"/>
      <c r="D57" s="173"/>
      <c r="E57" s="191">
        <f t="shared" si="3"/>
        <v>0</v>
      </c>
      <c r="F57" s="173"/>
      <c r="G57" s="191">
        <f t="shared" si="4"/>
        <v>0</v>
      </c>
      <c r="H57" s="250"/>
      <c r="I57" s="252">
        <f t="shared" si="0"/>
        <v>0</v>
      </c>
      <c r="J57" s="191">
        <f t="shared" si="1"/>
        <v>0</v>
      </c>
      <c r="K57" s="173"/>
      <c r="L57" s="191">
        <f t="shared" si="2"/>
        <v>0</v>
      </c>
    </row>
    <row r="58" spans="1:12" x14ac:dyDescent="0.2">
      <c r="A58" s="1064">
        <v>1955</v>
      </c>
      <c r="B58" s="180" t="s">
        <v>290</v>
      </c>
      <c r="C58" s="173">
        <v>35831</v>
      </c>
      <c r="D58" s="173">
        <v>21138.5</v>
      </c>
      <c r="E58" s="191">
        <f t="shared" si="3"/>
        <v>14692.5</v>
      </c>
      <c r="F58" s="173">
        <v>275</v>
      </c>
      <c r="G58" s="191">
        <f t="shared" si="4"/>
        <v>14830</v>
      </c>
      <c r="H58" s="250">
        <v>10</v>
      </c>
      <c r="I58" s="252">
        <f t="shared" si="0"/>
        <v>0.1</v>
      </c>
      <c r="J58" s="191">
        <f t="shared" si="1"/>
        <v>1483</v>
      </c>
      <c r="K58" s="173">
        <v>1483</v>
      </c>
      <c r="L58" s="191">
        <f t="shared" si="2"/>
        <v>0</v>
      </c>
    </row>
    <row r="59" spans="1:12" x14ac:dyDescent="0.2">
      <c r="A59" s="255">
        <v>1955</v>
      </c>
      <c r="B59" s="184" t="s">
        <v>219</v>
      </c>
      <c r="C59" s="173"/>
      <c r="D59" s="173"/>
      <c r="E59" s="191">
        <f t="shared" si="3"/>
        <v>0</v>
      </c>
      <c r="F59" s="173"/>
      <c r="G59" s="191">
        <f t="shared" si="4"/>
        <v>0</v>
      </c>
      <c r="H59" s="250"/>
      <c r="I59" s="252">
        <f t="shared" si="0"/>
        <v>0</v>
      </c>
      <c r="J59" s="191">
        <f t="shared" si="1"/>
        <v>0</v>
      </c>
      <c r="K59" s="173"/>
      <c r="L59" s="191">
        <f t="shared" si="2"/>
        <v>0</v>
      </c>
    </row>
    <row r="60" spans="1:12" x14ac:dyDescent="0.2">
      <c r="A60" s="254">
        <v>1960</v>
      </c>
      <c r="B60" s="172" t="s">
        <v>220</v>
      </c>
      <c r="C60" s="173"/>
      <c r="D60" s="173"/>
      <c r="E60" s="191">
        <f t="shared" si="3"/>
        <v>0</v>
      </c>
      <c r="F60" s="173"/>
      <c r="G60" s="191">
        <f t="shared" si="4"/>
        <v>0</v>
      </c>
      <c r="H60" s="250"/>
      <c r="I60" s="252">
        <f t="shared" si="0"/>
        <v>0</v>
      </c>
      <c r="J60" s="191">
        <f t="shared" si="1"/>
        <v>0</v>
      </c>
      <c r="K60" s="173"/>
      <c r="L60" s="191">
        <f t="shared" si="2"/>
        <v>0</v>
      </c>
    </row>
    <row r="61" spans="1:12" x14ac:dyDescent="0.2">
      <c r="A61" s="254">
        <v>1970</v>
      </c>
      <c r="B61" s="1059" t="s">
        <v>535</v>
      </c>
      <c r="C61" s="173"/>
      <c r="D61" s="173"/>
      <c r="E61" s="191">
        <f t="shared" si="3"/>
        <v>0</v>
      </c>
      <c r="F61" s="173"/>
      <c r="G61" s="191">
        <f t="shared" si="4"/>
        <v>0</v>
      </c>
      <c r="H61" s="250"/>
      <c r="I61" s="252">
        <f t="shared" si="0"/>
        <v>0</v>
      </c>
      <c r="J61" s="191">
        <f t="shared" si="1"/>
        <v>0</v>
      </c>
      <c r="K61" s="173"/>
      <c r="L61" s="191">
        <f t="shared" si="2"/>
        <v>0</v>
      </c>
    </row>
    <row r="62" spans="1:12" x14ac:dyDescent="0.2">
      <c r="A62" s="1064">
        <v>1975</v>
      </c>
      <c r="B62" s="180" t="s">
        <v>291</v>
      </c>
      <c r="C62" s="173"/>
      <c r="D62" s="173"/>
      <c r="E62" s="191">
        <f t="shared" si="3"/>
        <v>0</v>
      </c>
      <c r="F62" s="173"/>
      <c r="G62" s="191">
        <f t="shared" si="4"/>
        <v>0</v>
      </c>
      <c r="H62" s="250"/>
      <c r="I62" s="252">
        <f t="shared" si="0"/>
        <v>0</v>
      </c>
      <c r="J62" s="191">
        <f t="shared" si="1"/>
        <v>0</v>
      </c>
      <c r="K62" s="173"/>
      <c r="L62" s="191">
        <f t="shared" si="2"/>
        <v>0</v>
      </c>
    </row>
    <row r="63" spans="1:12" x14ac:dyDescent="0.2">
      <c r="A63" s="1064">
        <v>1980</v>
      </c>
      <c r="B63" s="180" t="s">
        <v>292</v>
      </c>
      <c r="C63" s="173"/>
      <c r="D63" s="173"/>
      <c r="E63" s="191">
        <f t="shared" si="3"/>
        <v>0</v>
      </c>
      <c r="F63" s="173"/>
      <c r="G63" s="191">
        <f t="shared" si="4"/>
        <v>0</v>
      </c>
      <c r="H63" s="250"/>
      <c r="I63" s="252">
        <f t="shared" si="0"/>
        <v>0</v>
      </c>
      <c r="J63" s="191">
        <f t="shared" si="1"/>
        <v>0</v>
      </c>
      <c r="K63" s="173"/>
      <c r="L63" s="191">
        <f t="shared" si="2"/>
        <v>0</v>
      </c>
    </row>
    <row r="64" spans="1:12" x14ac:dyDescent="0.2">
      <c r="A64" s="1064">
        <v>1985</v>
      </c>
      <c r="B64" s="180" t="s">
        <v>1428</v>
      </c>
      <c r="C64" s="173">
        <v>15</v>
      </c>
      <c r="D64" s="173">
        <v>15</v>
      </c>
      <c r="E64" s="191">
        <f t="shared" si="3"/>
        <v>0</v>
      </c>
      <c r="F64" s="173"/>
      <c r="G64" s="191">
        <f t="shared" si="4"/>
        <v>0</v>
      </c>
      <c r="H64" s="250">
        <v>10</v>
      </c>
      <c r="I64" s="252">
        <f t="shared" si="0"/>
        <v>0.1</v>
      </c>
      <c r="J64" s="191">
        <f t="shared" si="1"/>
        <v>0</v>
      </c>
      <c r="K64" s="173"/>
      <c r="L64" s="191">
        <f t="shared" si="2"/>
        <v>0</v>
      </c>
    </row>
    <row r="65" spans="1:12" x14ac:dyDescent="0.2">
      <c r="A65" s="1064">
        <v>1990</v>
      </c>
      <c r="B65" s="1061" t="s">
        <v>502</v>
      </c>
      <c r="C65" s="173"/>
      <c r="D65" s="173"/>
      <c r="E65" s="191">
        <f t="shared" si="3"/>
        <v>0</v>
      </c>
      <c r="F65" s="173"/>
      <c r="G65" s="191">
        <f t="shared" si="4"/>
        <v>0</v>
      </c>
      <c r="H65" s="250"/>
      <c r="I65" s="252">
        <f t="shared" si="0"/>
        <v>0</v>
      </c>
      <c r="J65" s="191">
        <f t="shared" si="1"/>
        <v>0</v>
      </c>
      <c r="K65" s="173"/>
      <c r="L65" s="191">
        <f t="shared" si="2"/>
        <v>0</v>
      </c>
    </row>
    <row r="66" spans="1:12" ht="13.5" thickBot="1" x14ac:dyDescent="0.25">
      <c r="A66" s="1064">
        <v>1995</v>
      </c>
      <c r="B66" s="180" t="s">
        <v>294</v>
      </c>
      <c r="C66" s="257">
        <v>-4316948</v>
      </c>
      <c r="D66" s="257">
        <v>38805.500000000931</v>
      </c>
      <c r="E66" s="285">
        <f t="shared" si="3"/>
        <v>-4355753.5000000009</v>
      </c>
      <c r="F66" s="257">
        <v>-1175443</v>
      </c>
      <c r="G66" s="285">
        <f t="shared" si="4"/>
        <v>-4943475.0000000009</v>
      </c>
      <c r="H66" s="259">
        <v>25</v>
      </c>
      <c r="I66" s="260">
        <f t="shared" si="0"/>
        <v>0.04</v>
      </c>
      <c r="J66" s="285">
        <f t="shared" si="1"/>
        <v>-197739.00000000003</v>
      </c>
      <c r="K66" s="257">
        <v>-197739</v>
      </c>
      <c r="L66" s="285">
        <f t="shared" si="2"/>
        <v>-2.9103830456733704E-11</v>
      </c>
    </row>
    <row r="67" spans="1:12" ht="14.25" thickTop="1" thickBot="1" x14ac:dyDescent="0.25">
      <c r="A67" s="261"/>
      <c r="B67" s="262" t="s">
        <v>295</v>
      </c>
      <c r="C67" s="263">
        <f>SUM(C20:C66)</f>
        <v>24545611</v>
      </c>
      <c r="D67" s="263">
        <f>SUM(D20:D66)</f>
        <v>25809063</v>
      </c>
      <c r="E67" s="263">
        <f>SUM(E20:E66)</f>
        <v>-1263452.0000000009</v>
      </c>
      <c r="F67" s="263">
        <f>SUM(F20:F66)</f>
        <v>-2104286</v>
      </c>
      <c r="G67" s="263">
        <f>SUM(G20:G66)</f>
        <v>-2315595.0000000009</v>
      </c>
      <c r="H67" s="330"/>
      <c r="I67" s="266"/>
      <c r="J67" s="263">
        <f>SUM(J20:J66)</f>
        <v>-1268631.4500000002</v>
      </c>
      <c r="K67" s="263">
        <f>SUM(K20:K66)</f>
        <v>-1351864</v>
      </c>
      <c r="L67" s="263">
        <f>SUM(L20:L66)</f>
        <v>83232.54999999993</v>
      </c>
    </row>
    <row r="68" spans="1:12" ht="12.75" customHeight="1" x14ac:dyDescent="0.2">
      <c r="A68" s="289"/>
      <c r="B68" s="1707" t="s">
        <v>1078</v>
      </c>
      <c r="C68" s="1707"/>
      <c r="D68" s="1707"/>
      <c r="E68" s="1707"/>
      <c r="F68" s="1707"/>
      <c r="G68" s="1707"/>
      <c r="H68" s="1707"/>
      <c r="I68" s="1708"/>
      <c r="J68" s="173"/>
      <c r="K68" s="291"/>
      <c r="L68" s="291"/>
    </row>
    <row r="69" spans="1:12" x14ac:dyDescent="0.2">
      <c r="A69" s="289"/>
      <c r="B69" s="290" t="s">
        <v>937</v>
      </c>
      <c r="C69" s="312"/>
      <c r="D69" s="312"/>
      <c r="E69" s="312"/>
      <c r="F69" s="291"/>
      <c r="G69" s="291"/>
      <c r="H69" s="293"/>
      <c r="I69" s="312"/>
      <c r="J69" s="191">
        <f>SUM(J67:J68)</f>
        <v>-1268631.4500000002</v>
      </c>
      <c r="K69" s="291"/>
      <c r="L69" s="291"/>
    </row>
    <row r="70" spans="1:12" x14ac:dyDescent="0.2">
      <c r="A70" s="289"/>
      <c r="B70" s="290"/>
      <c r="C70" s="312"/>
      <c r="D70" s="312"/>
      <c r="E70" s="312"/>
      <c r="F70" s="291"/>
      <c r="G70" s="291"/>
      <c r="H70" s="293"/>
      <c r="I70" s="312"/>
      <c r="J70" s="291"/>
      <c r="K70" s="291"/>
      <c r="L70" s="291"/>
    </row>
    <row r="71" spans="1:12" x14ac:dyDescent="0.2">
      <c r="A71" s="289"/>
      <c r="B71" s="290"/>
      <c r="C71" s="312"/>
      <c r="D71" s="312"/>
      <c r="E71" s="312"/>
      <c r="F71" s="291"/>
      <c r="G71" s="291"/>
      <c r="H71" s="293"/>
      <c r="I71" s="312"/>
      <c r="J71" s="291"/>
      <c r="K71" s="291"/>
      <c r="L71" s="291"/>
    </row>
    <row r="72" spans="1:12" x14ac:dyDescent="0.2">
      <c r="B72" s="1113"/>
      <c r="C72" s="1136"/>
      <c r="D72" s="1136" t="s">
        <v>882</v>
      </c>
      <c r="E72" s="48" t="s">
        <v>105</v>
      </c>
      <c r="F72" s="1113"/>
      <c r="G72" s="1138"/>
      <c r="H72" s="1113"/>
      <c r="I72" s="1113"/>
      <c r="J72" s="1113"/>
      <c r="K72" s="1113"/>
      <c r="L72" s="295"/>
    </row>
    <row r="73" spans="1:12" ht="18" x14ac:dyDescent="0.25">
      <c r="A73" s="1481"/>
      <c r="B73" s="1481"/>
      <c r="C73" s="1136"/>
      <c r="D73" s="1136" t="s">
        <v>102</v>
      </c>
      <c r="E73" s="1137">
        <v>2014</v>
      </c>
      <c r="H73" s="1481"/>
      <c r="I73" s="1481"/>
      <c r="J73" s="1481"/>
    </row>
    <row r="74" spans="1:12" ht="13.5" thickBot="1" x14ac:dyDescent="0.25"/>
    <row r="75" spans="1:12" ht="51" x14ac:dyDescent="0.2">
      <c r="A75" s="1685" t="s">
        <v>3</v>
      </c>
      <c r="B75" s="1687" t="s">
        <v>235</v>
      </c>
      <c r="C75" s="245" t="s">
        <v>1043</v>
      </c>
      <c r="D75" s="245" t="s">
        <v>476</v>
      </c>
      <c r="E75" s="245" t="s">
        <v>477</v>
      </c>
      <c r="F75" s="245" t="s">
        <v>237</v>
      </c>
      <c r="G75" s="245" t="s">
        <v>1073</v>
      </c>
      <c r="H75" s="245" t="s">
        <v>6</v>
      </c>
      <c r="I75" s="245" t="s">
        <v>298</v>
      </c>
      <c r="J75" s="277" t="s">
        <v>1082</v>
      </c>
      <c r="K75" s="1697" t="s">
        <v>1062</v>
      </c>
      <c r="L75" s="277" t="s">
        <v>1074</v>
      </c>
    </row>
    <row r="76" spans="1:12" x14ac:dyDescent="0.2">
      <c r="A76" s="1686"/>
      <c r="B76" s="1688"/>
      <c r="C76" s="249" t="s">
        <v>4</v>
      </c>
      <c r="D76" s="249" t="s">
        <v>478</v>
      </c>
      <c r="E76" s="249" t="s">
        <v>479</v>
      </c>
      <c r="F76" s="249" t="s">
        <v>5</v>
      </c>
      <c r="G76" s="328" t="s">
        <v>997</v>
      </c>
      <c r="H76" s="249" t="s">
        <v>7</v>
      </c>
      <c r="I76" s="249" t="s">
        <v>8</v>
      </c>
      <c r="J76" s="329" t="s">
        <v>9</v>
      </c>
      <c r="K76" s="1711"/>
      <c r="L76" s="329" t="s">
        <v>382</v>
      </c>
    </row>
    <row r="77" spans="1:12" ht="25.5" x14ac:dyDescent="0.2">
      <c r="A77" s="1484">
        <v>1611</v>
      </c>
      <c r="B77" s="172" t="s">
        <v>381</v>
      </c>
      <c r="C77" s="173">
        <v>243737</v>
      </c>
      <c r="D77" s="173">
        <v>236138.5</v>
      </c>
      <c r="E77" s="191">
        <f>C77-D77</f>
        <v>7598.5</v>
      </c>
      <c r="F77" s="173">
        <v>13313</v>
      </c>
      <c r="G77" s="191">
        <f>E77+0.5*F77</f>
        <v>14255</v>
      </c>
      <c r="H77" s="250">
        <v>5</v>
      </c>
      <c r="I77" s="251">
        <f t="shared" ref="I77:I123" si="5">IF(H77=0,0,1/H77)</f>
        <v>0.2</v>
      </c>
      <c r="J77" s="191">
        <f t="shared" ref="J77:J123" si="6">IF(H77=0,0,G77/H77)</f>
        <v>2851</v>
      </c>
      <c r="K77" s="173">
        <v>2851</v>
      </c>
      <c r="L77" s="191">
        <f t="shared" ref="L77:L123" si="7">IF(ISERROR(+J77-K77), 0, +J77-K77)</f>
        <v>0</v>
      </c>
    </row>
    <row r="78" spans="1:12" x14ac:dyDescent="0.2">
      <c r="A78" s="1484">
        <v>1612</v>
      </c>
      <c r="B78" s="172" t="s">
        <v>442</v>
      </c>
      <c r="C78" s="173">
        <v>2945</v>
      </c>
      <c r="D78" s="173">
        <v>2945</v>
      </c>
      <c r="E78" s="191">
        <f t="shared" ref="E78:E123" si="8">C78-D78</f>
        <v>0</v>
      </c>
      <c r="F78" s="173"/>
      <c r="G78" s="191">
        <f t="shared" ref="G78:G123" si="9">E78+0.5*F78</f>
        <v>0</v>
      </c>
      <c r="H78" s="250">
        <v>5</v>
      </c>
      <c r="I78" s="252">
        <f t="shared" si="5"/>
        <v>0.2</v>
      </c>
      <c r="J78" s="191">
        <f t="shared" si="6"/>
        <v>0</v>
      </c>
      <c r="K78" s="173"/>
      <c r="L78" s="191">
        <f t="shared" si="7"/>
        <v>0</v>
      </c>
    </row>
    <row r="79" spans="1:12" x14ac:dyDescent="0.2">
      <c r="A79" s="253">
        <v>1805</v>
      </c>
      <c r="B79" s="179" t="s">
        <v>267</v>
      </c>
      <c r="C79" s="173">
        <v>2112</v>
      </c>
      <c r="D79" s="173"/>
      <c r="E79" s="191">
        <f t="shared" si="8"/>
        <v>2112</v>
      </c>
      <c r="F79" s="173"/>
      <c r="G79" s="191">
        <f t="shared" si="9"/>
        <v>2112</v>
      </c>
      <c r="H79" s="250"/>
      <c r="I79" s="252">
        <f t="shared" si="5"/>
        <v>0</v>
      </c>
      <c r="J79" s="191">
        <f t="shared" si="6"/>
        <v>0</v>
      </c>
      <c r="K79" s="173"/>
      <c r="L79" s="191">
        <f t="shared" si="7"/>
        <v>0</v>
      </c>
    </row>
    <row r="80" spans="1:12" x14ac:dyDescent="0.2">
      <c r="A80" s="1484">
        <v>1808</v>
      </c>
      <c r="B80" s="180" t="s">
        <v>268</v>
      </c>
      <c r="C80" s="173"/>
      <c r="D80" s="173"/>
      <c r="E80" s="191">
        <f t="shared" si="8"/>
        <v>0</v>
      </c>
      <c r="F80" s="173"/>
      <c r="G80" s="191">
        <f t="shared" si="9"/>
        <v>0</v>
      </c>
      <c r="H80" s="250"/>
      <c r="I80" s="252">
        <f t="shared" si="5"/>
        <v>0</v>
      </c>
      <c r="J80" s="191">
        <f t="shared" si="6"/>
        <v>0</v>
      </c>
      <c r="K80" s="173"/>
      <c r="L80" s="191">
        <f t="shared" si="7"/>
        <v>0</v>
      </c>
    </row>
    <row r="81" spans="1:12" x14ac:dyDescent="0.2">
      <c r="A81" s="1484">
        <v>1810</v>
      </c>
      <c r="B81" s="180" t="s">
        <v>299</v>
      </c>
      <c r="C81" s="173"/>
      <c r="D81" s="173"/>
      <c r="E81" s="191">
        <f t="shared" si="8"/>
        <v>0</v>
      </c>
      <c r="F81" s="173"/>
      <c r="G81" s="191">
        <f t="shared" si="9"/>
        <v>0</v>
      </c>
      <c r="H81" s="250"/>
      <c r="I81" s="252">
        <f t="shared" si="5"/>
        <v>0</v>
      </c>
      <c r="J81" s="191">
        <f t="shared" si="6"/>
        <v>0</v>
      </c>
      <c r="K81" s="173"/>
      <c r="L81" s="191">
        <f t="shared" si="7"/>
        <v>0</v>
      </c>
    </row>
    <row r="82" spans="1:12" x14ac:dyDescent="0.2">
      <c r="A82" s="1484">
        <v>1815</v>
      </c>
      <c r="B82" s="180" t="s">
        <v>269</v>
      </c>
      <c r="C82" s="173"/>
      <c r="D82" s="173"/>
      <c r="E82" s="191">
        <f t="shared" si="8"/>
        <v>0</v>
      </c>
      <c r="F82" s="173"/>
      <c r="G82" s="191">
        <f t="shared" si="9"/>
        <v>0</v>
      </c>
      <c r="H82" s="250"/>
      <c r="I82" s="252">
        <f t="shared" si="5"/>
        <v>0</v>
      </c>
      <c r="J82" s="191">
        <f t="shared" si="6"/>
        <v>0</v>
      </c>
      <c r="K82" s="173"/>
      <c r="L82" s="191">
        <f t="shared" si="7"/>
        <v>0</v>
      </c>
    </row>
    <row r="83" spans="1:12" x14ac:dyDescent="0.2">
      <c r="A83" s="1484">
        <v>1820</v>
      </c>
      <c r="B83" s="172" t="s">
        <v>207</v>
      </c>
      <c r="C83" s="173">
        <v>142098</v>
      </c>
      <c r="D83" s="173">
        <v>140238</v>
      </c>
      <c r="E83" s="191">
        <f t="shared" si="8"/>
        <v>1860</v>
      </c>
      <c r="F83" s="173"/>
      <c r="G83" s="191">
        <f t="shared" si="9"/>
        <v>1860</v>
      </c>
      <c r="H83" s="250">
        <v>30</v>
      </c>
      <c r="I83" s="252">
        <f t="shared" si="5"/>
        <v>3.3333333333333333E-2</v>
      </c>
      <c r="J83" s="191">
        <f t="shared" si="6"/>
        <v>62</v>
      </c>
      <c r="K83" s="173">
        <v>62</v>
      </c>
      <c r="L83" s="191">
        <f t="shared" si="7"/>
        <v>0</v>
      </c>
    </row>
    <row r="84" spans="1:12" x14ac:dyDescent="0.2">
      <c r="A84" s="1484">
        <v>1825</v>
      </c>
      <c r="B84" s="180" t="s">
        <v>270</v>
      </c>
      <c r="C84" s="173"/>
      <c r="D84" s="173"/>
      <c r="E84" s="191">
        <f t="shared" si="8"/>
        <v>0</v>
      </c>
      <c r="F84" s="173"/>
      <c r="G84" s="191">
        <f t="shared" si="9"/>
        <v>0</v>
      </c>
      <c r="H84" s="250"/>
      <c r="I84" s="252">
        <f t="shared" si="5"/>
        <v>0</v>
      </c>
      <c r="J84" s="191">
        <f t="shared" si="6"/>
        <v>0</v>
      </c>
      <c r="K84" s="173"/>
      <c r="L84" s="191">
        <f t="shared" si="7"/>
        <v>0</v>
      </c>
    </row>
    <row r="85" spans="1:12" x14ac:dyDescent="0.2">
      <c r="A85" s="1484">
        <v>1830</v>
      </c>
      <c r="B85" s="180" t="s">
        <v>271</v>
      </c>
      <c r="C85" s="173">
        <v>1001372</v>
      </c>
      <c r="D85" s="173">
        <v>116761.49999999971</v>
      </c>
      <c r="E85" s="191">
        <f t="shared" si="8"/>
        <v>884610.50000000023</v>
      </c>
      <c r="F85" s="173">
        <v>35549</v>
      </c>
      <c r="G85" s="191">
        <f t="shared" si="9"/>
        <v>902385.00000000023</v>
      </c>
      <c r="H85" s="250">
        <v>45</v>
      </c>
      <c r="I85" s="252">
        <f t="shared" si="5"/>
        <v>2.2222222222222223E-2</v>
      </c>
      <c r="J85" s="191">
        <f t="shared" si="6"/>
        <v>20053.000000000004</v>
      </c>
      <c r="K85" s="173">
        <v>20053</v>
      </c>
      <c r="L85" s="191">
        <f t="shared" si="7"/>
        <v>3.637978807091713E-12</v>
      </c>
    </row>
    <row r="86" spans="1:12" x14ac:dyDescent="0.2">
      <c r="A86" s="1484">
        <v>1835</v>
      </c>
      <c r="B86" s="180" t="s">
        <v>208</v>
      </c>
      <c r="C86" s="173">
        <v>6457970</v>
      </c>
      <c r="D86" s="173">
        <v>4283304.5</v>
      </c>
      <c r="E86" s="191">
        <f t="shared" si="8"/>
        <v>2174665.5</v>
      </c>
      <c r="F86" s="173">
        <v>16269</v>
      </c>
      <c r="G86" s="191">
        <f t="shared" si="9"/>
        <v>2182800</v>
      </c>
      <c r="H86" s="250">
        <v>60</v>
      </c>
      <c r="I86" s="252">
        <f t="shared" si="5"/>
        <v>1.6666666666666666E-2</v>
      </c>
      <c r="J86" s="191">
        <f t="shared" si="6"/>
        <v>36380</v>
      </c>
      <c r="K86" s="173">
        <v>36380</v>
      </c>
      <c r="L86" s="191">
        <f t="shared" si="7"/>
        <v>0</v>
      </c>
    </row>
    <row r="87" spans="1:12" x14ac:dyDescent="0.2">
      <c r="A87" s="1484">
        <v>1840</v>
      </c>
      <c r="B87" s="180" t="s">
        <v>209</v>
      </c>
      <c r="C87" s="173">
        <v>1801068</v>
      </c>
      <c r="D87" s="173">
        <v>159337.99999999965</v>
      </c>
      <c r="E87" s="191">
        <f t="shared" si="8"/>
        <v>1641730.0000000005</v>
      </c>
      <c r="F87" s="173">
        <v>179440</v>
      </c>
      <c r="G87" s="191">
        <f t="shared" si="9"/>
        <v>1731450.0000000005</v>
      </c>
      <c r="H87" s="250">
        <v>50</v>
      </c>
      <c r="I87" s="252">
        <f t="shared" si="5"/>
        <v>0.02</v>
      </c>
      <c r="J87" s="191">
        <f t="shared" si="6"/>
        <v>34629.000000000007</v>
      </c>
      <c r="K87" s="173">
        <v>34629</v>
      </c>
      <c r="L87" s="191">
        <f t="shared" si="7"/>
        <v>7.2759576141834259E-12</v>
      </c>
    </row>
    <row r="88" spans="1:12" x14ac:dyDescent="0.2">
      <c r="A88" s="1484">
        <v>1845</v>
      </c>
      <c r="B88" s="180" t="s">
        <v>210</v>
      </c>
      <c r="C88" s="173">
        <v>7917161</v>
      </c>
      <c r="D88" s="173">
        <v>4023007</v>
      </c>
      <c r="E88" s="191">
        <f t="shared" si="8"/>
        <v>3894154</v>
      </c>
      <c r="F88" s="173">
        <v>324572</v>
      </c>
      <c r="G88" s="191">
        <f t="shared" si="9"/>
        <v>4056440</v>
      </c>
      <c r="H88" s="250">
        <v>40</v>
      </c>
      <c r="I88" s="252">
        <f t="shared" si="5"/>
        <v>2.5000000000000001E-2</v>
      </c>
      <c r="J88" s="191">
        <f t="shared" si="6"/>
        <v>101411</v>
      </c>
      <c r="K88" s="173">
        <v>101411</v>
      </c>
      <c r="L88" s="191">
        <f t="shared" si="7"/>
        <v>0</v>
      </c>
    </row>
    <row r="89" spans="1:12" x14ac:dyDescent="0.2">
      <c r="A89" s="1484">
        <v>1850</v>
      </c>
      <c r="B89" s="180" t="s">
        <v>272</v>
      </c>
      <c r="C89" s="173">
        <v>5965591</v>
      </c>
      <c r="D89" s="173">
        <v>2962426.5000000005</v>
      </c>
      <c r="E89" s="191">
        <f t="shared" si="8"/>
        <v>3003164.4999999995</v>
      </c>
      <c r="F89" s="173">
        <v>155111</v>
      </c>
      <c r="G89" s="191">
        <f t="shared" si="9"/>
        <v>3080719.9999999995</v>
      </c>
      <c r="H89" s="250">
        <v>40</v>
      </c>
      <c r="I89" s="252">
        <f t="shared" si="5"/>
        <v>2.5000000000000001E-2</v>
      </c>
      <c r="J89" s="191">
        <f t="shared" si="6"/>
        <v>77017.999999999985</v>
      </c>
      <c r="K89" s="173">
        <v>77018</v>
      </c>
      <c r="L89" s="191">
        <f t="shared" si="7"/>
        <v>-1.4551915228366852E-11</v>
      </c>
    </row>
    <row r="90" spans="1:12" x14ac:dyDescent="0.2">
      <c r="A90" s="1484">
        <v>1851</v>
      </c>
      <c r="B90" s="180" t="s">
        <v>1416</v>
      </c>
      <c r="C90" s="173">
        <v>0</v>
      </c>
      <c r="D90" s="173"/>
      <c r="E90" s="191">
        <f t="shared" si="8"/>
        <v>0</v>
      </c>
      <c r="F90" s="173">
        <v>4448</v>
      </c>
      <c r="G90" s="191">
        <f t="shared" si="9"/>
        <v>2224</v>
      </c>
      <c r="H90" s="250">
        <v>20</v>
      </c>
      <c r="I90" s="252">
        <f t="shared" si="5"/>
        <v>0.05</v>
      </c>
      <c r="J90" s="191">
        <f t="shared" si="6"/>
        <v>111.2</v>
      </c>
      <c r="K90" s="173">
        <v>111</v>
      </c>
      <c r="L90" s="191">
        <f t="shared" si="7"/>
        <v>0.20000000000000284</v>
      </c>
    </row>
    <row r="91" spans="1:12" ht="25.5" x14ac:dyDescent="0.2">
      <c r="A91" s="1484">
        <v>1852</v>
      </c>
      <c r="B91" s="180" t="s">
        <v>1422</v>
      </c>
      <c r="C91" s="173">
        <v>22746</v>
      </c>
      <c r="D91" s="173">
        <v>-1.999999999991374</v>
      </c>
      <c r="E91" s="191">
        <f t="shared" si="8"/>
        <v>22747.999999999993</v>
      </c>
      <c r="F91" s="173">
        <v>25184</v>
      </c>
      <c r="G91" s="191">
        <f t="shared" si="9"/>
        <v>35339.999999999993</v>
      </c>
      <c r="H91" s="250">
        <v>60</v>
      </c>
      <c r="I91" s="252">
        <f t="shared" si="5"/>
        <v>1.6666666666666666E-2</v>
      </c>
      <c r="J91" s="191">
        <f t="shared" si="6"/>
        <v>588.99999999999989</v>
      </c>
      <c r="K91" s="173">
        <v>589</v>
      </c>
      <c r="L91" s="191">
        <f t="shared" si="7"/>
        <v>-1.1368683772161603E-13</v>
      </c>
    </row>
    <row r="92" spans="1:12" x14ac:dyDescent="0.2">
      <c r="A92" s="1484">
        <v>1855</v>
      </c>
      <c r="B92" s="180" t="s">
        <v>211</v>
      </c>
      <c r="C92" s="173">
        <v>872581</v>
      </c>
      <c r="D92" s="173">
        <v>-234.99999999990541</v>
      </c>
      <c r="E92" s="191">
        <f t="shared" si="8"/>
        <v>872815.99999999988</v>
      </c>
      <c r="F92" s="173">
        <v>96768</v>
      </c>
      <c r="G92" s="191">
        <f t="shared" si="9"/>
        <v>921199.99999999988</v>
      </c>
      <c r="H92" s="250">
        <v>25</v>
      </c>
      <c r="I92" s="252">
        <f t="shared" si="5"/>
        <v>0.04</v>
      </c>
      <c r="J92" s="191">
        <f t="shared" si="6"/>
        <v>36847.999999999993</v>
      </c>
      <c r="K92" s="173">
        <v>36848</v>
      </c>
      <c r="L92" s="191">
        <f t="shared" si="7"/>
        <v>-7.2759576141834259E-12</v>
      </c>
    </row>
    <row r="93" spans="1:12" x14ac:dyDescent="0.2">
      <c r="A93" s="1484">
        <v>1860</v>
      </c>
      <c r="B93" s="180" t="s">
        <v>273</v>
      </c>
      <c r="C93" s="173"/>
      <c r="D93" s="173"/>
      <c r="E93" s="191">
        <f t="shared" si="8"/>
        <v>0</v>
      </c>
      <c r="F93" s="173"/>
      <c r="G93" s="191">
        <f t="shared" si="9"/>
        <v>0</v>
      </c>
      <c r="H93" s="250"/>
      <c r="I93" s="252">
        <f t="shared" si="5"/>
        <v>0</v>
      </c>
      <c r="J93" s="191">
        <f t="shared" si="6"/>
        <v>0</v>
      </c>
      <c r="K93" s="173"/>
      <c r="L93" s="191">
        <f t="shared" si="7"/>
        <v>0</v>
      </c>
    </row>
    <row r="94" spans="1:12" ht="25.5" x14ac:dyDescent="0.2">
      <c r="A94" s="1484">
        <v>1861</v>
      </c>
      <c r="B94" s="180" t="s">
        <v>1423</v>
      </c>
      <c r="C94" s="173">
        <v>936838</v>
      </c>
      <c r="D94" s="173">
        <v>-359008.5</v>
      </c>
      <c r="E94" s="191">
        <f t="shared" si="8"/>
        <v>1295846.5</v>
      </c>
      <c r="F94" s="173">
        <v>21147</v>
      </c>
      <c r="G94" s="191">
        <f t="shared" si="9"/>
        <v>1306420</v>
      </c>
      <c r="H94" s="250">
        <v>10</v>
      </c>
      <c r="I94" s="252">
        <f t="shared" si="5"/>
        <v>0.1</v>
      </c>
      <c r="J94" s="191">
        <f t="shared" si="6"/>
        <v>130642</v>
      </c>
      <c r="K94" s="173">
        <v>130642</v>
      </c>
      <c r="L94" s="191">
        <f t="shared" si="7"/>
        <v>0</v>
      </c>
    </row>
    <row r="95" spans="1:12" x14ac:dyDescent="0.2">
      <c r="A95" s="1484">
        <v>1862</v>
      </c>
      <c r="B95" s="180" t="s">
        <v>1397</v>
      </c>
      <c r="C95" s="173">
        <v>323155</v>
      </c>
      <c r="D95" s="173">
        <v>-189499.50000000006</v>
      </c>
      <c r="E95" s="191">
        <f t="shared" si="8"/>
        <v>512654.50000000006</v>
      </c>
      <c r="F95" s="173">
        <v>6631</v>
      </c>
      <c r="G95" s="191">
        <f t="shared" si="9"/>
        <v>515970.00000000006</v>
      </c>
      <c r="H95" s="250">
        <v>15</v>
      </c>
      <c r="I95" s="252">
        <f t="shared" si="5"/>
        <v>6.6666666666666666E-2</v>
      </c>
      <c r="J95" s="191">
        <f t="shared" si="6"/>
        <v>34398.000000000007</v>
      </c>
      <c r="K95" s="173">
        <v>34398</v>
      </c>
      <c r="L95" s="191">
        <f t="shared" si="7"/>
        <v>7.2759576141834259E-12</v>
      </c>
    </row>
    <row r="96" spans="1:12" x14ac:dyDescent="0.2">
      <c r="A96" s="1484">
        <v>1863</v>
      </c>
      <c r="B96" s="180" t="s">
        <v>1398</v>
      </c>
      <c r="C96" s="173">
        <v>0</v>
      </c>
      <c r="D96" s="173"/>
      <c r="E96" s="191">
        <f t="shared" si="8"/>
        <v>0</v>
      </c>
      <c r="F96" s="173"/>
      <c r="G96" s="191">
        <f t="shared" si="9"/>
        <v>0</v>
      </c>
      <c r="H96" s="250">
        <v>15</v>
      </c>
      <c r="I96" s="252">
        <f t="shared" si="5"/>
        <v>6.6666666666666666E-2</v>
      </c>
      <c r="J96" s="191">
        <f t="shared" si="6"/>
        <v>0</v>
      </c>
      <c r="K96" s="173"/>
      <c r="L96" s="191">
        <f t="shared" si="7"/>
        <v>0</v>
      </c>
    </row>
    <row r="97" spans="1:12" x14ac:dyDescent="0.2">
      <c r="A97" s="1484">
        <v>1864</v>
      </c>
      <c r="B97" s="180" t="s">
        <v>1424</v>
      </c>
      <c r="C97" s="173">
        <v>111034</v>
      </c>
      <c r="D97" s="173">
        <v>-17242.5</v>
      </c>
      <c r="E97" s="191">
        <f t="shared" si="8"/>
        <v>128276.5</v>
      </c>
      <c r="F97" s="173">
        <v>2567</v>
      </c>
      <c r="G97" s="191">
        <f t="shared" si="9"/>
        <v>129560</v>
      </c>
      <c r="H97" s="250">
        <v>40</v>
      </c>
      <c r="I97" s="252">
        <f t="shared" si="5"/>
        <v>2.5000000000000001E-2</v>
      </c>
      <c r="J97" s="191">
        <f t="shared" si="6"/>
        <v>3239</v>
      </c>
      <c r="K97" s="173">
        <v>3239</v>
      </c>
      <c r="L97" s="191">
        <f t="shared" si="7"/>
        <v>0</v>
      </c>
    </row>
    <row r="98" spans="1:12" x14ac:dyDescent="0.2">
      <c r="A98" s="253">
        <v>1860</v>
      </c>
      <c r="B98" s="179" t="s">
        <v>212</v>
      </c>
      <c r="C98" s="173"/>
      <c r="D98" s="173"/>
      <c r="E98" s="191">
        <f t="shared" si="8"/>
        <v>0</v>
      </c>
      <c r="F98" s="173"/>
      <c r="G98" s="191">
        <f t="shared" si="9"/>
        <v>0</v>
      </c>
      <c r="H98" s="250"/>
      <c r="I98" s="252">
        <f t="shared" si="5"/>
        <v>0</v>
      </c>
      <c r="J98" s="191">
        <f t="shared" si="6"/>
        <v>0</v>
      </c>
      <c r="K98" s="173"/>
      <c r="L98" s="191">
        <f t="shared" si="7"/>
        <v>0</v>
      </c>
    </row>
    <row r="99" spans="1:12" x14ac:dyDescent="0.2">
      <c r="A99" s="253">
        <v>1905</v>
      </c>
      <c r="B99" s="179" t="s">
        <v>267</v>
      </c>
      <c r="C99" s="173">
        <v>171765</v>
      </c>
      <c r="D99" s="173"/>
      <c r="E99" s="191">
        <f t="shared" si="8"/>
        <v>171765</v>
      </c>
      <c r="F99" s="173"/>
      <c r="G99" s="191">
        <f t="shared" si="9"/>
        <v>171765</v>
      </c>
      <c r="H99" s="250"/>
      <c r="I99" s="252">
        <f t="shared" si="5"/>
        <v>0</v>
      </c>
      <c r="J99" s="191">
        <f t="shared" si="6"/>
        <v>0</v>
      </c>
      <c r="K99" s="173"/>
      <c r="L99" s="191">
        <f t="shared" si="7"/>
        <v>0</v>
      </c>
    </row>
    <row r="100" spans="1:12" x14ac:dyDescent="0.2">
      <c r="A100" s="1484">
        <v>1908</v>
      </c>
      <c r="B100" s="180" t="s">
        <v>275</v>
      </c>
      <c r="C100" s="173">
        <v>664871</v>
      </c>
      <c r="D100" s="173">
        <v>-59611.000000000087</v>
      </c>
      <c r="E100" s="191">
        <f t="shared" si="8"/>
        <v>724482.00000000012</v>
      </c>
      <c r="F100" s="173">
        <v>336</v>
      </c>
      <c r="G100" s="191">
        <f t="shared" si="9"/>
        <v>724650.00000000012</v>
      </c>
      <c r="H100" s="250">
        <v>50</v>
      </c>
      <c r="I100" s="252">
        <f t="shared" si="5"/>
        <v>0.02</v>
      </c>
      <c r="J100" s="191">
        <f t="shared" si="6"/>
        <v>14493.000000000002</v>
      </c>
      <c r="K100" s="173">
        <v>14493</v>
      </c>
      <c r="L100" s="191">
        <f t="shared" si="7"/>
        <v>1.8189894035458565E-12</v>
      </c>
    </row>
    <row r="101" spans="1:12" x14ac:dyDescent="0.2">
      <c r="A101" s="1484">
        <v>1910</v>
      </c>
      <c r="B101" s="180" t="s">
        <v>299</v>
      </c>
      <c r="C101" s="173"/>
      <c r="D101" s="173"/>
      <c r="E101" s="191">
        <f t="shared" si="8"/>
        <v>0</v>
      </c>
      <c r="F101" s="173"/>
      <c r="G101" s="191">
        <f t="shared" si="9"/>
        <v>0</v>
      </c>
      <c r="H101" s="250"/>
      <c r="I101" s="252">
        <f t="shared" si="5"/>
        <v>0</v>
      </c>
      <c r="J101" s="191">
        <f t="shared" si="6"/>
        <v>0</v>
      </c>
      <c r="K101" s="173"/>
      <c r="L101" s="191">
        <f t="shared" si="7"/>
        <v>0</v>
      </c>
    </row>
    <row r="102" spans="1:12" x14ac:dyDescent="0.2">
      <c r="A102" s="1484">
        <v>1915</v>
      </c>
      <c r="B102" s="180" t="s">
        <v>213</v>
      </c>
      <c r="C102" s="173">
        <v>245177</v>
      </c>
      <c r="D102" s="173">
        <v>178737</v>
      </c>
      <c r="E102" s="191">
        <f t="shared" si="8"/>
        <v>66440</v>
      </c>
      <c r="F102" s="173">
        <v>140</v>
      </c>
      <c r="G102" s="191">
        <f t="shared" si="9"/>
        <v>66510</v>
      </c>
      <c r="H102" s="250">
        <v>10</v>
      </c>
      <c r="I102" s="252">
        <f t="shared" si="5"/>
        <v>0.1</v>
      </c>
      <c r="J102" s="191">
        <f t="shared" si="6"/>
        <v>6651</v>
      </c>
      <c r="K102" s="173">
        <v>6651</v>
      </c>
      <c r="L102" s="191">
        <f t="shared" si="7"/>
        <v>0</v>
      </c>
    </row>
    <row r="103" spans="1:12" x14ac:dyDescent="0.2">
      <c r="A103" s="1484">
        <v>1915</v>
      </c>
      <c r="B103" s="180" t="s">
        <v>214</v>
      </c>
      <c r="C103" s="173"/>
      <c r="D103" s="173"/>
      <c r="E103" s="191">
        <f t="shared" si="8"/>
        <v>0</v>
      </c>
      <c r="F103" s="173"/>
      <c r="G103" s="191">
        <f t="shared" si="9"/>
        <v>0</v>
      </c>
      <c r="H103" s="250"/>
      <c r="I103" s="252">
        <f t="shared" si="5"/>
        <v>0</v>
      </c>
      <c r="J103" s="191">
        <f t="shared" si="6"/>
        <v>0</v>
      </c>
      <c r="K103" s="173"/>
      <c r="L103" s="191">
        <f t="shared" si="7"/>
        <v>0</v>
      </c>
    </row>
    <row r="104" spans="1:12" x14ac:dyDescent="0.2">
      <c r="A104" s="1484">
        <v>1920</v>
      </c>
      <c r="B104" s="180" t="s">
        <v>215</v>
      </c>
      <c r="C104" s="173">
        <v>367777</v>
      </c>
      <c r="D104" s="173">
        <v>350531.5</v>
      </c>
      <c r="E104" s="191">
        <f t="shared" si="8"/>
        <v>17245.5</v>
      </c>
      <c r="F104" s="173">
        <v>11279</v>
      </c>
      <c r="G104" s="191">
        <f t="shared" si="9"/>
        <v>22885</v>
      </c>
      <c r="H104" s="250">
        <v>5</v>
      </c>
      <c r="I104" s="252">
        <f t="shared" si="5"/>
        <v>0.2</v>
      </c>
      <c r="J104" s="191">
        <f t="shared" si="6"/>
        <v>4577</v>
      </c>
      <c r="K104" s="173">
        <v>4577</v>
      </c>
      <c r="L104" s="191">
        <f t="shared" si="7"/>
        <v>0</v>
      </c>
    </row>
    <row r="105" spans="1:12" x14ac:dyDescent="0.2">
      <c r="A105" s="254">
        <v>1920</v>
      </c>
      <c r="B105" s="172" t="s">
        <v>217</v>
      </c>
      <c r="C105" s="173"/>
      <c r="D105" s="173"/>
      <c r="E105" s="191">
        <f t="shared" si="8"/>
        <v>0</v>
      </c>
      <c r="F105" s="173"/>
      <c r="G105" s="191">
        <f t="shared" si="9"/>
        <v>0</v>
      </c>
      <c r="H105" s="250"/>
      <c r="I105" s="252">
        <f t="shared" si="5"/>
        <v>0</v>
      </c>
      <c r="J105" s="191">
        <f t="shared" si="6"/>
        <v>0</v>
      </c>
      <c r="K105" s="173"/>
      <c r="L105" s="191">
        <f t="shared" si="7"/>
        <v>0</v>
      </c>
    </row>
    <row r="106" spans="1:12" x14ac:dyDescent="0.2">
      <c r="A106" s="254">
        <v>1920</v>
      </c>
      <c r="B106" s="172" t="s">
        <v>216</v>
      </c>
      <c r="C106" s="173"/>
      <c r="D106" s="173"/>
      <c r="E106" s="191">
        <f t="shared" si="8"/>
        <v>0</v>
      </c>
      <c r="F106" s="173"/>
      <c r="G106" s="191">
        <f t="shared" si="9"/>
        <v>0</v>
      </c>
      <c r="H106" s="250"/>
      <c r="I106" s="252">
        <f t="shared" si="5"/>
        <v>0</v>
      </c>
      <c r="J106" s="191">
        <f t="shared" si="6"/>
        <v>0</v>
      </c>
      <c r="K106" s="173"/>
      <c r="L106" s="191">
        <f t="shared" si="7"/>
        <v>0</v>
      </c>
    </row>
    <row r="107" spans="1:12" x14ac:dyDescent="0.2">
      <c r="A107" s="1484">
        <v>1930</v>
      </c>
      <c r="B107" s="180" t="s">
        <v>286</v>
      </c>
      <c r="C107" s="173"/>
      <c r="D107" s="173"/>
      <c r="E107" s="191">
        <f t="shared" si="8"/>
        <v>0</v>
      </c>
      <c r="F107" s="173"/>
      <c r="G107" s="191">
        <f t="shared" si="9"/>
        <v>0</v>
      </c>
      <c r="H107" s="250">
        <v>8</v>
      </c>
      <c r="I107" s="252">
        <f t="shared" si="5"/>
        <v>0.125</v>
      </c>
      <c r="J107" s="191">
        <f t="shared" si="6"/>
        <v>0</v>
      </c>
      <c r="K107" s="173"/>
      <c r="L107" s="191">
        <f t="shared" si="7"/>
        <v>0</v>
      </c>
    </row>
    <row r="108" spans="1:12" x14ac:dyDescent="0.2">
      <c r="A108" s="1484">
        <v>1931</v>
      </c>
      <c r="B108" s="180" t="s">
        <v>1425</v>
      </c>
      <c r="C108" s="173">
        <v>94305</v>
      </c>
      <c r="D108" s="173">
        <v>-62876.999999999985</v>
      </c>
      <c r="E108" s="191">
        <f t="shared" si="8"/>
        <v>157182</v>
      </c>
      <c r="F108" s="173">
        <v>21756</v>
      </c>
      <c r="G108" s="191">
        <f t="shared" si="9"/>
        <v>168060</v>
      </c>
      <c r="H108" s="250">
        <v>15</v>
      </c>
      <c r="I108" s="252">
        <f t="shared" si="5"/>
        <v>6.6666666666666666E-2</v>
      </c>
      <c r="J108" s="191">
        <f t="shared" si="6"/>
        <v>11204</v>
      </c>
      <c r="K108" s="173">
        <v>11204</v>
      </c>
      <c r="L108" s="191">
        <f t="shared" si="7"/>
        <v>0</v>
      </c>
    </row>
    <row r="109" spans="1:12" x14ac:dyDescent="0.2">
      <c r="A109" s="1484">
        <v>1932</v>
      </c>
      <c r="B109" s="180" t="s">
        <v>1426</v>
      </c>
      <c r="C109" s="173">
        <v>172379</v>
      </c>
      <c r="D109" s="173">
        <v>-259957.00000000003</v>
      </c>
      <c r="E109" s="191">
        <f t="shared" si="8"/>
        <v>432336</v>
      </c>
      <c r="F109" s="173">
        <v>-1200</v>
      </c>
      <c r="G109" s="191">
        <f t="shared" si="9"/>
        <v>431736</v>
      </c>
      <c r="H109" s="250">
        <v>8</v>
      </c>
      <c r="I109" s="252">
        <f t="shared" si="5"/>
        <v>0.125</v>
      </c>
      <c r="J109" s="191">
        <f t="shared" si="6"/>
        <v>53967</v>
      </c>
      <c r="K109" s="173">
        <v>53967</v>
      </c>
      <c r="L109" s="191">
        <f t="shared" si="7"/>
        <v>0</v>
      </c>
    </row>
    <row r="110" spans="1:12" x14ac:dyDescent="0.2">
      <c r="A110" s="1484">
        <v>1933</v>
      </c>
      <c r="B110" s="180" t="s">
        <v>1403</v>
      </c>
      <c r="C110" s="173"/>
      <c r="D110" s="173"/>
      <c r="E110" s="191">
        <f t="shared" si="8"/>
        <v>0</v>
      </c>
      <c r="F110" s="173">
        <v>70712</v>
      </c>
      <c r="G110" s="191">
        <f t="shared" si="9"/>
        <v>35356</v>
      </c>
      <c r="H110" s="250">
        <v>10</v>
      </c>
      <c r="I110" s="252">
        <f t="shared" si="5"/>
        <v>0.1</v>
      </c>
      <c r="J110" s="191">
        <f t="shared" si="6"/>
        <v>3535.6</v>
      </c>
      <c r="K110" s="173">
        <v>3536</v>
      </c>
      <c r="L110" s="191">
        <f t="shared" si="7"/>
        <v>-0.40000000000009095</v>
      </c>
    </row>
    <row r="111" spans="1:12" x14ac:dyDescent="0.2">
      <c r="A111" s="1484">
        <v>1935</v>
      </c>
      <c r="B111" s="180" t="s">
        <v>287</v>
      </c>
      <c r="C111" s="173"/>
      <c r="D111" s="173"/>
      <c r="E111" s="191">
        <f t="shared" si="8"/>
        <v>0</v>
      </c>
      <c r="F111" s="173"/>
      <c r="G111" s="191">
        <f t="shared" si="9"/>
        <v>0</v>
      </c>
      <c r="H111" s="250"/>
      <c r="I111" s="252">
        <f t="shared" si="5"/>
        <v>0</v>
      </c>
      <c r="J111" s="191">
        <f t="shared" si="6"/>
        <v>0</v>
      </c>
      <c r="K111" s="173"/>
      <c r="L111" s="191">
        <f t="shared" si="7"/>
        <v>0</v>
      </c>
    </row>
    <row r="112" spans="1:12" x14ac:dyDescent="0.2">
      <c r="A112" s="1484">
        <v>1940</v>
      </c>
      <c r="B112" s="180" t="s">
        <v>288</v>
      </c>
      <c r="C112" s="173">
        <v>380913</v>
      </c>
      <c r="D112" s="173">
        <v>262251</v>
      </c>
      <c r="E112" s="191">
        <f t="shared" si="8"/>
        <v>118662</v>
      </c>
      <c r="F112" s="173">
        <v>916</v>
      </c>
      <c r="G112" s="191">
        <f t="shared" si="9"/>
        <v>119120</v>
      </c>
      <c r="H112" s="250">
        <v>10</v>
      </c>
      <c r="I112" s="252">
        <f t="shared" si="5"/>
        <v>0.1</v>
      </c>
      <c r="J112" s="191">
        <f t="shared" si="6"/>
        <v>11912</v>
      </c>
      <c r="K112" s="173">
        <v>11912</v>
      </c>
      <c r="L112" s="191">
        <f t="shared" si="7"/>
        <v>0</v>
      </c>
    </row>
    <row r="113" spans="1:12" x14ac:dyDescent="0.2">
      <c r="A113" s="1484">
        <v>1945</v>
      </c>
      <c r="B113" s="180" t="s">
        <v>289</v>
      </c>
      <c r="C113" s="173"/>
      <c r="D113" s="173"/>
      <c r="E113" s="191">
        <f t="shared" si="8"/>
        <v>0</v>
      </c>
      <c r="F113" s="173"/>
      <c r="G113" s="191">
        <f t="shared" si="9"/>
        <v>0</v>
      </c>
      <c r="H113" s="250"/>
      <c r="I113" s="252">
        <f t="shared" si="5"/>
        <v>0</v>
      </c>
      <c r="J113" s="191">
        <f t="shared" si="6"/>
        <v>0</v>
      </c>
      <c r="K113" s="173"/>
      <c r="L113" s="191">
        <f t="shared" si="7"/>
        <v>0</v>
      </c>
    </row>
    <row r="114" spans="1:12" x14ac:dyDescent="0.2">
      <c r="A114" s="1484">
        <v>1950</v>
      </c>
      <c r="B114" s="180" t="s">
        <v>218</v>
      </c>
      <c r="C114" s="173"/>
      <c r="D114" s="173"/>
      <c r="E114" s="191">
        <f t="shared" si="8"/>
        <v>0</v>
      </c>
      <c r="F114" s="173"/>
      <c r="G114" s="191">
        <f t="shared" si="9"/>
        <v>0</v>
      </c>
      <c r="H114" s="250"/>
      <c r="I114" s="252">
        <f t="shared" si="5"/>
        <v>0</v>
      </c>
      <c r="J114" s="191">
        <f t="shared" si="6"/>
        <v>0</v>
      </c>
      <c r="K114" s="173"/>
      <c r="L114" s="191">
        <f t="shared" si="7"/>
        <v>0</v>
      </c>
    </row>
    <row r="115" spans="1:12" x14ac:dyDescent="0.2">
      <c r="A115" s="1484">
        <v>1955</v>
      </c>
      <c r="B115" s="180" t="s">
        <v>290</v>
      </c>
      <c r="C115" s="173">
        <v>36106</v>
      </c>
      <c r="D115" s="173">
        <v>21776</v>
      </c>
      <c r="E115" s="191">
        <f t="shared" si="8"/>
        <v>14330</v>
      </c>
      <c r="F115" s="173">
        <v>40</v>
      </c>
      <c r="G115" s="191">
        <f t="shared" si="9"/>
        <v>14350</v>
      </c>
      <c r="H115" s="250">
        <v>10</v>
      </c>
      <c r="I115" s="252">
        <f t="shared" si="5"/>
        <v>0.1</v>
      </c>
      <c r="J115" s="191">
        <f t="shared" si="6"/>
        <v>1435</v>
      </c>
      <c r="K115" s="173">
        <v>1435</v>
      </c>
      <c r="L115" s="191">
        <f t="shared" si="7"/>
        <v>0</v>
      </c>
    </row>
    <row r="116" spans="1:12" x14ac:dyDescent="0.2">
      <c r="A116" s="255">
        <v>1955</v>
      </c>
      <c r="B116" s="184" t="s">
        <v>219</v>
      </c>
      <c r="C116" s="173"/>
      <c r="D116" s="173"/>
      <c r="E116" s="191">
        <f t="shared" si="8"/>
        <v>0</v>
      </c>
      <c r="F116" s="173"/>
      <c r="G116" s="191">
        <f t="shared" si="9"/>
        <v>0</v>
      </c>
      <c r="H116" s="250"/>
      <c r="I116" s="252">
        <f t="shared" si="5"/>
        <v>0</v>
      </c>
      <c r="J116" s="191">
        <f t="shared" si="6"/>
        <v>0</v>
      </c>
      <c r="K116" s="173"/>
      <c r="L116" s="191">
        <f t="shared" si="7"/>
        <v>0</v>
      </c>
    </row>
    <row r="117" spans="1:12" x14ac:dyDescent="0.2">
      <c r="A117" s="254">
        <v>1960</v>
      </c>
      <c r="B117" s="172" t="s">
        <v>220</v>
      </c>
      <c r="C117" s="173"/>
      <c r="D117" s="173"/>
      <c r="E117" s="191">
        <f t="shared" si="8"/>
        <v>0</v>
      </c>
      <c r="F117" s="173"/>
      <c r="G117" s="191">
        <f t="shared" si="9"/>
        <v>0</v>
      </c>
      <c r="H117" s="250"/>
      <c r="I117" s="252">
        <f t="shared" si="5"/>
        <v>0</v>
      </c>
      <c r="J117" s="191">
        <f t="shared" si="6"/>
        <v>0</v>
      </c>
      <c r="K117" s="173"/>
      <c r="L117" s="191">
        <f t="shared" si="7"/>
        <v>0</v>
      </c>
    </row>
    <row r="118" spans="1:12" x14ac:dyDescent="0.2">
      <c r="A118" s="254">
        <v>1970</v>
      </c>
      <c r="B118" s="1482" t="s">
        <v>535</v>
      </c>
      <c r="C118" s="173"/>
      <c r="D118" s="173"/>
      <c r="E118" s="191">
        <f t="shared" si="8"/>
        <v>0</v>
      </c>
      <c r="F118" s="173"/>
      <c r="G118" s="191">
        <f t="shared" si="9"/>
        <v>0</v>
      </c>
      <c r="H118" s="250"/>
      <c r="I118" s="252">
        <f t="shared" si="5"/>
        <v>0</v>
      </c>
      <c r="J118" s="191">
        <f t="shared" si="6"/>
        <v>0</v>
      </c>
      <c r="K118" s="173"/>
      <c r="L118" s="191">
        <f t="shared" si="7"/>
        <v>0</v>
      </c>
    </row>
    <row r="119" spans="1:12" x14ac:dyDescent="0.2">
      <c r="A119" s="1484">
        <v>1975</v>
      </c>
      <c r="B119" s="180" t="s">
        <v>291</v>
      </c>
      <c r="C119" s="173"/>
      <c r="D119" s="173"/>
      <c r="E119" s="191">
        <f t="shared" si="8"/>
        <v>0</v>
      </c>
      <c r="F119" s="173"/>
      <c r="G119" s="191">
        <f t="shared" si="9"/>
        <v>0</v>
      </c>
      <c r="H119" s="250"/>
      <c r="I119" s="252">
        <f t="shared" si="5"/>
        <v>0</v>
      </c>
      <c r="J119" s="191">
        <f t="shared" si="6"/>
        <v>0</v>
      </c>
      <c r="K119" s="173"/>
      <c r="L119" s="191">
        <f t="shared" si="7"/>
        <v>0</v>
      </c>
    </row>
    <row r="120" spans="1:12" x14ac:dyDescent="0.2">
      <c r="A120" s="1484">
        <v>1980</v>
      </c>
      <c r="B120" s="180" t="s">
        <v>292</v>
      </c>
      <c r="C120" s="173"/>
      <c r="D120" s="173"/>
      <c r="E120" s="191">
        <f t="shared" si="8"/>
        <v>0</v>
      </c>
      <c r="F120" s="173"/>
      <c r="G120" s="191">
        <f t="shared" si="9"/>
        <v>0</v>
      </c>
      <c r="H120" s="250"/>
      <c r="I120" s="252">
        <f t="shared" si="5"/>
        <v>0</v>
      </c>
      <c r="J120" s="191">
        <f t="shared" si="6"/>
        <v>0</v>
      </c>
      <c r="K120" s="173"/>
      <c r="L120" s="191">
        <f t="shared" si="7"/>
        <v>0</v>
      </c>
    </row>
    <row r="121" spans="1:12" x14ac:dyDescent="0.2">
      <c r="A121" s="1484">
        <v>1985</v>
      </c>
      <c r="B121" s="180" t="s">
        <v>1428</v>
      </c>
      <c r="C121" s="173">
        <v>15</v>
      </c>
      <c r="D121" s="173">
        <v>15</v>
      </c>
      <c r="E121" s="191">
        <f t="shared" si="8"/>
        <v>0</v>
      </c>
      <c r="F121" s="173"/>
      <c r="G121" s="191">
        <f t="shared" si="9"/>
        <v>0</v>
      </c>
      <c r="H121" s="250">
        <v>10</v>
      </c>
      <c r="I121" s="252">
        <f t="shared" si="5"/>
        <v>0.1</v>
      </c>
      <c r="J121" s="191">
        <f t="shared" si="6"/>
        <v>0</v>
      </c>
      <c r="K121" s="173"/>
      <c r="L121" s="191">
        <f t="shared" si="7"/>
        <v>0</v>
      </c>
    </row>
    <row r="122" spans="1:12" x14ac:dyDescent="0.2">
      <c r="A122" s="1484">
        <v>1990</v>
      </c>
      <c r="B122" s="1483" t="s">
        <v>502</v>
      </c>
      <c r="C122" s="173"/>
      <c r="D122" s="173"/>
      <c r="E122" s="191">
        <f t="shared" si="8"/>
        <v>0</v>
      </c>
      <c r="F122" s="173"/>
      <c r="G122" s="191">
        <f t="shared" si="9"/>
        <v>0</v>
      </c>
      <c r="H122" s="250"/>
      <c r="I122" s="252">
        <f t="shared" si="5"/>
        <v>0</v>
      </c>
      <c r="J122" s="191">
        <f t="shared" si="6"/>
        <v>0</v>
      </c>
      <c r="K122" s="173"/>
      <c r="L122" s="191">
        <f t="shared" si="7"/>
        <v>0</v>
      </c>
    </row>
    <row r="123" spans="1:12" ht="13.5" thickBot="1" x14ac:dyDescent="0.25">
      <c r="A123" s="1484">
        <v>1995</v>
      </c>
      <c r="B123" s="180" t="s">
        <v>294</v>
      </c>
      <c r="C123" s="257">
        <v>-5492391</v>
      </c>
      <c r="D123" s="257">
        <v>38797.999999999476</v>
      </c>
      <c r="E123" s="285">
        <f t="shared" si="8"/>
        <v>-5531188.9999999991</v>
      </c>
      <c r="F123" s="257">
        <v>-603122</v>
      </c>
      <c r="G123" s="285">
        <f t="shared" si="9"/>
        <v>-5832749.9999999991</v>
      </c>
      <c r="H123" s="259">
        <v>25</v>
      </c>
      <c r="I123" s="260">
        <f t="shared" si="5"/>
        <v>0.04</v>
      </c>
      <c r="J123" s="285">
        <f t="shared" si="6"/>
        <v>-233309.99999999997</v>
      </c>
      <c r="K123" s="257">
        <v>-233310</v>
      </c>
      <c r="L123" s="285">
        <f t="shared" si="7"/>
        <v>2.9103830456733704E-11</v>
      </c>
    </row>
    <row r="124" spans="1:12" ht="14.25" thickTop="1" thickBot="1" x14ac:dyDescent="0.25">
      <c r="A124" s="261"/>
      <c r="B124" s="262" t="s">
        <v>295</v>
      </c>
      <c r="C124" s="263">
        <f>SUM(C77:C123)</f>
        <v>22441325</v>
      </c>
      <c r="D124" s="263">
        <f>SUM(D77:D123)</f>
        <v>11827835</v>
      </c>
      <c r="E124" s="263">
        <f>SUM(E77:E123)</f>
        <v>10613490</v>
      </c>
      <c r="F124" s="263">
        <f>SUM(F77:F123)</f>
        <v>381856</v>
      </c>
      <c r="G124" s="263">
        <f>SUM(G77:G123)</f>
        <v>10804418</v>
      </c>
      <c r="H124" s="330"/>
      <c r="I124" s="266"/>
      <c r="J124" s="263">
        <f>SUM(J77:J123)</f>
        <v>352695.79999999993</v>
      </c>
      <c r="K124" s="263">
        <f>SUM(K77:K123)</f>
        <v>352696</v>
      </c>
      <c r="L124" s="263">
        <f>SUM(L77:L123)</f>
        <v>-0.19999999997291695</v>
      </c>
    </row>
    <row r="125" spans="1:12" x14ac:dyDescent="0.2">
      <c r="A125" s="289"/>
      <c r="B125" s="1707" t="s">
        <v>1078</v>
      </c>
      <c r="C125" s="1707"/>
      <c r="D125" s="1707"/>
      <c r="E125" s="1707"/>
      <c r="F125" s="1707"/>
      <c r="G125" s="1707"/>
      <c r="H125" s="1707"/>
      <c r="I125" s="1708"/>
      <c r="J125" s="173"/>
      <c r="K125" s="291"/>
      <c r="L125" s="291"/>
    </row>
    <row r="126" spans="1:12" x14ac:dyDescent="0.2">
      <c r="A126" s="289"/>
      <c r="B126" s="290" t="s">
        <v>937</v>
      </c>
      <c r="C126" s="312"/>
      <c r="D126" s="312"/>
      <c r="E126" s="312"/>
      <c r="F126" s="291"/>
      <c r="G126" s="291"/>
      <c r="H126" s="293"/>
      <c r="I126" s="312"/>
      <c r="J126" s="191">
        <f>SUM(J124:J125)</f>
        <v>352695.79999999993</v>
      </c>
      <c r="K126" s="291"/>
      <c r="L126" s="291"/>
    </row>
    <row r="127" spans="1:12" x14ac:dyDescent="0.2">
      <c r="A127" s="289"/>
      <c r="B127" s="290"/>
      <c r="C127" s="312"/>
      <c r="D127" s="312"/>
      <c r="E127" s="312"/>
      <c r="F127" s="291"/>
      <c r="G127" s="291"/>
      <c r="H127" s="293"/>
      <c r="I127" s="312"/>
      <c r="J127" s="291"/>
      <c r="K127" s="291"/>
      <c r="L127" s="291"/>
    </row>
    <row r="128" spans="1:12" x14ac:dyDescent="0.2">
      <c r="A128" s="289"/>
      <c r="B128" s="290"/>
      <c r="C128" s="312"/>
      <c r="D128" s="312"/>
      <c r="E128" s="312"/>
      <c r="F128" s="291"/>
      <c r="G128" s="291"/>
      <c r="H128" s="293"/>
      <c r="I128" s="312"/>
      <c r="J128" s="291"/>
      <c r="K128" s="291"/>
      <c r="L128" s="291"/>
    </row>
    <row r="129" spans="1:12" x14ac:dyDescent="0.2">
      <c r="B129" s="1113"/>
      <c r="C129" s="1136"/>
      <c r="D129" s="1136" t="s">
        <v>882</v>
      </c>
      <c r="E129" s="48" t="s">
        <v>105</v>
      </c>
      <c r="F129" s="1113"/>
      <c r="G129" s="1138"/>
      <c r="H129" s="1113"/>
      <c r="I129" s="1113"/>
      <c r="J129" s="1113"/>
      <c r="K129" s="1113"/>
      <c r="L129" s="295"/>
    </row>
    <row r="130" spans="1:12" ht="18" x14ac:dyDescent="0.25">
      <c r="A130" s="1481"/>
      <c r="B130" s="1481"/>
      <c r="C130" s="1136"/>
      <c r="D130" s="1136" t="s">
        <v>102</v>
      </c>
      <c r="E130" s="1137">
        <v>2015</v>
      </c>
      <c r="H130" s="1481"/>
      <c r="I130" s="1481"/>
      <c r="J130" s="1481"/>
    </row>
    <row r="131" spans="1:12" ht="13.5" thickBot="1" x14ac:dyDescent="0.25"/>
    <row r="132" spans="1:12" ht="51" x14ac:dyDescent="0.2">
      <c r="A132" s="1685" t="s">
        <v>3</v>
      </c>
      <c r="B132" s="1687" t="s">
        <v>235</v>
      </c>
      <c r="C132" s="245" t="s">
        <v>1043</v>
      </c>
      <c r="D132" s="245" t="s">
        <v>476</v>
      </c>
      <c r="E132" s="245" t="s">
        <v>477</v>
      </c>
      <c r="F132" s="245" t="s">
        <v>237</v>
      </c>
      <c r="G132" s="245" t="s">
        <v>1073</v>
      </c>
      <c r="H132" s="245" t="s">
        <v>6</v>
      </c>
      <c r="I132" s="245" t="s">
        <v>298</v>
      </c>
      <c r="J132" s="277" t="s">
        <v>1082</v>
      </c>
      <c r="K132" s="1697" t="s">
        <v>1062</v>
      </c>
      <c r="L132" s="277" t="s">
        <v>1074</v>
      </c>
    </row>
    <row r="133" spans="1:12" x14ac:dyDescent="0.2">
      <c r="A133" s="1686"/>
      <c r="B133" s="1688"/>
      <c r="C133" s="249" t="s">
        <v>4</v>
      </c>
      <c r="D133" s="249" t="s">
        <v>478</v>
      </c>
      <c r="E133" s="249" t="s">
        <v>479</v>
      </c>
      <c r="F133" s="249" t="s">
        <v>5</v>
      </c>
      <c r="G133" s="328" t="s">
        <v>997</v>
      </c>
      <c r="H133" s="249" t="s">
        <v>7</v>
      </c>
      <c r="I133" s="249" t="s">
        <v>8</v>
      </c>
      <c r="J133" s="329" t="s">
        <v>9</v>
      </c>
      <c r="K133" s="1711"/>
      <c r="L133" s="329" t="s">
        <v>382</v>
      </c>
    </row>
    <row r="134" spans="1:12" ht="25.5" x14ac:dyDescent="0.2">
      <c r="A134" s="1484">
        <v>1611</v>
      </c>
      <c r="B134" s="172" t="s">
        <v>381</v>
      </c>
      <c r="C134" s="173">
        <v>257050</v>
      </c>
      <c r="D134" s="173">
        <v>239280.5</v>
      </c>
      <c r="E134" s="191">
        <f>C134-D134</f>
        <v>17769.5</v>
      </c>
      <c r="F134" s="173">
        <v>2201</v>
      </c>
      <c r="G134" s="191">
        <f>E134+0.5*F134</f>
        <v>18870</v>
      </c>
      <c r="H134" s="250">
        <v>5</v>
      </c>
      <c r="I134" s="251">
        <f t="shared" ref="I134:I180" si="10">IF(H134=0,0,1/H134)</f>
        <v>0.2</v>
      </c>
      <c r="J134" s="191">
        <f t="shared" ref="J134:J180" si="11">IF(H134=0,0,G134/H134)</f>
        <v>3774</v>
      </c>
      <c r="K134" s="173">
        <v>3774</v>
      </c>
      <c r="L134" s="191">
        <f t="shared" ref="L134:L180" si="12">IF(ISERROR(+J134-K134), 0, +J134-K134)</f>
        <v>0</v>
      </c>
    </row>
    <row r="135" spans="1:12" x14ac:dyDescent="0.2">
      <c r="A135" s="1484">
        <v>1612</v>
      </c>
      <c r="B135" s="172" t="s">
        <v>442</v>
      </c>
      <c r="C135" s="173">
        <v>2945</v>
      </c>
      <c r="D135" s="173">
        <v>2945</v>
      </c>
      <c r="E135" s="191">
        <f t="shared" ref="E135:E180" si="13">C135-D135</f>
        <v>0</v>
      </c>
      <c r="F135" s="173"/>
      <c r="G135" s="191">
        <f t="shared" ref="G135:G180" si="14">E135+0.5*F135</f>
        <v>0</v>
      </c>
      <c r="H135" s="250">
        <v>5</v>
      </c>
      <c r="I135" s="252">
        <f t="shared" si="10"/>
        <v>0.2</v>
      </c>
      <c r="J135" s="191">
        <f t="shared" si="11"/>
        <v>0</v>
      </c>
      <c r="K135" s="173"/>
      <c r="L135" s="191">
        <f t="shared" si="12"/>
        <v>0</v>
      </c>
    </row>
    <row r="136" spans="1:12" x14ac:dyDescent="0.2">
      <c r="A136" s="253">
        <v>1805</v>
      </c>
      <c r="B136" s="179" t="s">
        <v>267</v>
      </c>
      <c r="C136" s="173">
        <v>2112</v>
      </c>
      <c r="D136" s="173">
        <v>0</v>
      </c>
      <c r="E136" s="191">
        <f t="shared" si="13"/>
        <v>2112</v>
      </c>
      <c r="F136" s="173"/>
      <c r="G136" s="191">
        <f t="shared" si="14"/>
        <v>2112</v>
      </c>
      <c r="H136" s="250"/>
      <c r="I136" s="252">
        <f t="shared" si="10"/>
        <v>0</v>
      </c>
      <c r="J136" s="191">
        <f t="shared" si="11"/>
        <v>0</v>
      </c>
      <c r="K136" s="173"/>
      <c r="L136" s="191">
        <f t="shared" si="12"/>
        <v>0</v>
      </c>
    </row>
    <row r="137" spans="1:12" x14ac:dyDescent="0.2">
      <c r="A137" s="1484">
        <v>1808</v>
      </c>
      <c r="B137" s="180" t="s">
        <v>268</v>
      </c>
      <c r="C137" s="173"/>
      <c r="D137" s="173"/>
      <c r="E137" s="191">
        <f t="shared" si="13"/>
        <v>0</v>
      </c>
      <c r="F137" s="173"/>
      <c r="G137" s="191">
        <f t="shared" si="14"/>
        <v>0</v>
      </c>
      <c r="H137" s="250"/>
      <c r="I137" s="252">
        <f t="shared" si="10"/>
        <v>0</v>
      </c>
      <c r="J137" s="191">
        <f t="shared" si="11"/>
        <v>0</v>
      </c>
      <c r="K137" s="173"/>
      <c r="L137" s="191">
        <f t="shared" si="12"/>
        <v>0</v>
      </c>
    </row>
    <row r="138" spans="1:12" x14ac:dyDescent="0.2">
      <c r="A138" s="1484">
        <v>1810</v>
      </c>
      <c r="B138" s="180" t="s">
        <v>299</v>
      </c>
      <c r="C138" s="173"/>
      <c r="D138" s="173"/>
      <c r="E138" s="191">
        <f t="shared" si="13"/>
        <v>0</v>
      </c>
      <c r="F138" s="173"/>
      <c r="G138" s="191">
        <f t="shared" si="14"/>
        <v>0</v>
      </c>
      <c r="H138" s="250"/>
      <c r="I138" s="252">
        <f t="shared" si="10"/>
        <v>0</v>
      </c>
      <c r="J138" s="191">
        <f t="shared" si="11"/>
        <v>0</v>
      </c>
      <c r="K138" s="173"/>
      <c r="L138" s="191">
        <f t="shared" si="12"/>
        <v>0</v>
      </c>
    </row>
    <row r="139" spans="1:12" x14ac:dyDescent="0.2">
      <c r="A139" s="1484">
        <v>1815</v>
      </c>
      <c r="B139" s="180" t="s">
        <v>269</v>
      </c>
      <c r="C139" s="173"/>
      <c r="D139" s="173"/>
      <c r="E139" s="191">
        <f t="shared" si="13"/>
        <v>0</v>
      </c>
      <c r="F139" s="173"/>
      <c r="G139" s="191">
        <f t="shared" si="14"/>
        <v>0</v>
      </c>
      <c r="H139" s="250"/>
      <c r="I139" s="252">
        <f t="shared" si="10"/>
        <v>0</v>
      </c>
      <c r="J139" s="191">
        <f t="shared" si="11"/>
        <v>0</v>
      </c>
      <c r="K139" s="173"/>
      <c r="L139" s="191">
        <f t="shared" si="12"/>
        <v>0</v>
      </c>
    </row>
    <row r="140" spans="1:12" x14ac:dyDescent="0.2">
      <c r="A140" s="1484">
        <v>1820</v>
      </c>
      <c r="B140" s="172" t="s">
        <v>207</v>
      </c>
      <c r="C140" s="173">
        <v>142098</v>
      </c>
      <c r="D140" s="173">
        <v>140238</v>
      </c>
      <c r="E140" s="191">
        <f t="shared" si="13"/>
        <v>1860</v>
      </c>
      <c r="F140" s="173"/>
      <c r="G140" s="191">
        <f t="shared" si="14"/>
        <v>1860</v>
      </c>
      <c r="H140" s="250">
        <v>30</v>
      </c>
      <c r="I140" s="252">
        <f t="shared" si="10"/>
        <v>3.3333333333333333E-2</v>
      </c>
      <c r="J140" s="191">
        <f t="shared" si="11"/>
        <v>62</v>
      </c>
      <c r="K140" s="173">
        <v>62</v>
      </c>
      <c r="L140" s="191">
        <f t="shared" si="12"/>
        <v>0</v>
      </c>
    </row>
    <row r="141" spans="1:12" x14ac:dyDescent="0.2">
      <c r="A141" s="1484">
        <v>1825</v>
      </c>
      <c r="B141" s="180" t="s">
        <v>270</v>
      </c>
      <c r="C141" s="173"/>
      <c r="D141" s="173"/>
      <c r="E141" s="191">
        <f t="shared" si="13"/>
        <v>0</v>
      </c>
      <c r="F141" s="173"/>
      <c r="G141" s="191">
        <f t="shared" si="14"/>
        <v>0</v>
      </c>
      <c r="H141" s="250"/>
      <c r="I141" s="252">
        <f t="shared" si="10"/>
        <v>0</v>
      </c>
      <c r="J141" s="191">
        <f t="shared" si="11"/>
        <v>0</v>
      </c>
      <c r="K141" s="173"/>
      <c r="L141" s="191">
        <f t="shared" si="12"/>
        <v>0</v>
      </c>
    </row>
    <row r="142" spans="1:12" x14ac:dyDescent="0.2">
      <c r="A142" s="1484">
        <v>1830</v>
      </c>
      <c r="B142" s="180" t="s">
        <v>271</v>
      </c>
      <c r="C142" s="173">
        <v>1034672</v>
      </c>
      <c r="D142" s="173">
        <v>114522.99999999983</v>
      </c>
      <c r="E142" s="191">
        <f t="shared" si="13"/>
        <v>920149.00000000023</v>
      </c>
      <c r="F142" s="173">
        <v>52492</v>
      </c>
      <c r="G142" s="191">
        <f t="shared" si="14"/>
        <v>946395.00000000023</v>
      </c>
      <c r="H142" s="250">
        <v>45</v>
      </c>
      <c r="I142" s="252">
        <f t="shared" si="10"/>
        <v>2.2222222222222223E-2</v>
      </c>
      <c r="J142" s="191">
        <f t="shared" si="11"/>
        <v>21031.000000000004</v>
      </c>
      <c r="K142" s="173">
        <v>21031</v>
      </c>
      <c r="L142" s="191">
        <f t="shared" si="12"/>
        <v>3.637978807091713E-12</v>
      </c>
    </row>
    <row r="143" spans="1:12" x14ac:dyDescent="0.2">
      <c r="A143" s="1484">
        <v>1835</v>
      </c>
      <c r="B143" s="180" t="s">
        <v>208</v>
      </c>
      <c r="C143" s="173">
        <v>6474239</v>
      </c>
      <c r="D143" s="173">
        <v>4236734.4999999981</v>
      </c>
      <c r="E143" s="191">
        <f t="shared" si="13"/>
        <v>2237504.5000000019</v>
      </c>
      <c r="F143" s="173">
        <v>27991</v>
      </c>
      <c r="G143" s="191">
        <f t="shared" si="14"/>
        <v>2251500.0000000019</v>
      </c>
      <c r="H143" s="250">
        <v>60</v>
      </c>
      <c r="I143" s="252">
        <f t="shared" si="10"/>
        <v>1.6666666666666666E-2</v>
      </c>
      <c r="J143" s="191">
        <f t="shared" si="11"/>
        <v>37525.000000000029</v>
      </c>
      <c r="K143" s="173">
        <v>37525</v>
      </c>
      <c r="L143" s="191">
        <f t="shared" si="12"/>
        <v>2.9103830456733704E-11</v>
      </c>
    </row>
    <row r="144" spans="1:12" x14ac:dyDescent="0.2">
      <c r="A144" s="1484">
        <v>1840</v>
      </c>
      <c r="B144" s="180" t="s">
        <v>209</v>
      </c>
      <c r="C144" s="173">
        <v>1953364</v>
      </c>
      <c r="D144" s="173">
        <v>132195.99999999994</v>
      </c>
      <c r="E144" s="191">
        <f t="shared" si="13"/>
        <v>1821168</v>
      </c>
      <c r="F144" s="173">
        <v>263064</v>
      </c>
      <c r="G144" s="191">
        <f t="shared" si="14"/>
        <v>1952700</v>
      </c>
      <c r="H144" s="250">
        <v>50</v>
      </c>
      <c r="I144" s="252">
        <f t="shared" si="10"/>
        <v>0.02</v>
      </c>
      <c r="J144" s="191">
        <f t="shared" si="11"/>
        <v>39054</v>
      </c>
      <c r="K144" s="173">
        <v>39054</v>
      </c>
      <c r="L144" s="191">
        <f t="shared" si="12"/>
        <v>0</v>
      </c>
    </row>
    <row r="145" spans="1:12" x14ac:dyDescent="0.2">
      <c r="A145" s="1484">
        <v>1845</v>
      </c>
      <c r="B145" s="180" t="s">
        <v>210</v>
      </c>
      <c r="C145" s="173">
        <v>8197561</v>
      </c>
      <c r="D145" s="173">
        <v>3978838</v>
      </c>
      <c r="E145" s="191">
        <f t="shared" si="13"/>
        <v>4218723</v>
      </c>
      <c r="F145" s="173">
        <v>126314</v>
      </c>
      <c r="G145" s="191">
        <f t="shared" si="14"/>
        <v>4281880</v>
      </c>
      <c r="H145" s="250">
        <v>40</v>
      </c>
      <c r="I145" s="252">
        <f t="shared" si="10"/>
        <v>2.5000000000000001E-2</v>
      </c>
      <c r="J145" s="191">
        <f t="shared" si="11"/>
        <v>107047</v>
      </c>
      <c r="K145" s="173">
        <v>107047</v>
      </c>
      <c r="L145" s="191">
        <f t="shared" si="12"/>
        <v>0</v>
      </c>
    </row>
    <row r="146" spans="1:12" x14ac:dyDescent="0.2">
      <c r="A146" s="1484">
        <v>1850</v>
      </c>
      <c r="B146" s="180" t="s">
        <v>272</v>
      </c>
      <c r="C146" s="173">
        <v>6083306</v>
      </c>
      <c r="D146" s="173">
        <v>2925047</v>
      </c>
      <c r="E146" s="191">
        <f t="shared" si="13"/>
        <v>3158259</v>
      </c>
      <c r="F146" s="173">
        <v>305722</v>
      </c>
      <c r="G146" s="191">
        <f t="shared" si="14"/>
        <v>3311120</v>
      </c>
      <c r="H146" s="250">
        <v>40</v>
      </c>
      <c r="I146" s="252">
        <f t="shared" si="10"/>
        <v>2.5000000000000001E-2</v>
      </c>
      <c r="J146" s="191">
        <f t="shared" si="11"/>
        <v>82778</v>
      </c>
      <c r="K146" s="173">
        <v>82778</v>
      </c>
      <c r="L146" s="191">
        <f t="shared" si="12"/>
        <v>0</v>
      </c>
    </row>
    <row r="147" spans="1:12" x14ac:dyDescent="0.2">
      <c r="A147" s="1484">
        <v>1851</v>
      </c>
      <c r="B147" s="180" t="s">
        <v>1416</v>
      </c>
      <c r="C147" s="173">
        <v>4448</v>
      </c>
      <c r="D147" s="173">
        <v>1.5000000000007461</v>
      </c>
      <c r="E147" s="191">
        <f t="shared" si="13"/>
        <v>4446.4999999999991</v>
      </c>
      <c r="F147" s="173">
        <v>4067</v>
      </c>
      <c r="G147" s="191">
        <f t="shared" si="14"/>
        <v>6479.9999999999991</v>
      </c>
      <c r="H147" s="250">
        <v>20</v>
      </c>
      <c r="I147" s="252">
        <f t="shared" si="10"/>
        <v>0.05</v>
      </c>
      <c r="J147" s="191">
        <f t="shared" si="11"/>
        <v>323.99999999999994</v>
      </c>
      <c r="K147" s="173">
        <v>324</v>
      </c>
      <c r="L147" s="191">
        <f t="shared" si="12"/>
        <v>-5.6843418860808015E-14</v>
      </c>
    </row>
    <row r="148" spans="1:12" ht="25.5" x14ac:dyDescent="0.2">
      <c r="A148" s="1484">
        <v>1852</v>
      </c>
      <c r="B148" s="180" t="s">
        <v>1422</v>
      </c>
      <c r="C148" s="173">
        <v>37877</v>
      </c>
      <c r="D148" s="173">
        <v>-10029.000000000002</v>
      </c>
      <c r="E148" s="191">
        <f t="shared" si="13"/>
        <v>47906</v>
      </c>
      <c r="F148" s="173">
        <v>36068</v>
      </c>
      <c r="G148" s="191">
        <f t="shared" si="14"/>
        <v>65940</v>
      </c>
      <c r="H148" s="250">
        <v>60</v>
      </c>
      <c r="I148" s="252">
        <f t="shared" si="10"/>
        <v>1.6666666666666666E-2</v>
      </c>
      <c r="J148" s="191">
        <f t="shared" si="11"/>
        <v>1099</v>
      </c>
      <c r="K148" s="173">
        <v>1099</v>
      </c>
      <c r="L148" s="191">
        <f t="shared" si="12"/>
        <v>0</v>
      </c>
    </row>
    <row r="149" spans="1:12" x14ac:dyDescent="0.2">
      <c r="A149" s="1484">
        <v>1855</v>
      </c>
      <c r="B149" s="180" t="s">
        <v>211</v>
      </c>
      <c r="C149" s="173">
        <v>932126</v>
      </c>
      <c r="D149" s="173">
        <v>-37455.999999999913</v>
      </c>
      <c r="E149" s="191">
        <f t="shared" si="13"/>
        <v>969581.99999999988</v>
      </c>
      <c r="F149" s="173">
        <v>98936</v>
      </c>
      <c r="G149" s="191">
        <f t="shared" si="14"/>
        <v>1019049.9999999999</v>
      </c>
      <c r="H149" s="250">
        <v>25</v>
      </c>
      <c r="I149" s="252">
        <f t="shared" si="10"/>
        <v>0.04</v>
      </c>
      <c r="J149" s="191">
        <f t="shared" si="11"/>
        <v>40761.999999999993</v>
      </c>
      <c r="K149" s="173">
        <v>40762</v>
      </c>
      <c r="L149" s="191">
        <f t="shared" si="12"/>
        <v>-7.2759576141834259E-12</v>
      </c>
    </row>
    <row r="150" spans="1:12" x14ac:dyDescent="0.2">
      <c r="A150" s="1484">
        <v>1860</v>
      </c>
      <c r="B150" s="180" t="s">
        <v>273</v>
      </c>
      <c r="C150" s="173"/>
      <c r="D150" s="173"/>
      <c r="E150" s="191">
        <f t="shared" si="13"/>
        <v>0</v>
      </c>
      <c r="F150" s="173"/>
      <c r="G150" s="191">
        <f t="shared" si="14"/>
        <v>0</v>
      </c>
      <c r="H150" s="250"/>
      <c r="I150" s="252">
        <f t="shared" si="10"/>
        <v>0</v>
      </c>
      <c r="J150" s="191">
        <f t="shared" si="11"/>
        <v>0</v>
      </c>
      <c r="K150" s="173"/>
      <c r="L150" s="191">
        <f t="shared" si="12"/>
        <v>0</v>
      </c>
    </row>
    <row r="151" spans="1:12" ht="25.5" x14ac:dyDescent="0.2">
      <c r="A151" s="1484">
        <v>1861</v>
      </c>
      <c r="B151" s="180" t="s">
        <v>1423</v>
      </c>
      <c r="C151" s="173">
        <v>957985</v>
      </c>
      <c r="D151" s="173">
        <v>-181444.50000000015</v>
      </c>
      <c r="E151" s="191">
        <f t="shared" si="13"/>
        <v>1139429.5000000002</v>
      </c>
      <c r="F151" s="173">
        <v>366021</v>
      </c>
      <c r="G151" s="191">
        <f t="shared" si="14"/>
        <v>1322440.0000000002</v>
      </c>
      <c r="H151" s="250">
        <v>10</v>
      </c>
      <c r="I151" s="252">
        <f t="shared" si="10"/>
        <v>0.1</v>
      </c>
      <c r="J151" s="191">
        <f t="shared" si="11"/>
        <v>132244.00000000003</v>
      </c>
      <c r="K151" s="173">
        <v>132244</v>
      </c>
      <c r="L151" s="191">
        <f t="shared" si="12"/>
        <v>2.9103830456733704E-11</v>
      </c>
    </row>
    <row r="152" spans="1:12" x14ac:dyDescent="0.2">
      <c r="A152" s="1484">
        <v>1862</v>
      </c>
      <c r="B152" s="180" t="s">
        <v>1397</v>
      </c>
      <c r="C152" s="173">
        <v>316808</v>
      </c>
      <c r="D152" s="173">
        <v>-198827.99999999997</v>
      </c>
      <c r="E152" s="191">
        <f t="shared" si="13"/>
        <v>515636</v>
      </c>
      <c r="F152" s="173">
        <v>5768</v>
      </c>
      <c r="G152" s="191">
        <f t="shared" si="14"/>
        <v>518520</v>
      </c>
      <c r="H152" s="250">
        <v>15</v>
      </c>
      <c r="I152" s="252">
        <f t="shared" si="10"/>
        <v>6.6666666666666666E-2</v>
      </c>
      <c r="J152" s="191">
        <f t="shared" si="11"/>
        <v>34568</v>
      </c>
      <c r="K152" s="173">
        <v>34568</v>
      </c>
      <c r="L152" s="191">
        <f t="shared" si="12"/>
        <v>0</v>
      </c>
    </row>
    <row r="153" spans="1:12" x14ac:dyDescent="0.2">
      <c r="A153" s="1484">
        <v>1863</v>
      </c>
      <c r="B153" s="180" t="s">
        <v>1398</v>
      </c>
      <c r="C153" s="173"/>
      <c r="D153" s="173"/>
      <c r="E153" s="191">
        <f t="shared" si="13"/>
        <v>0</v>
      </c>
      <c r="F153" s="173">
        <v>1013</v>
      </c>
      <c r="G153" s="191">
        <f t="shared" si="14"/>
        <v>506.5</v>
      </c>
      <c r="H153" s="250">
        <v>15</v>
      </c>
      <c r="I153" s="252">
        <f t="shared" si="10"/>
        <v>6.6666666666666666E-2</v>
      </c>
      <c r="J153" s="191">
        <f t="shared" si="11"/>
        <v>33.766666666666666</v>
      </c>
      <c r="K153" s="173">
        <v>34</v>
      </c>
      <c r="L153" s="191">
        <f t="shared" si="12"/>
        <v>-0.23333333333333428</v>
      </c>
    </row>
    <row r="154" spans="1:12" x14ac:dyDescent="0.2">
      <c r="A154" s="1484">
        <v>1864</v>
      </c>
      <c r="B154" s="180" t="s">
        <v>1424</v>
      </c>
      <c r="C154" s="173">
        <v>108323</v>
      </c>
      <c r="D154" s="173">
        <v>-22502.500000000015</v>
      </c>
      <c r="E154" s="191">
        <f t="shared" si="13"/>
        <v>130825.50000000001</v>
      </c>
      <c r="F154" s="173">
        <v>909</v>
      </c>
      <c r="G154" s="191">
        <f t="shared" si="14"/>
        <v>131280</v>
      </c>
      <c r="H154" s="250">
        <v>40</v>
      </c>
      <c r="I154" s="252">
        <f t="shared" si="10"/>
        <v>2.5000000000000001E-2</v>
      </c>
      <c r="J154" s="191">
        <f t="shared" si="11"/>
        <v>3282</v>
      </c>
      <c r="K154" s="173">
        <v>3282</v>
      </c>
      <c r="L154" s="191">
        <f t="shared" si="12"/>
        <v>0</v>
      </c>
    </row>
    <row r="155" spans="1:12" x14ac:dyDescent="0.2">
      <c r="A155" s="253">
        <v>1860</v>
      </c>
      <c r="B155" s="179" t="s">
        <v>212</v>
      </c>
      <c r="C155" s="173"/>
      <c r="D155" s="173"/>
      <c r="E155" s="191">
        <f t="shared" si="13"/>
        <v>0</v>
      </c>
      <c r="F155" s="173"/>
      <c r="G155" s="191">
        <f t="shared" si="14"/>
        <v>0</v>
      </c>
      <c r="H155" s="250"/>
      <c r="I155" s="252">
        <f t="shared" si="10"/>
        <v>0</v>
      </c>
      <c r="J155" s="191">
        <f t="shared" si="11"/>
        <v>0</v>
      </c>
      <c r="K155" s="173"/>
      <c r="L155" s="191">
        <f t="shared" si="12"/>
        <v>0</v>
      </c>
    </row>
    <row r="156" spans="1:12" x14ac:dyDescent="0.2">
      <c r="A156" s="253">
        <v>1905</v>
      </c>
      <c r="B156" s="179" t="s">
        <v>267</v>
      </c>
      <c r="C156" s="173">
        <v>171765</v>
      </c>
      <c r="D156" s="173">
        <v>0</v>
      </c>
      <c r="E156" s="191">
        <f t="shared" si="13"/>
        <v>171765</v>
      </c>
      <c r="F156" s="173"/>
      <c r="G156" s="191">
        <f t="shared" si="14"/>
        <v>171765</v>
      </c>
      <c r="H156" s="250"/>
      <c r="I156" s="252">
        <f t="shared" si="10"/>
        <v>0</v>
      </c>
      <c r="J156" s="191">
        <f t="shared" si="11"/>
        <v>0</v>
      </c>
      <c r="K156" s="173"/>
      <c r="L156" s="191">
        <f t="shared" si="12"/>
        <v>0</v>
      </c>
    </row>
    <row r="157" spans="1:12" x14ac:dyDescent="0.2">
      <c r="A157" s="1484">
        <v>1908</v>
      </c>
      <c r="B157" s="180" t="s">
        <v>275</v>
      </c>
      <c r="C157" s="173">
        <v>665207</v>
      </c>
      <c r="D157" s="173">
        <v>-59624.999999999913</v>
      </c>
      <c r="E157" s="191">
        <f t="shared" si="13"/>
        <v>724831.99999999988</v>
      </c>
      <c r="F157" s="173">
        <v>236</v>
      </c>
      <c r="G157" s="191">
        <f t="shared" si="14"/>
        <v>724949.99999999988</v>
      </c>
      <c r="H157" s="250">
        <v>50</v>
      </c>
      <c r="I157" s="252">
        <f t="shared" si="10"/>
        <v>0.02</v>
      </c>
      <c r="J157" s="191">
        <f t="shared" si="11"/>
        <v>14498.999999999998</v>
      </c>
      <c r="K157" s="173">
        <v>14499</v>
      </c>
      <c r="L157" s="191">
        <f t="shared" si="12"/>
        <v>-1.8189894035458565E-12</v>
      </c>
    </row>
    <row r="158" spans="1:12" x14ac:dyDescent="0.2">
      <c r="A158" s="1484">
        <v>1910</v>
      </c>
      <c r="B158" s="180" t="s">
        <v>299</v>
      </c>
      <c r="C158" s="173"/>
      <c r="D158" s="173"/>
      <c r="E158" s="191">
        <f t="shared" si="13"/>
        <v>0</v>
      </c>
      <c r="F158" s="173"/>
      <c r="G158" s="191">
        <f t="shared" si="14"/>
        <v>0</v>
      </c>
      <c r="H158" s="250"/>
      <c r="I158" s="252">
        <f t="shared" si="10"/>
        <v>0</v>
      </c>
      <c r="J158" s="191">
        <f t="shared" si="11"/>
        <v>0</v>
      </c>
      <c r="K158" s="173"/>
      <c r="L158" s="191">
        <f t="shared" si="12"/>
        <v>0</v>
      </c>
    </row>
    <row r="159" spans="1:12" x14ac:dyDescent="0.2">
      <c r="A159" s="1484">
        <v>1915</v>
      </c>
      <c r="B159" s="180" t="s">
        <v>213</v>
      </c>
      <c r="C159" s="173">
        <v>245317</v>
      </c>
      <c r="D159" s="173">
        <v>190694.5</v>
      </c>
      <c r="E159" s="191">
        <f t="shared" si="13"/>
        <v>54622.5</v>
      </c>
      <c r="F159" s="173">
        <v>7675</v>
      </c>
      <c r="G159" s="191">
        <f t="shared" si="14"/>
        <v>58460</v>
      </c>
      <c r="H159" s="250">
        <v>10</v>
      </c>
      <c r="I159" s="252">
        <f t="shared" si="10"/>
        <v>0.1</v>
      </c>
      <c r="J159" s="191">
        <f t="shared" si="11"/>
        <v>5846</v>
      </c>
      <c r="K159" s="173">
        <v>5846</v>
      </c>
      <c r="L159" s="191">
        <f t="shared" si="12"/>
        <v>0</v>
      </c>
    </row>
    <row r="160" spans="1:12" x14ac:dyDescent="0.2">
      <c r="A160" s="1484">
        <v>1915</v>
      </c>
      <c r="B160" s="180" t="s">
        <v>214</v>
      </c>
      <c r="C160" s="173"/>
      <c r="D160" s="173"/>
      <c r="E160" s="191">
        <f t="shared" si="13"/>
        <v>0</v>
      </c>
      <c r="F160" s="173"/>
      <c r="G160" s="191">
        <f t="shared" si="14"/>
        <v>0</v>
      </c>
      <c r="H160" s="250"/>
      <c r="I160" s="252">
        <f t="shared" si="10"/>
        <v>0</v>
      </c>
      <c r="J160" s="191">
        <f t="shared" si="11"/>
        <v>0</v>
      </c>
      <c r="K160" s="173"/>
      <c r="L160" s="191">
        <f t="shared" si="12"/>
        <v>0</v>
      </c>
    </row>
    <row r="161" spans="1:12" x14ac:dyDescent="0.2">
      <c r="A161" s="1484">
        <v>1920</v>
      </c>
      <c r="B161" s="180" t="s">
        <v>215</v>
      </c>
      <c r="C161" s="173">
        <v>379056</v>
      </c>
      <c r="D161" s="173">
        <v>356310.5</v>
      </c>
      <c r="E161" s="191">
        <f t="shared" si="13"/>
        <v>22745.5</v>
      </c>
      <c r="F161" s="173">
        <v>24709</v>
      </c>
      <c r="G161" s="191">
        <f t="shared" si="14"/>
        <v>35100</v>
      </c>
      <c r="H161" s="250">
        <v>5</v>
      </c>
      <c r="I161" s="252">
        <f t="shared" si="10"/>
        <v>0.2</v>
      </c>
      <c r="J161" s="191">
        <f t="shared" si="11"/>
        <v>7020</v>
      </c>
      <c r="K161" s="173">
        <v>7020</v>
      </c>
      <c r="L161" s="191">
        <f t="shared" si="12"/>
        <v>0</v>
      </c>
    </row>
    <row r="162" spans="1:12" x14ac:dyDescent="0.2">
      <c r="A162" s="254">
        <v>1920</v>
      </c>
      <c r="B162" s="172" t="s">
        <v>217</v>
      </c>
      <c r="C162" s="173"/>
      <c r="D162" s="173"/>
      <c r="E162" s="191">
        <f t="shared" si="13"/>
        <v>0</v>
      </c>
      <c r="F162" s="173"/>
      <c r="G162" s="191">
        <f t="shared" si="14"/>
        <v>0</v>
      </c>
      <c r="H162" s="250"/>
      <c r="I162" s="252">
        <f t="shared" si="10"/>
        <v>0</v>
      </c>
      <c r="J162" s="191">
        <f t="shared" si="11"/>
        <v>0</v>
      </c>
      <c r="K162" s="173"/>
      <c r="L162" s="191">
        <f t="shared" si="12"/>
        <v>0</v>
      </c>
    </row>
    <row r="163" spans="1:12" x14ac:dyDescent="0.2">
      <c r="A163" s="254">
        <v>1920</v>
      </c>
      <c r="B163" s="172" t="s">
        <v>216</v>
      </c>
      <c r="C163" s="173"/>
      <c r="D163" s="173"/>
      <c r="E163" s="191">
        <f t="shared" si="13"/>
        <v>0</v>
      </c>
      <c r="F163" s="173"/>
      <c r="G163" s="191">
        <f t="shared" si="14"/>
        <v>0</v>
      </c>
      <c r="H163" s="250"/>
      <c r="I163" s="252">
        <f t="shared" si="10"/>
        <v>0</v>
      </c>
      <c r="J163" s="191">
        <f t="shared" si="11"/>
        <v>0</v>
      </c>
      <c r="K163" s="173"/>
      <c r="L163" s="191">
        <f t="shared" si="12"/>
        <v>0</v>
      </c>
    </row>
    <row r="164" spans="1:12" x14ac:dyDescent="0.2">
      <c r="A164" s="1484">
        <v>1930</v>
      </c>
      <c r="B164" s="180" t="s">
        <v>286</v>
      </c>
      <c r="C164" s="173"/>
      <c r="D164" s="173"/>
      <c r="E164" s="191">
        <f t="shared" si="13"/>
        <v>0</v>
      </c>
      <c r="F164" s="173"/>
      <c r="G164" s="191">
        <f t="shared" si="14"/>
        <v>0</v>
      </c>
      <c r="H164" s="250">
        <v>8</v>
      </c>
      <c r="I164" s="252">
        <f t="shared" si="10"/>
        <v>0.125</v>
      </c>
      <c r="J164" s="191">
        <f t="shared" si="11"/>
        <v>0</v>
      </c>
      <c r="K164" s="173"/>
      <c r="L164" s="191">
        <f t="shared" si="12"/>
        <v>0</v>
      </c>
    </row>
    <row r="165" spans="1:12" x14ac:dyDescent="0.2">
      <c r="A165" s="1484">
        <v>1931</v>
      </c>
      <c r="B165" s="180" t="s">
        <v>1425</v>
      </c>
      <c r="C165" s="173">
        <v>116061</v>
      </c>
      <c r="D165" s="173">
        <v>-62874.000000000015</v>
      </c>
      <c r="E165" s="191">
        <f t="shared" si="13"/>
        <v>178935</v>
      </c>
      <c r="F165" s="173"/>
      <c r="G165" s="191">
        <f t="shared" si="14"/>
        <v>178935</v>
      </c>
      <c r="H165" s="250">
        <v>15</v>
      </c>
      <c r="I165" s="252">
        <f t="shared" si="10"/>
        <v>6.6666666666666666E-2</v>
      </c>
      <c r="J165" s="191">
        <f t="shared" si="11"/>
        <v>11929</v>
      </c>
      <c r="K165" s="173">
        <v>11929</v>
      </c>
      <c r="L165" s="191">
        <f t="shared" si="12"/>
        <v>0</v>
      </c>
    </row>
    <row r="166" spans="1:12" x14ac:dyDescent="0.2">
      <c r="A166" s="1484">
        <v>1932</v>
      </c>
      <c r="B166" s="180" t="s">
        <v>1426</v>
      </c>
      <c r="C166" s="173">
        <v>171179</v>
      </c>
      <c r="D166" s="173">
        <v>-32341</v>
      </c>
      <c r="E166" s="191">
        <f t="shared" si="13"/>
        <v>203520</v>
      </c>
      <c r="F166" s="173"/>
      <c r="G166" s="191">
        <f t="shared" si="14"/>
        <v>203520</v>
      </c>
      <c r="H166" s="250">
        <v>8</v>
      </c>
      <c r="I166" s="252">
        <f t="shared" si="10"/>
        <v>0.125</v>
      </c>
      <c r="J166" s="191">
        <f t="shared" si="11"/>
        <v>25440</v>
      </c>
      <c r="K166" s="173">
        <v>25440</v>
      </c>
      <c r="L166" s="191">
        <f t="shared" si="12"/>
        <v>0</v>
      </c>
    </row>
    <row r="167" spans="1:12" x14ac:dyDescent="0.2">
      <c r="A167" s="1484">
        <v>1933</v>
      </c>
      <c r="B167" s="180" t="s">
        <v>1403</v>
      </c>
      <c r="C167" s="173">
        <v>70712</v>
      </c>
      <c r="D167" s="173">
        <v>1.9999999999965894</v>
      </c>
      <c r="E167" s="191">
        <f t="shared" si="13"/>
        <v>70710</v>
      </c>
      <c r="F167" s="173"/>
      <c r="G167" s="191">
        <f t="shared" si="14"/>
        <v>70710</v>
      </c>
      <c r="H167" s="250">
        <v>10</v>
      </c>
      <c r="I167" s="252">
        <f t="shared" si="10"/>
        <v>0.1</v>
      </c>
      <c r="J167" s="191">
        <f t="shared" si="11"/>
        <v>7071</v>
      </c>
      <c r="K167" s="173">
        <v>7071</v>
      </c>
      <c r="L167" s="191">
        <f t="shared" si="12"/>
        <v>0</v>
      </c>
    </row>
    <row r="168" spans="1:12" x14ac:dyDescent="0.2">
      <c r="A168" s="1484">
        <v>1935</v>
      </c>
      <c r="B168" s="180" t="s">
        <v>287</v>
      </c>
      <c r="C168" s="173"/>
      <c r="D168" s="173"/>
      <c r="E168" s="191">
        <f t="shared" si="13"/>
        <v>0</v>
      </c>
      <c r="F168" s="173"/>
      <c r="G168" s="191">
        <f t="shared" si="14"/>
        <v>0</v>
      </c>
      <c r="H168" s="250"/>
      <c r="I168" s="252">
        <f t="shared" si="10"/>
        <v>0</v>
      </c>
      <c r="J168" s="191">
        <f t="shared" si="11"/>
        <v>0</v>
      </c>
      <c r="K168" s="173"/>
      <c r="L168" s="191">
        <f t="shared" si="12"/>
        <v>0</v>
      </c>
    </row>
    <row r="169" spans="1:12" x14ac:dyDescent="0.2">
      <c r="A169" s="1484">
        <v>1940</v>
      </c>
      <c r="B169" s="180" t="s">
        <v>288</v>
      </c>
      <c r="C169" s="173">
        <v>381829</v>
      </c>
      <c r="D169" s="173">
        <v>290192.5</v>
      </c>
      <c r="E169" s="191">
        <f t="shared" si="13"/>
        <v>91636.5</v>
      </c>
      <c r="F169" s="173">
        <v>4107</v>
      </c>
      <c r="G169" s="191">
        <f t="shared" si="14"/>
        <v>93690</v>
      </c>
      <c r="H169" s="250">
        <v>10</v>
      </c>
      <c r="I169" s="252">
        <f t="shared" si="10"/>
        <v>0.1</v>
      </c>
      <c r="J169" s="191">
        <f t="shared" si="11"/>
        <v>9369</v>
      </c>
      <c r="K169" s="173">
        <v>9369</v>
      </c>
      <c r="L169" s="191">
        <f t="shared" si="12"/>
        <v>0</v>
      </c>
    </row>
    <row r="170" spans="1:12" x14ac:dyDescent="0.2">
      <c r="A170" s="1484">
        <v>1945</v>
      </c>
      <c r="B170" s="180" t="s">
        <v>289</v>
      </c>
      <c r="C170" s="173"/>
      <c r="D170" s="173"/>
      <c r="E170" s="191">
        <f t="shared" si="13"/>
        <v>0</v>
      </c>
      <c r="F170" s="173"/>
      <c r="G170" s="191">
        <f t="shared" si="14"/>
        <v>0</v>
      </c>
      <c r="H170" s="250"/>
      <c r="I170" s="252">
        <f t="shared" si="10"/>
        <v>0</v>
      </c>
      <c r="J170" s="191">
        <f t="shared" si="11"/>
        <v>0</v>
      </c>
      <c r="K170" s="173"/>
      <c r="L170" s="191">
        <f t="shared" si="12"/>
        <v>0</v>
      </c>
    </row>
    <row r="171" spans="1:12" x14ac:dyDescent="0.2">
      <c r="A171" s="1484">
        <v>1950</v>
      </c>
      <c r="B171" s="180" t="s">
        <v>218</v>
      </c>
      <c r="C171" s="173"/>
      <c r="D171" s="173"/>
      <c r="E171" s="191">
        <f t="shared" si="13"/>
        <v>0</v>
      </c>
      <c r="F171" s="173"/>
      <c r="G171" s="191">
        <f t="shared" si="14"/>
        <v>0</v>
      </c>
      <c r="H171" s="250"/>
      <c r="I171" s="252">
        <f t="shared" si="10"/>
        <v>0</v>
      </c>
      <c r="J171" s="191">
        <f t="shared" si="11"/>
        <v>0</v>
      </c>
      <c r="K171" s="173"/>
      <c r="L171" s="191">
        <f t="shared" si="12"/>
        <v>0</v>
      </c>
    </row>
    <row r="172" spans="1:12" x14ac:dyDescent="0.2">
      <c r="A172" s="1484">
        <v>1955</v>
      </c>
      <c r="B172" s="180" t="s">
        <v>290</v>
      </c>
      <c r="C172" s="173">
        <v>36146</v>
      </c>
      <c r="D172" s="173">
        <v>22009.5</v>
      </c>
      <c r="E172" s="191">
        <f t="shared" si="13"/>
        <v>14136.5</v>
      </c>
      <c r="F172" s="173">
        <v>727</v>
      </c>
      <c r="G172" s="191">
        <f t="shared" si="14"/>
        <v>14500</v>
      </c>
      <c r="H172" s="250">
        <v>10</v>
      </c>
      <c r="I172" s="252">
        <f t="shared" si="10"/>
        <v>0.1</v>
      </c>
      <c r="J172" s="191">
        <f t="shared" si="11"/>
        <v>1450</v>
      </c>
      <c r="K172" s="173">
        <v>1450</v>
      </c>
      <c r="L172" s="191">
        <f t="shared" si="12"/>
        <v>0</v>
      </c>
    </row>
    <row r="173" spans="1:12" x14ac:dyDescent="0.2">
      <c r="A173" s="255">
        <v>1955</v>
      </c>
      <c r="B173" s="184" t="s">
        <v>219</v>
      </c>
      <c r="C173" s="173"/>
      <c r="D173" s="173"/>
      <c r="E173" s="191">
        <f t="shared" si="13"/>
        <v>0</v>
      </c>
      <c r="F173" s="173"/>
      <c r="G173" s="191">
        <f t="shared" si="14"/>
        <v>0</v>
      </c>
      <c r="H173" s="250"/>
      <c r="I173" s="252">
        <f t="shared" si="10"/>
        <v>0</v>
      </c>
      <c r="J173" s="191">
        <f t="shared" si="11"/>
        <v>0</v>
      </c>
      <c r="K173" s="173"/>
      <c r="L173" s="191">
        <f t="shared" si="12"/>
        <v>0</v>
      </c>
    </row>
    <row r="174" spans="1:12" x14ac:dyDescent="0.2">
      <c r="A174" s="254">
        <v>1960</v>
      </c>
      <c r="B174" s="172" t="s">
        <v>220</v>
      </c>
      <c r="C174" s="173"/>
      <c r="D174" s="173"/>
      <c r="E174" s="191">
        <f t="shared" si="13"/>
        <v>0</v>
      </c>
      <c r="F174" s="173"/>
      <c r="G174" s="191">
        <f t="shared" si="14"/>
        <v>0</v>
      </c>
      <c r="H174" s="250"/>
      <c r="I174" s="252">
        <f t="shared" si="10"/>
        <v>0</v>
      </c>
      <c r="J174" s="191">
        <f t="shared" si="11"/>
        <v>0</v>
      </c>
      <c r="K174" s="173"/>
      <c r="L174" s="191">
        <f t="shared" si="12"/>
        <v>0</v>
      </c>
    </row>
    <row r="175" spans="1:12" x14ac:dyDescent="0.2">
      <c r="A175" s="254">
        <v>1970</v>
      </c>
      <c r="B175" s="1482" t="s">
        <v>535</v>
      </c>
      <c r="C175" s="173"/>
      <c r="D175" s="173"/>
      <c r="E175" s="191">
        <f t="shared" si="13"/>
        <v>0</v>
      </c>
      <c r="F175" s="173"/>
      <c r="G175" s="191">
        <f t="shared" si="14"/>
        <v>0</v>
      </c>
      <c r="H175" s="250"/>
      <c r="I175" s="252">
        <f t="shared" si="10"/>
        <v>0</v>
      </c>
      <c r="J175" s="191">
        <f t="shared" si="11"/>
        <v>0</v>
      </c>
      <c r="K175" s="173"/>
      <c r="L175" s="191">
        <f t="shared" si="12"/>
        <v>0</v>
      </c>
    </row>
    <row r="176" spans="1:12" x14ac:dyDescent="0.2">
      <c r="A176" s="1484">
        <v>1975</v>
      </c>
      <c r="B176" s="180" t="s">
        <v>291</v>
      </c>
      <c r="C176" s="173"/>
      <c r="D176" s="173"/>
      <c r="E176" s="191">
        <f t="shared" si="13"/>
        <v>0</v>
      </c>
      <c r="F176" s="173"/>
      <c r="G176" s="191">
        <f t="shared" si="14"/>
        <v>0</v>
      </c>
      <c r="H176" s="250"/>
      <c r="I176" s="252">
        <f t="shared" si="10"/>
        <v>0</v>
      </c>
      <c r="J176" s="191">
        <f t="shared" si="11"/>
        <v>0</v>
      </c>
      <c r="K176" s="173"/>
      <c r="L176" s="191">
        <f t="shared" si="12"/>
        <v>0</v>
      </c>
    </row>
    <row r="177" spans="1:12" x14ac:dyDescent="0.2">
      <c r="A177" s="1484">
        <v>1980</v>
      </c>
      <c r="B177" s="180" t="s">
        <v>292</v>
      </c>
      <c r="C177" s="173"/>
      <c r="D177" s="173"/>
      <c r="E177" s="191">
        <f t="shared" si="13"/>
        <v>0</v>
      </c>
      <c r="F177" s="173"/>
      <c r="G177" s="191">
        <f t="shared" si="14"/>
        <v>0</v>
      </c>
      <c r="H177" s="250"/>
      <c r="I177" s="252">
        <f t="shared" si="10"/>
        <v>0</v>
      </c>
      <c r="J177" s="191">
        <f t="shared" si="11"/>
        <v>0</v>
      </c>
      <c r="K177" s="173"/>
      <c r="L177" s="191">
        <f t="shared" si="12"/>
        <v>0</v>
      </c>
    </row>
    <row r="178" spans="1:12" x14ac:dyDescent="0.2">
      <c r="A178" s="1484">
        <v>1985</v>
      </c>
      <c r="B178" s="180" t="s">
        <v>1428</v>
      </c>
      <c r="C178" s="173">
        <v>15</v>
      </c>
      <c r="D178" s="173">
        <v>-123501.5</v>
      </c>
      <c r="E178" s="191">
        <f t="shared" si="13"/>
        <v>123516.5</v>
      </c>
      <c r="F178" s="173">
        <v>-247033</v>
      </c>
      <c r="G178" s="191">
        <f t="shared" si="14"/>
        <v>0</v>
      </c>
      <c r="H178" s="250">
        <v>10</v>
      </c>
      <c r="I178" s="252">
        <f t="shared" si="10"/>
        <v>0.1</v>
      </c>
      <c r="J178" s="191">
        <f t="shared" si="11"/>
        <v>0</v>
      </c>
      <c r="K178" s="173"/>
      <c r="L178" s="191">
        <f t="shared" si="12"/>
        <v>0</v>
      </c>
    </row>
    <row r="179" spans="1:12" x14ac:dyDescent="0.2">
      <c r="A179" s="1484">
        <v>1990</v>
      </c>
      <c r="B179" s="1483" t="s">
        <v>502</v>
      </c>
      <c r="C179" s="173"/>
      <c r="D179" s="173"/>
      <c r="E179" s="191">
        <f t="shared" si="13"/>
        <v>0</v>
      </c>
      <c r="F179" s="173"/>
      <c r="G179" s="191">
        <f t="shared" si="14"/>
        <v>0</v>
      </c>
      <c r="H179" s="250"/>
      <c r="I179" s="252">
        <f t="shared" si="10"/>
        <v>0</v>
      </c>
      <c r="J179" s="191">
        <f t="shared" si="11"/>
        <v>0</v>
      </c>
      <c r="K179" s="173"/>
      <c r="L179" s="191">
        <f t="shared" si="12"/>
        <v>0</v>
      </c>
    </row>
    <row r="180" spans="1:12" ht="13.5" thickBot="1" x14ac:dyDescent="0.25">
      <c r="A180" s="1484">
        <v>1995</v>
      </c>
      <c r="B180" s="180" t="s">
        <v>294</v>
      </c>
      <c r="C180" s="257">
        <v>-6095513</v>
      </c>
      <c r="D180" s="257">
        <v>162312.0000000007</v>
      </c>
      <c r="E180" s="285">
        <f t="shared" si="13"/>
        <v>-6257825.0000000009</v>
      </c>
      <c r="F180" s="257"/>
      <c r="G180" s="285">
        <f t="shared" si="14"/>
        <v>-6257825.0000000009</v>
      </c>
      <c r="H180" s="259">
        <v>25</v>
      </c>
      <c r="I180" s="260">
        <f t="shared" si="10"/>
        <v>0.04</v>
      </c>
      <c r="J180" s="285">
        <f t="shared" si="11"/>
        <v>-250313.00000000003</v>
      </c>
      <c r="K180" s="257">
        <v>-250313</v>
      </c>
      <c r="L180" s="285">
        <f t="shared" si="12"/>
        <v>-2.9103830456733704E-11</v>
      </c>
    </row>
    <row r="181" spans="1:12" ht="14.25" thickTop="1" thickBot="1" x14ac:dyDescent="0.25">
      <c r="A181" s="261"/>
      <c r="B181" s="262" t="s">
        <v>295</v>
      </c>
      <c r="C181" s="263">
        <f>SUM(C134:C180)</f>
        <v>22646688</v>
      </c>
      <c r="D181" s="263">
        <f>SUM(D134:D180)</f>
        <v>12062722.999999998</v>
      </c>
      <c r="E181" s="263">
        <f>SUM(E134:E180)</f>
        <v>10583965</v>
      </c>
      <c r="F181" s="263">
        <f>SUM(F134:F180)</f>
        <v>1080987</v>
      </c>
      <c r="G181" s="263">
        <f>SUM(G134:G180)</f>
        <v>11124458.5</v>
      </c>
      <c r="H181" s="330"/>
      <c r="I181" s="266"/>
      <c r="J181" s="263">
        <f>SUM(J134:J180)</f>
        <v>335894.7666666666</v>
      </c>
      <c r="K181" s="263">
        <f>SUM(K134:K180)</f>
        <v>335895</v>
      </c>
      <c r="L181" s="263">
        <f>SUM(L134:L180)</f>
        <v>-0.23333333330974426</v>
      </c>
    </row>
    <row r="182" spans="1:12" x14ac:dyDescent="0.2">
      <c r="A182" s="289"/>
      <c r="B182" s="1707" t="s">
        <v>1078</v>
      </c>
      <c r="C182" s="1707"/>
      <c r="D182" s="1707"/>
      <c r="E182" s="1707"/>
      <c r="F182" s="1707"/>
      <c r="G182" s="1707"/>
      <c r="H182" s="1707"/>
      <c r="I182" s="1708"/>
      <c r="J182" s="173"/>
      <c r="K182" s="291"/>
      <c r="L182" s="291"/>
    </row>
    <row r="183" spans="1:12" x14ac:dyDescent="0.2">
      <c r="A183" s="289"/>
      <c r="B183" s="290" t="s">
        <v>937</v>
      </c>
      <c r="C183" s="312"/>
      <c r="D183" s="312"/>
      <c r="E183" s="312"/>
      <c r="F183" s="291"/>
      <c r="G183" s="291"/>
      <c r="H183" s="293"/>
      <c r="I183" s="312"/>
      <c r="J183" s="191">
        <f>SUM(J181:J182)</f>
        <v>335894.7666666666</v>
      </c>
      <c r="K183" s="291"/>
      <c r="L183" s="291"/>
    </row>
    <row r="184" spans="1:12" x14ac:dyDescent="0.2">
      <c r="A184" s="289"/>
      <c r="B184" s="290"/>
      <c r="C184" s="312"/>
      <c r="D184" s="312"/>
      <c r="E184" s="312"/>
      <c r="F184" s="291"/>
      <c r="G184" s="291"/>
      <c r="H184" s="293"/>
      <c r="I184" s="312"/>
      <c r="J184" s="291"/>
      <c r="K184" s="291"/>
      <c r="L184" s="291"/>
    </row>
    <row r="185" spans="1:12" x14ac:dyDescent="0.2">
      <c r="A185" s="289"/>
      <c r="B185" s="290"/>
      <c r="C185" s="312"/>
      <c r="D185" s="312"/>
      <c r="E185" s="312"/>
      <c r="F185" s="291"/>
      <c r="G185" s="291"/>
      <c r="H185" s="293"/>
      <c r="I185" s="312"/>
      <c r="J185" s="291"/>
      <c r="K185" s="291"/>
      <c r="L185" s="291"/>
    </row>
    <row r="186" spans="1:12" x14ac:dyDescent="0.2">
      <c r="B186" s="1113"/>
      <c r="C186" s="1136"/>
      <c r="D186" s="1136" t="s">
        <v>882</v>
      </c>
      <c r="E186" s="48" t="s">
        <v>105</v>
      </c>
      <c r="F186" s="1113"/>
      <c r="G186" s="1138"/>
      <c r="H186" s="1113"/>
      <c r="I186" s="1113"/>
      <c r="J186" s="1113"/>
      <c r="K186" s="1113"/>
      <c r="L186" s="295"/>
    </row>
    <row r="187" spans="1:12" ht="18" x14ac:dyDescent="0.25">
      <c r="A187" s="1481"/>
      <c r="B187" s="1481"/>
      <c r="C187" s="1136"/>
      <c r="D187" s="1136" t="s">
        <v>102</v>
      </c>
      <c r="E187" s="1137">
        <v>2016</v>
      </c>
      <c r="H187" s="1481"/>
      <c r="I187" s="1481"/>
      <c r="J187" s="1481"/>
    </row>
    <row r="188" spans="1:12" ht="13.5" thickBot="1" x14ac:dyDescent="0.25"/>
    <row r="189" spans="1:12" ht="51" x14ac:dyDescent="0.2">
      <c r="A189" s="1685" t="s">
        <v>3</v>
      </c>
      <c r="B189" s="1687" t="s">
        <v>235</v>
      </c>
      <c r="C189" s="245" t="s">
        <v>1043</v>
      </c>
      <c r="D189" s="245" t="s">
        <v>476</v>
      </c>
      <c r="E189" s="245" t="s">
        <v>477</v>
      </c>
      <c r="F189" s="245" t="s">
        <v>237</v>
      </c>
      <c r="G189" s="245" t="s">
        <v>1073</v>
      </c>
      <c r="H189" s="245" t="s">
        <v>6</v>
      </c>
      <c r="I189" s="245" t="s">
        <v>298</v>
      </c>
      <c r="J189" s="277" t="s">
        <v>1082</v>
      </c>
      <c r="K189" s="1697" t="s">
        <v>1062</v>
      </c>
      <c r="L189" s="277" t="s">
        <v>1074</v>
      </c>
    </row>
    <row r="190" spans="1:12" x14ac:dyDescent="0.2">
      <c r="A190" s="1686"/>
      <c r="B190" s="1688"/>
      <c r="C190" s="249" t="s">
        <v>4</v>
      </c>
      <c r="D190" s="249" t="s">
        <v>478</v>
      </c>
      <c r="E190" s="249" t="s">
        <v>479</v>
      </c>
      <c r="F190" s="249" t="s">
        <v>5</v>
      </c>
      <c r="G190" s="328" t="s">
        <v>997</v>
      </c>
      <c r="H190" s="249" t="s">
        <v>7</v>
      </c>
      <c r="I190" s="249" t="s">
        <v>8</v>
      </c>
      <c r="J190" s="329" t="s">
        <v>9</v>
      </c>
      <c r="K190" s="1711"/>
      <c r="L190" s="329" t="s">
        <v>382</v>
      </c>
    </row>
    <row r="191" spans="1:12" ht="25.5" x14ac:dyDescent="0.2">
      <c r="A191" s="1484">
        <v>1611</v>
      </c>
      <c r="B191" s="172" t="s">
        <v>381</v>
      </c>
      <c r="C191" s="173">
        <v>259251</v>
      </c>
      <c r="D191" s="173">
        <v>239726</v>
      </c>
      <c r="E191" s="191">
        <f>C191-D191</f>
        <v>19525</v>
      </c>
      <c r="F191" s="173">
        <v>1500</v>
      </c>
      <c r="G191" s="191">
        <f>E191+0.5*F191</f>
        <v>20275</v>
      </c>
      <c r="H191" s="250">
        <v>5</v>
      </c>
      <c r="I191" s="251">
        <f t="shared" ref="I191:I237" si="15">IF(H191=0,0,1/H191)</f>
        <v>0.2</v>
      </c>
      <c r="J191" s="191">
        <f t="shared" ref="J191:J237" si="16">IF(H191=0,0,G191/H191)</f>
        <v>4055</v>
      </c>
      <c r="K191" s="173">
        <v>4055</v>
      </c>
      <c r="L191" s="191">
        <f t="shared" ref="L191:L237" si="17">IF(ISERROR(+J191-K191), 0, +J191-K191)</f>
        <v>0</v>
      </c>
    </row>
    <row r="192" spans="1:12" x14ac:dyDescent="0.2">
      <c r="A192" s="1484">
        <v>1612</v>
      </c>
      <c r="B192" s="172" t="s">
        <v>442</v>
      </c>
      <c r="C192" s="173">
        <v>2945</v>
      </c>
      <c r="D192" s="173">
        <v>2945</v>
      </c>
      <c r="E192" s="191">
        <f t="shared" ref="E192:E237" si="18">C192-D192</f>
        <v>0</v>
      </c>
      <c r="F192" s="173"/>
      <c r="G192" s="191">
        <f t="shared" ref="G192:G237" si="19">E192+0.5*F192</f>
        <v>0</v>
      </c>
      <c r="H192" s="250">
        <v>5</v>
      </c>
      <c r="I192" s="252">
        <f t="shared" si="15"/>
        <v>0.2</v>
      </c>
      <c r="J192" s="191">
        <f t="shared" si="16"/>
        <v>0</v>
      </c>
      <c r="K192" s="173"/>
      <c r="L192" s="191">
        <f t="shared" si="17"/>
        <v>0</v>
      </c>
    </row>
    <row r="193" spans="1:12" x14ac:dyDescent="0.2">
      <c r="A193" s="253">
        <v>1805</v>
      </c>
      <c r="B193" s="179" t="s">
        <v>267</v>
      </c>
      <c r="C193" s="173">
        <v>2112</v>
      </c>
      <c r="D193" s="173">
        <v>0</v>
      </c>
      <c r="E193" s="191">
        <f t="shared" si="18"/>
        <v>2112</v>
      </c>
      <c r="F193" s="173"/>
      <c r="G193" s="191">
        <f t="shared" si="19"/>
        <v>2112</v>
      </c>
      <c r="H193" s="250"/>
      <c r="I193" s="252">
        <f t="shared" si="15"/>
        <v>0</v>
      </c>
      <c r="J193" s="191">
        <f t="shared" si="16"/>
        <v>0</v>
      </c>
      <c r="K193" s="173"/>
      <c r="L193" s="191">
        <f t="shared" si="17"/>
        <v>0</v>
      </c>
    </row>
    <row r="194" spans="1:12" x14ac:dyDescent="0.2">
      <c r="A194" s="1484">
        <v>1808</v>
      </c>
      <c r="B194" s="180" t="s">
        <v>268</v>
      </c>
      <c r="C194" s="173"/>
      <c r="D194" s="173"/>
      <c r="E194" s="191">
        <f t="shared" si="18"/>
        <v>0</v>
      </c>
      <c r="F194" s="173"/>
      <c r="G194" s="191">
        <f t="shared" si="19"/>
        <v>0</v>
      </c>
      <c r="H194" s="250"/>
      <c r="I194" s="252">
        <f t="shared" si="15"/>
        <v>0</v>
      </c>
      <c r="J194" s="191">
        <f t="shared" si="16"/>
        <v>0</v>
      </c>
      <c r="K194" s="173"/>
      <c r="L194" s="191">
        <f t="shared" si="17"/>
        <v>0</v>
      </c>
    </row>
    <row r="195" spans="1:12" x14ac:dyDescent="0.2">
      <c r="A195" s="1484">
        <v>1810</v>
      </c>
      <c r="B195" s="180" t="s">
        <v>299</v>
      </c>
      <c r="C195" s="173"/>
      <c r="D195" s="173"/>
      <c r="E195" s="191">
        <f t="shared" si="18"/>
        <v>0</v>
      </c>
      <c r="F195" s="173"/>
      <c r="G195" s="191">
        <f t="shared" si="19"/>
        <v>0</v>
      </c>
      <c r="H195" s="250"/>
      <c r="I195" s="252">
        <f t="shared" si="15"/>
        <v>0</v>
      </c>
      <c r="J195" s="191">
        <f t="shared" si="16"/>
        <v>0</v>
      </c>
      <c r="K195" s="173"/>
      <c r="L195" s="191">
        <f t="shared" si="17"/>
        <v>0</v>
      </c>
    </row>
    <row r="196" spans="1:12" x14ac:dyDescent="0.2">
      <c r="A196" s="1484">
        <v>1815</v>
      </c>
      <c r="B196" s="180" t="s">
        <v>269</v>
      </c>
      <c r="C196" s="173"/>
      <c r="D196" s="173"/>
      <c r="E196" s="191">
        <f t="shared" si="18"/>
        <v>0</v>
      </c>
      <c r="F196" s="173"/>
      <c r="G196" s="191">
        <f t="shared" si="19"/>
        <v>0</v>
      </c>
      <c r="H196" s="250"/>
      <c r="I196" s="252">
        <f t="shared" si="15"/>
        <v>0</v>
      </c>
      <c r="J196" s="191">
        <f t="shared" si="16"/>
        <v>0</v>
      </c>
      <c r="K196" s="173"/>
      <c r="L196" s="191">
        <f t="shared" si="17"/>
        <v>0</v>
      </c>
    </row>
    <row r="197" spans="1:12" x14ac:dyDescent="0.2">
      <c r="A197" s="1484">
        <v>1820</v>
      </c>
      <c r="B197" s="172" t="s">
        <v>207</v>
      </c>
      <c r="C197" s="173">
        <v>142098</v>
      </c>
      <c r="D197" s="173">
        <v>140238</v>
      </c>
      <c r="E197" s="191">
        <f t="shared" si="18"/>
        <v>1860</v>
      </c>
      <c r="F197" s="173"/>
      <c r="G197" s="191">
        <f t="shared" si="19"/>
        <v>1860</v>
      </c>
      <c r="H197" s="250">
        <v>30</v>
      </c>
      <c r="I197" s="252">
        <f t="shared" si="15"/>
        <v>3.3333333333333333E-2</v>
      </c>
      <c r="J197" s="191">
        <f t="shared" si="16"/>
        <v>62</v>
      </c>
      <c r="K197" s="173">
        <v>62</v>
      </c>
      <c r="L197" s="191">
        <f t="shared" si="17"/>
        <v>0</v>
      </c>
    </row>
    <row r="198" spans="1:12" x14ac:dyDescent="0.2">
      <c r="A198" s="1484">
        <v>1825</v>
      </c>
      <c r="B198" s="180" t="s">
        <v>270</v>
      </c>
      <c r="C198" s="173"/>
      <c r="D198" s="173"/>
      <c r="E198" s="191">
        <f t="shared" si="18"/>
        <v>0</v>
      </c>
      <c r="F198" s="173"/>
      <c r="G198" s="191">
        <f t="shared" si="19"/>
        <v>0</v>
      </c>
      <c r="H198" s="250"/>
      <c r="I198" s="252">
        <f t="shared" si="15"/>
        <v>0</v>
      </c>
      <c r="J198" s="191">
        <f t="shared" si="16"/>
        <v>0</v>
      </c>
      <c r="K198" s="173"/>
      <c r="L198" s="191">
        <f t="shared" si="17"/>
        <v>0</v>
      </c>
    </row>
    <row r="199" spans="1:12" x14ac:dyDescent="0.2">
      <c r="A199" s="1484">
        <v>1830</v>
      </c>
      <c r="B199" s="180" t="s">
        <v>271</v>
      </c>
      <c r="C199" s="173">
        <v>1087164</v>
      </c>
      <c r="D199" s="173">
        <v>114499.00000000003</v>
      </c>
      <c r="E199" s="191">
        <f t="shared" si="18"/>
        <v>972665</v>
      </c>
      <c r="F199" s="173">
        <v>83000</v>
      </c>
      <c r="G199" s="191">
        <f t="shared" si="19"/>
        <v>1014165</v>
      </c>
      <c r="H199" s="250">
        <v>45</v>
      </c>
      <c r="I199" s="252">
        <f t="shared" si="15"/>
        <v>2.2222222222222223E-2</v>
      </c>
      <c r="J199" s="191">
        <f t="shared" si="16"/>
        <v>22537</v>
      </c>
      <c r="K199" s="173">
        <v>22537</v>
      </c>
      <c r="L199" s="191">
        <f t="shared" si="17"/>
        <v>0</v>
      </c>
    </row>
    <row r="200" spans="1:12" x14ac:dyDescent="0.2">
      <c r="A200" s="1484">
        <v>1835</v>
      </c>
      <c r="B200" s="180" t="s">
        <v>208</v>
      </c>
      <c r="C200" s="173">
        <v>6502230</v>
      </c>
      <c r="D200" s="173">
        <v>4236790</v>
      </c>
      <c r="E200" s="191">
        <f t="shared" si="18"/>
        <v>2265440</v>
      </c>
      <c r="F200" s="173">
        <v>44000</v>
      </c>
      <c r="G200" s="191">
        <f t="shared" si="19"/>
        <v>2287440</v>
      </c>
      <c r="H200" s="250">
        <v>60</v>
      </c>
      <c r="I200" s="252">
        <f t="shared" si="15"/>
        <v>1.6666666666666666E-2</v>
      </c>
      <c r="J200" s="191">
        <f t="shared" si="16"/>
        <v>38124</v>
      </c>
      <c r="K200" s="173">
        <v>38124</v>
      </c>
      <c r="L200" s="191">
        <f t="shared" si="17"/>
        <v>0</v>
      </c>
    </row>
    <row r="201" spans="1:12" x14ac:dyDescent="0.2">
      <c r="A201" s="1484">
        <v>1840</v>
      </c>
      <c r="B201" s="180" t="s">
        <v>209</v>
      </c>
      <c r="C201" s="173">
        <v>2216428</v>
      </c>
      <c r="D201" s="173">
        <v>132227.99999999985</v>
      </c>
      <c r="E201" s="191">
        <f t="shared" si="18"/>
        <v>2084200.0000000002</v>
      </c>
      <c r="F201" s="173">
        <v>180000</v>
      </c>
      <c r="G201" s="191">
        <f t="shared" si="19"/>
        <v>2174200</v>
      </c>
      <c r="H201" s="250">
        <v>50</v>
      </c>
      <c r="I201" s="252">
        <f t="shared" si="15"/>
        <v>0.02</v>
      </c>
      <c r="J201" s="191">
        <f t="shared" si="16"/>
        <v>43484</v>
      </c>
      <c r="K201" s="173">
        <v>43484</v>
      </c>
      <c r="L201" s="191">
        <f t="shared" si="17"/>
        <v>0</v>
      </c>
    </row>
    <row r="202" spans="1:12" x14ac:dyDescent="0.2">
      <c r="A202" s="1484">
        <v>1845</v>
      </c>
      <c r="B202" s="180" t="s">
        <v>210</v>
      </c>
      <c r="C202" s="173">
        <v>8323875</v>
      </c>
      <c r="D202" s="173">
        <v>3978814.9999999995</v>
      </c>
      <c r="E202" s="191">
        <f t="shared" si="18"/>
        <v>4345060</v>
      </c>
      <c r="F202" s="173">
        <v>425000</v>
      </c>
      <c r="G202" s="191">
        <f t="shared" si="19"/>
        <v>4557560</v>
      </c>
      <c r="H202" s="250">
        <v>40</v>
      </c>
      <c r="I202" s="252">
        <f t="shared" si="15"/>
        <v>2.5000000000000001E-2</v>
      </c>
      <c r="J202" s="191">
        <f t="shared" si="16"/>
        <v>113939</v>
      </c>
      <c r="K202" s="173">
        <v>113939</v>
      </c>
      <c r="L202" s="191">
        <f t="shared" si="17"/>
        <v>0</v>
      </c>
    </row>
    <row r="203" spans="1:12" x14ac:dyDescent="0.2">
      <c r="A203" s="1484">
        <v>1850</v>
      </c>
      <c r="B203" s="180" t="s">
        <v>272</v>
      </c>
      <c r="C203" s="173">
        <v>6389028</v>
      </c>
      <c r="D203" s="173">
        <v>2925048</v>
      </c>
      <c r="E203" s="191">
        <f t="shared" si="18"/>
        <v>3463980</v>
      </c>
      <c r="F203" s="173">
        <v>417000</v>
      </c>
      <c r="G203" s="191">
        <f t="shared" si="19"/>
        <v>3672480</v>
      </c>
      <c r="H203" s="250">
        <v>40</v>
      </c>
      <c r="I203" s="252">
        <f t="shared" si="15"/>
        <v>2.5000000000000001E-2</v>
      </c>
      <c r="J203" s="191">
        <f t="shared" si="16"/>
        <v>91812</v>
      </c>
      <c r="K203" s="173">
        <v>91812</v>
      </c>
      <c r="L203" s="191">
        <f t="shared" si="17"/>
        <v>0</v>
      </c>
    </row>
    <row r="204" spans="1:12" x14ac:dyDescent="0.2">
      <c r="A204" s="1484">
        <v>1851</v>
      </c>
      <c r="B204" s="180" t="s">
        <v>1416</v>
      </c>
      <c r="C204" s="173">
        <v>8515</v>
      </c>
      <c r="D204" s="173">
        <v>-5.0000000000002842</v>
      </c>
      <c r="E204" s="191">
        <f t="shared" si="18"/>
        <v>8520</v>
      </c>
      <c r="F204" s="173">
        <v>2000</v>
      </c>
      <c r="G204" s="191">
        <f t="shared" si="19"/>
        <v>9520</v>
      </c>
      <c r="H204" s="250">
        <v>20</v>
      </c>
      <c r="I204" s="252">
        <f t="shared" si="15"/>
        <v>0.05</v>
      </c>
      <c r="J204" s="191">
        <f t="shared" si="16"/>
        <v>476</v>
      </c>
      <c r="K204" s="173">
        <v>476</v>
      </c>
      <c r="L204" s="191">
        <f t="shared" si="17"/>
        <v>0</v>
      </c>
    </row>
    <row r="205" spans="1:12" ht="25.5" x14ac:dyDescent="0.2">
      <c r="A205" s="1484">
        <v>1852</v>
      </c>
      <c r="B205" s="180" t="s">
        <v>1422</v>
      </c>
      <c r="C205" s="173">
        <v>73945</v>
      </c>
      <c r="D205" s="173">
        <v>-10055.000000000011</v>
      </c>
      <c r="E205" s="191">
        <f t="shared" si="18"/>
        <v>84000.000000000015</v>
      </c>
      <c r="F205" s="173">
        <v>6000</v>
      </c>
      <c r="G205" s="191">
        <f t="shared" si="19"/>
        <v>87000.000000000015</v>
      </c>
      <c r="H205" s="250">
        <v>60</v>
      </c>
      <c r="I205" s="252">
        <f t="shared" si="15"/>
        <v>1.6666666666666666E-2</v>
      </c>
      <c r="J205" s="191">
        <f t="shared" si="16"/>
        <v>1450.0000000000002</v>
      </c>
      <c r="K205" s="173">
        <v>1450</v>
      </c>
      <c r="L205" s="191">
        <f t="shared" si="17"/>
        <v>2.2737367544323206E-13</v>
      </c>
    </row>
    <row r="206" spans="1:12" x14ac:dyDescent="0.2">
      <c r="A206" s="1484">
        <v>1855</v>
      </c>
      <c r="B206" s="180" t="s">
        <v>211</v>
      </c>
      <c r="C206" s="173">
        <v>1031062</v>
      </c>
      <c r="D206" s="173">
        <v>-37462.999999999913</v>
      </c>
      <c r="E206" s="191">
        <f t="shared" si="18"/>
        <v>1068525</v>
      </c>
      <c r="F206" s="173">
        <v>128000</v>
      </c>
      <c r="G206" s="191">
        <f t="shared" si="19"/>
        <v>1132525</v>
      </c>
      <c r="H206" s="250">
        <v>25</v>
      </c>
      <c r="I206" s="252">
        <f t="shared" si="15"/>
        <v>0.04</v>
      </c>
      <c r="J206" s="191">
        <f t="shared" si="16"/>
        <v>45301</v>
      </c>
      <c r="K206" s="173">
        <v>45301</v>
      </c>
      <c r="L206" s="191">
        <f t="shared" si="17"/>
        <v>0</v>
      </c>
    </row>
    <row r="207" spans="1:12" x14ac:dyDescent="0.2">
      <c r="A207" s="1484">
        <v>1860</v>
      </c>
      <c r="B207" s="180" t="s">
        <v>273</v>
      </c>
      <c r="C207" s="173"/>
      <c r="D207" s="173"/>
      <c r="E207" s="191">
        <f t="shared" si="18"/>
        <v>0</v>
      </c>
      <c r="F207" s="173"/>
      <c r="G207" s="191">
        <f t="shared" si="19"/>
        <v>0</v>
      </c>
      <c r="H207" s="250"/>
      <c r="I207" s="252">
        <f t="shared" si="15"/>
        <v>0</v>
      </c>
      <c r="J207" s="191">
        <f t="shared" si="16"/>
        <v>0</v>
      </c>
      <c r="K207" s="173"/>
      <c r="L207" s="191">
        <f t="shared" si="17"/>
        <v>0</v>
      </c>
    </row>
    <row r="208" spans="1:12" ht="25.5" x14ac:dyDescent="0.2">
      <c r="A208" s="1484">
        <v>1861</v>
      </c>
      <c r="B208" s="180" t="s">
        <v>1423</v>
      </c>
      <c r="C208" s="173">
        <v>1324006</v>
      </c>
      <c r="D208" s="173">
        <v>-3873.9999999997526</v>
      </c>
      <c r="E208" s="191">
        <f t="shared" si="18"/>
        <v>1327879.9999999998</v>
      </c>
      <c r="F208" s="173">
        <v>9000</v>
      </c>
      <c r="G208" s="191">
        <f t="shared" si="19"/>
        <v>1332379.9999999998</v>
      </c>
      <c r="H208" s="250">
        <v>10</v>
      </c>
      <c r="I208" s="252">
        <f t="shared" si="15"/>
        <v>0.1</v>
      </c>
      <c r="J208" s="191">
        <f t="shared" si="16"/>
        <v>133237.99999999997</v>
      </c>
      <c r="K208" s="173">
        <v>133238</v>
      </c>
      <c r="L208" s="191">
        <f t="shared" si="17"/>
        <v>-2.9103830456733704E-11</v>
      </c>
    </row>
    <row r="209" spans="1:12" x14ac:dyDescent="0.2">
      <c r="A209" s="1484">
        <v>1862</v>
      </c>
      <c r="B209" s="180" t="s">
        <v>1397</v>
      </c>
      <c r="C209" s="173">
        <v>322576</v>
      </c>
      <c r="D209" s="173">
        <v>-198583.99999999988</v>
      </c>
      <c r="E209" s="191">
        <f t="shared" si="18"/>
        <v>521159.99999999988</v>
      </c>
      <c r="F209" s="173">
        <v>30000</v>
      </c>
      <c r="G209" s="191">
        <f t="shared" si="19"/>
        <v>536159.99999999988</v>
      </c>
      <c r="H209" s="250">
        <v>15</v>
      </c>
      <c r="I209" s="252">
        <f t="shared" si="15"/>
        <v>6.6666666666666666E-2</v>
      </c>
      <c r="J209" s="191">
        <f t="shared" si="16"/>
        <v>35743.999999999993</v>
      </c>
      <c r="K209" s="173">
        <v>35744</v>
      </c>
      <c r="L209" s="191">
        <f t="shared" si="17"/>
        <v>-7.2759576141834259E-12</v>
      </c>
    </row>
    <row r="210" spans="1:12" x14ac:dyDescent="0.2">
      <c r="A210" s="1484">
        <v>1863</v>
      </c>
      <c r="B210" s="180" t="s">
        <v>1398</v>
      </c>
      <c r="C210" s="173">
        <v>1013</v>
      </c>
      <c r="D210" s="173">
        <v>2.9999999999999227</v>
      </c>
      <c r="E210" s="191">
        <f t="shared" si="18"/>
        <v>1010.0000000000001</v>
      </c>
      <c r="F210" s="173">
        <v>5000</v>
      </c>
      <c r="G210" s="191">
        <f t="shared" si="19"/>
        <v>3510</v>
      </c>
      <c r="H210" s="250">
        <v>15</v>
      </c>
      <c r="I210" s="252">
        <f t="shared" si="15"/>
        <v>6.6666666666666666E-2</v>
      </c>
      <c r="J210" s="191">
        <f t="shared" si="16"/>
        <v>234</v>
      </c>
      <c r="K210" s="173">
        <v>234</v>
      </c>
      <c r="L210" s="191">
        <f t="shared" si="17"/>
        <v>0</v>
      </c>
    </row>
    <row r="211" spans="1:12" x14ac:dyDescent="0.2">
      <c r="A211" s="1484">
        <v>1864</v>
      </c>
      <c r="B211" s="180" t="s">
        <v>1424</v>
      </c>
      <c r="C211" s="173">
        <v>109232</v>
      </c>
      <c r="D211" s="173">
        <v>-22528.000000000004</v>
      </c>
      <c r="E211" s="191">
        <f t="shared" si="18"/>
        <v>131760</v>
      </c>
      <c r="F211" s="173">
        <v>2000</v>
      </c>
      <c r="G211" s="191">
        <f t="shared" si="19"/>
        <v>132760</v>
      </c>
      <c r="H211" s="250">
        <v>40</v>
      </c>
      <c r="I211" s="252">
        <f t="shared" si="15"/>
        <v>2.5000000000000001E-2</v>
      </c>
      <c r="J211" s="191">
        <f t="shared" si="16"/>
        <v>3319</v>
      </c>
      <c r="K211" s="173">
        <v>3319</v>
      </c>
      <c r="L211" s="191">
        <f t="shared" si="17"/>
        <v>0</v>
      </c>
    </row>
    <row r="212" spans="1:12" x14ac:dyDescent="0.2">
      <c r="A212" s="253">
        <v>1860</v>
      </c>
      <c r="B212" s="179" t="s">
        <v>212</v>
      </c>
      <c r="C212" s="173"/>
      <c r="D212" s="173"/>
      <c r="E212" s="191">
        <f t="shared" si="18"/>
        <v>0</v>
      </c>
      <c r="F212" s="173"/>
      <c r="G212" s="191">
        <f t="shared" si="19"/>
        <v>0</v>
      </c>
      <c r="H212" s="250"/>
      <c r="I212" s="252">
        <f t="shared" si="15"/>
        <v>0</v>
      </c>
      <c r="J212" s="191">
        <f t="shared" si="16"/>
        <v>0</v>
      </c>
      <c r="K212" s="173"/>
      <c r="L212" s="191">
        <f t="shared" si="17"/>
        <v>0</v>
      </c>
    </row>
    <row r="213" spans="1:12" x14ac:dyDescent="0.2">
      <c r="A213" s="253">
        <v>1905</v>
      </c>
      <c r="B213" s="179" t="s">
        <v>267</v>
      </c>
      <c r="C213" s="173">
        <v>171765</v>
      </c>
      <c r="D213" s="173"/>
      <c r="E213" s="191">
        <f t="shared" si="18"/>
        <v>171765</v>
      </c>
      <c r="F213" s="173"/>
      <c r="G213" s="191">
        <f t="shared" si="19"/>
        <v>171765</v>
      </c>
      <c r="H213" s="250"/>
      <c r="I213" s="252">
        <f t="shared" si="15"/>
        <v>0</v>
      </c>
      <c r="J213" s="191">
        <f t="shared" si="16"/>
        <v>0</v>
      </c>
      <c r="K213" s="173"/>
      <c r="L213" s="191">
        <f t="shared" si="17"/>
        <v>0</v>
      </c>
    </row>
    <row r="214" spans="1:12" x14ac:dyDescent="0.2">
      <c r="A214" s="1484">
        <v>1908</v>
      </c>
      <c r="B214" s="180" t="s">
        <v>275</v>
      </c>
      <c r="C214" s="173">
        <v>665443</v>
      </c>
      <c r="D214" s="173">
        <v>7539115.5000000009</v>
      </c>
      <c r="E214" s="191">
        <f t="shared" si="18"/>
        <v>-6873672.5000000009</v>
      </c>
      <c r="F214" s="173">
        <f>16000-249155</f>
        <v>-233155</v>
      </c>
      <c r="G214" s="191">
        <f t="shared" si="19"/>
        <v>-6990250.0000000009</v>
      </c>
      <c r="H214" s="250">
        <v>50</v>
      </c>
      <c r="I214" s="252">
        <f t="shared" si="15"/>
        <v>0.02</v>
      </c>
      <c r="J214" s="191">
        <f t="shared" si="16"/>
        <v>-139805.00000000003</v>
      </c>
      <c r="K214" s="173">
        <f>12169-151974</f>
        <v>-139805</v>
      </c>
      <c r="L214" s="191">
        <f t="shared" si="17"/>
        <v>-2.9103830456733704E-11</v>
      </c>
    </row>
    <row r="215" spans="1:12" x14ac:dyDescent="0.2">
      <c r="A215" s="1484">
        <v>1910</v>
      </c>
      <c r="B215" s="180" t="s">
        <v>299</v>
      </c>
      <c r="C215" s="173"/>
      <c r="D215" s="173"/>
      <c r="E215" s="191">
        <f t="shared" si="18"/>
        <v>0</v>
      </c>
      <c r="F215" s="173"/>
      <c r="G215" s="191">
        <f t="shared" si="19"/>
        <v>0</v>
      </c>
      <c r="H215" s="250"/>
      <c r="I215" s="252">
        <f t="shared" si="15"/>
        <v>0</v>
      </c>
      <c r="J215" s="191">
        <f t="shared" si="16"/>
        <v>0</v>
      </c>
      <c r="K215" s="173"/>
      <c r="L215" s="191">
        <f t="shared" si="17"/>
        <v>0</v>
      </c>
    </row>
    <row r="216" spans="1:12" x14ac:dyDescent="0.2">
      <c r="A216" s="1484">
        <v>1915</v>
      </c>
      <c r="B216" s="180" t="s">
        <v>213</v>
      </c>
      <c r="C216" s="173">
        <v>252992</v>
      </c>
      <c r="D216" s="173">
        <v>204472</v>
      </c>
      <c r="E216" s="191">
        <f t="shared" si="18"/>
        <v>48520</v>
      </c>
      <c r="F216" s="173">
        <v>49000</v>
      </c>
      <c r="G216" s="191">
        <f t="shared" si="19"/>
        <v>73020</v>
      </c>
      <c r="H216" s="250">
        <v>10</v>
      </c>
      <c r="I216" s="252">
        <f t="shared" si="15"/>
        <v>0.1</v>
      </c>
      <c r="J216" s="191">
        <f t="shared" si="16"/>
        <v>7302</v>
      </c>
      <c r="K216" s="173">
        <v>7302</v>
      </c>
      <c r="L216" s="191">
        <f t="shared" si="17"/>
        <v>0</v>
      </c>
    </row>
    <row r="217" spans="1:12" x14ac:dyDescent="0.2">
      <c r="A217" s="1484">
        <v>1915</v>
      </c>
      <c r="B217" s="180" t="s">
        <v>214</v>
      </c>
      <c r="C217" s="173"/>
      <c r="D217" s="173"/>
      <c r="E217" s="191">
        <f t="shared" si="18"/>
        <v>0</v>
      </c>
      <c r="F217" s="173"/>
      <c r="G217" s="191">
        <f t="shared" si="19"/>
        <v>0</v>
      </c>
      <c r="H217" s="250"/>
      <c r="I217" s="252">
        <f t="shared" si="15"/>
        <v>0</v>
      </c>
      <c r="J217" s="191">
        <f t="shared" si="16"/>
        <v>0</v>
      </c>
      <c r="K217" s="173"/>
      <c r="L217" s="191">
        <f t="shared" si="17"/>
        <v>0</v>
      </c>
    </row>
    <row r="218" spans="1:12" x14ac:dyDescent="0.2">
      <c r="A218" s="1484">
        <v>1920</v>
      </c>
      <c r="B218" s="180" t="s">
        <v>215</v>
      </c>
      <c r="C218" s="173">
        <v>403765</v>
      </c>
      <c r="D218" s="173">
        <v>359475</v>
      </c>
      <c r="E218" s="191">
        <f t="shared" si="18"/>
        <v>44290</v>
      </c>
      <c r="F218" s="173">
        <v>52000</v>
      </c>
      <c r="G218" s="191">
        <f t="shared" si="19"/>
        <v>70290</v>
      </c>
      <c r="H218" s="250">
        <v>5</v>
      </c>
      <c r="I218" s="252">
        <f t="shared" si="15"/>
        <v>0.2</v>
      </c>
      <c r="J218" s="191">
        <f t="shared" si="16"/>
        <v>14058</v>
      </c>
      <c r="K218" s="173">
        <v>14058</v>
      </c>
      <c r="L218" s="191">
        <f t="shared" si="17"/>
        <v>0</v>
      </c>
    </row>
    <row r="219" spans="1:12" x14ac:dyDescent="0.2">
      <c r="A219" s="254">
        <v>1920</v>
      </c>
      <c r="B219" s="172" t="s">
        <v>217</v>
      </c>
      <c r="C219" s="173"/>
      <c r="D219" s="173"/>
      <c r="E219" s="191">
        <f t="shared" si="18"/>
        <v>0</v>
      </c>
      <c r="F219" s="173"/>
      <c r="G219" s="191">
        <f t="shared" si="19"/>
        <v>0</v>
      </c>
      <c r="H219" s="250"/>
      <c r="I219" s="252">
        <f t="shared" si="15"/>
        <v>0</v>
      </c>
      <c r="J219" s="191">
        <f t="shared" si="16"/>
        <v>0</v>
      </c>
      <c r="K219" s="173"/>
      <c r="L219" s="191">
        <f t="shared" si="17"/>
        <v>0</v>
      </c>
    </row>
    <row r="220" spans="1:12" x14ac:dyDescent="0.2">
      <c r="A220" s="254">
        <v>1920</v>
      </c>
      <c r="B220" s="172" t="s">
        <v>216</v>
      </c>
      <c r="C220" s="173"/>
      <c r="D220" s="173"/>
      <c r="E220" s="191">
        <f t="shared" si="18"/>
        <v>0</v>
      </c>
      <c r="F220" s="173"/>
      <c r="G220" s="191">
        <f t="shared" si="19"/>
        <v>0</v>
      </c>
      <c r="H220" s="250"/>
      <c r="I220" s="252">
        <f t="shared" si="15"/>
        <v>0</v>
      </c>
      <c r="J220" s="191">
        <f t="shared" si="16"/>
        <v>0</v>
      </c>
      <c r="K220" s="173"/>
      <c r="L220" s="191">
        <f t="shared" si="17"/>
        <v>0</v>
      </c>
    </row>
    <row r="221" spans="1:12" x14ac:dyDescent="0.2">
      <c r="A221" s="1484">
        <v>1930</v>
      </c>
      <c r="B221" s="180" t="s">
        <v>286</v>
      </c>
      <c r="C221" s="173"/>
      <c r="D221" s="173"/>
      <c r="E221" s="191">
        <f t="shared" si="18"/>
        <v>0</v>
      </c>
      <c r="F221" s="173"/>
      <c r="G221" s="191">
        <f t="shared" si="19"/>
        <v>0</v>
      </c>
      <c r="H221" s="250">
        <v>8</v>
      </c>
      <c r="I221" s="252">
        <f t="shared" si="15"/>
        <v>0.125</v>
      </c>
      <c r="J221" s="191">
        <f t="shared" si="16"/>
        <v>0</v>
      </c>
      <c r="K221" s="173"/>
      <c r="L221" s="191">
        <f t="shared" si="17"/>
        <v>0</v>
      </c>
    </row>
    <row r="222" spans="1:12" x14ac:dyDescent="0.2">
      <c r="A222" s="1484">
        <v>1931</v>
      </c>
      <c r="B222" s="180" t="s">
        <v>1425</v>
      </c>
      <c r="C222" s="173">
        <v>116061</v>
      </c>
      <c r="D222" s="173">
        <v>-62868.999999999956</v>
      </c>
      <c r="E222" s="191">
        <f t="shared" si="18"/>
        <v>178929.99999999994</v>
      </c>
      <c r="F222" s="173">
        <v>22000</v>
      </c>
      <c r="G222" s="191">
        <f t="shared" si="19"/>
        <v>189929.99999999994</v>
      </c>
      <c r="H222" s="250">
        <v>15</v>
      </c>
      <c r="I222" s="252">
        <f t="shared" si="15"/>
        <v>6.6666666666666666E-2</v>
      </c>
      <c r="J222" s="191">
        <f t="shared" si="16"/>
        <v>12661.999999999996</v>
      </c>
      <c r="K222" s="173">
        <v>12662</v>
      </c>
      <c r="L222" s="191">
        <f t="shared" si="17"/>
        <v>-3.637978807091713E-12</v>
      </c>
    </row>
    <row r="223" spans="1:12" x14ac:dyDescent="0.2">
      <c r="A223" s="1484">
        <v>1932</v>
      </c>
      <c r="B223" s="180" t="s">
        <v>1426</v>
      </c>
      <c r="C223" s="173">
        <v>171179</v>
      </c>
      <c r="D223" s="173">
        <v>41515</v>
      </c>
      <c r="E223" s="191">
        <f t="shared" si="18"/>
        <v>129664</v>
      </c>
      <c r="F223" s="173"/>
      <c r="G223" s="191">
        <f t="shared" si="19"/>
        <v>129664</v>
      </c>
      <c r="H223" s="250">
        <v>8</v>
      </c>
      <c r="I223" s="252">
        <f t="shared" si="15"/>
        <v>0.125</v>
      </c>
      <c r="J223" s="191">
        <f t="shared" si="16"/>
        <v>16208</v>
      </c>
      <c r="K223" s="173">
        <v>16208</v>
      </c>
      <c r="L223" s="191">
        <f t="shared" si="17"/>
        <v>0</v>
      </c>
    </row>
    <row r="224" spans="1:12" x14ac:dyDescent="0.2">
      <c r="A224" s="1484">
        <v>1933</v>
      </c>
      <c r="B224" s="180" t="s">
        <v>1403</v>
      </c>
      <c r="C224" s="173">
        <v>70712</v>
      </c>
      <c r="D224" s="173">
        <v>1.9999999999972715</v>
      </c>
      <c r="E224" s="191">
        <f t="shared" si="18"/>
        <v>70710</v>
      </c>
      <c r="F224" s="173"/>
      <c r="G224" s="191">
        <f t="shared" si="19"/>
        <v>70710</v>
      </c>
      <c r="H224" s="250">
        <v>10</v>
      </c>
      <c r="I224" s="252">
        <f t="shared" si="15"/>
        <v>0.1</v>
      </c>
      <c r="J224" s="191">
        <f t="shared" si="16"/>
        <v>7071</v>
      </c>
      <c r="K224" s="173">
        <v>7071</v>
      </c>
      <c r="L224" s="191">
        <f t="shared" si="17"/>
        <v>0</v>
      </c>
    </row>
    <row r="225" spans="1:12" x14ac:dyDescent="0.2">
      <c r="A225" s="1484">
        <v>1935</v>
      </c>
      <c r="B225" s="180" t="s">
        <v>287</v>
      </c>
      <c r="C225" s="173"/>
      <c r="D225" s="173"/>
      <c r="E225" s="191">
        <f t="shared" si="18"/>
        <v>0</v>
      </c>
      <c r="F225" s="173"/>
      <c r="G225" s="191">
        <f t="shared" si="19"/>
        <v>0</v>
      </c>
      <c r="H225" s="250"/>
      <c r="I225" s="252">
        <f t="shared" si="15"/>
        <v>0</v>
      </c>
      <c r="J225" s="191">
        <f t="shared" si="16"/>
        <v>0</v>
      </c>
      <c r="K225" s="173"/>
      <c r="L225" s="191">
        <f t="shared" si="17"/>
        <v>0</v>
      </c>
    </row>
    <row r="226" spans="1:12" x14ac:dyDescent="0.2">
      <c r="A226" s="1484">
        <v>1940</v>
      </c>
      <c r="B226" s="180" t="s">
        <v>288</v>
      </c>
      <c r="C226" s="173">
        <v>385936</v>
      </c>
      <c r="D226" s="173">
        <v>300176</v>
      </c>
      <c r="E226" s="191">
        <f t="shared" si="18"/>
        <v>85760</v>
      </c>
      <c r="F226" s="173">
        <v>8000</v>
      </c>
      <c r="G226" s="191">
        <f t="shared" si="19"/>
        <v>89760</v>
      </c>
      <c r="H226" s="250">
        <v>10</v>
      </c>
      <c r="I226" s="252">
        <f t="shared" si="15"/>
        <v>0.1</v>
      </c>
      <c r="J226" s="191">
        <f t="shared" si="16"/>
        <v>8976</v>
      </c>
      <c r="K226" s="173">
        <v>8976</v>
      </c>
      <c r="L226" s="191">
        <f t="shared" si="17"/>
        <v>0</v>
      </c>
    </row>
    <row r="227" spans="1:12" x14ac:dyDescent="0.2">
      <c r="A227" s="1484">
        <v>1945</v>
      </c>
      <c r="B227" s="180" t="s">
        <v>289</v>
      </c>
      <c r="C227" s="173"/>
      <c r="D227" s="173"/>
      <c r="E227" s="191">
        <f t="shared" si="18"/>
        <v>0</v>
      </c>
      <c r="F227" s="173"/>
      <c r="G227" s="191">
        <f t="shared" si="19"/>
        <v>0</v>
      </c>
      <c r="H227" s="250"/>
      <c r="I227" s="252">
        <f t="shared" si="15"/>
        <v>0</v>
      </c>
      <c r="J227" s="191">
        <f t="shared" si="16"/>
        <v>0</v>
      </c>
      <c r="K227" s="173"/>
      <c r="L227" s="191">
        <f t="shared" si="17"/>
        <v>0</v>
      </c>
    </row>
    <row r="228" spans="1:12" x14ac:dyDescent="0.2">
      <c r="A228" s="1484">
        <v>1950</v>
      </c>
      <c r="B228" s="180" t="s">
        <v>218</v>
      </c>
      <c r="C228" s="173"/>
      <c r="D228" s="173"/>
      <c r="E228" s="191">
        <f t="shared" si="18"/>
        <v>0</v>
      </c>
      <c r="F228" s="173"/>
      <c r="G228" s="191">
        <f t="shared" si="19"/>
        <v>0</v>
      </c>
      <c r="H228" s="250"/>
      <c r="I228" s="252">
        <f t="shared" si="15"/>
        <v>0</v>
      </c>
      <c r="J228" s="191">
        <f t="shared" si="16"/>
        <v>0</v>
      </c>
      <c r="K228" s="173"/>
      <c r="L228" s="191">
        <f t="shared" si="17"/>
        <v>0</v>
      </c>
    </row>
    <row r="229" spans="1:12" x14ac:dyDescent="0.2">
      <c r="A229" s="1484">
        <v>1955</v>
      </c>
      <c r="B229" s="180" t="s">
        <v>290</v>
      </c>
      <c r="C229" s="173">
        <v>36873</v>
      </c>
      <c r="D229" s="173">
        <v>23303</v>
      </c>
      <c r="E229" s="191">
        <f t="shared" si="18"/>
        <v>13570</v>
      </c>
      <c r="F229" s="173"/>
      <c r="G229" s="191">
        <f t="shared" si="19"/>
        <v>13570</v>
      </c>
      <c r="H229" s="250">
        <v>10</v>
      </c>
      <c r="I229" s="252">
        <f t="shared" si="15"/>
        <v>0.1</v>
      </c>
      <c r="J229" s="191">
        <f t="shared" si="16"/>
        <v>1357</v>
      </c>
      <c r="K229" s="173">
        <v>1357</v>
      </c>
      <c r="L229" s="191">
        <f t="shared" si="17"/>
        <v>0</v>
      </c>
    </row>
    <row r="230" spans="1:12" x14ac:dyDescent="0.2">
      <c r="A230" s="255">
        <v>1955</v>
      </c>
      <c r="B230" s="184" t="s">
        <v>219</v>
      </c>
      <c r="C230" s="173"/>
      <c r="D230" s="173"/>
      <c r="E230" s="191">
        <f t="shared" si="18"/>
        <v>0</v>
      </c>
      <c r="F230" s="173"/>
      <c r="G230" s="191">
        <f t="shared" si="19"/>
        <v>0</v>
      </c>
      <c r="H230" s="250"/>
      <c r="I230" s="252">
        <f t="shared" si="15"/>
        <v>0</v>
      </c>
      <c r="J230" s="191">
        <f t="shared" si="16"/>
        <v>0</v>
      </c>
      <c r="K230" s="173"/>
      <c r="L230" s="191">
        <f t="shared" si="17"/>
        <v>0</v>
      </c>
    </row>
    <row r="231" spans="1:12" x14ac:dyDescent="0.2">
      <c r="A231" s="254">
        <v>1960</v>
      </c>
      <c r="B231" s="172" t="s">
        <v>220</v>
      </c>
      <c r="C231" s="173"/>
      <c r="D231" s="173"/>
      <c r="E231" s="191">
        <f t="shared" si="18"/>
        <v>0</v>
      </c>
      <c r="F231" s="173"/>
      <c r="G231" s="191">
        <f t="shared" si="19"/>
        <v>0</v>
      </c>
      <c r="H231" s="250"/>
      <c r="I231" s="252">
        <f t="shared" si="15"/>
        <v>0</v>
      </c>
      <c r="J231" s="191">
        <f t="shared" si="16"/>
        <v>0</v>
      </c>
      <c r="K231" s="173"/>
      <c r="L231" s="191">
        <f t="shared" si="17"/>
        <v>0</v>
      </c>
    </row>
    <row r="232" spans="1:12" x14ac:dyDescent="0.2">
      <c r="A232" s="254">
        <v>1970</v>
      </c>
      <c r="B232" s="1482" t="s">
        <v>535</v>
      </c>
      <c r="C232" s="173"/>
      <c r="D232" s="173"/>
      <c r="E232" s="191">
        <f t="shared" si="18"/>
        <v>0</v>
      </c>
      <c r="F232" s="173"/>
      <c r="G232" s="191">
        <f t="shared" si="19"/>
        <v>0</v>
      </c>
      <c r="H232" s="250"/>
      <c r="I232" s="252">
        <f t="shared" si="15"/>
        <v>0</v>
      </c>
      <c r="J232" s="191">
        <f t="shared" si="16"/>
        <v>0</v>
      </c>
      <c r="K232" s="173"/>
      <c r="L232" s="191">
        <f t="shared" si="17"/>
        <v>0</v>
      </c>
    </row>
    <row r="233" spans="1:12" x14ac:dyDescent="0.2">
      <c r="A233" s="1484">
        <v>1975</v>
      </c>
      <c r="B233" s="180" t="s">
        <v>291</v>
      </c>
      <c r="C233" s="173"/>
      <c r="D233" s="173"/>
      <c r="E233" s="191">
        <f t="shared" si="18"/>
        <v>0</v>
      </c>
      <c r="F233" s="173"/>
      <c r="G233" s="191">
        <f t="shared" si="19"/>
        <v>0</v>
      </c>
      <c r="H233" s="250"/>
      <c r="I233" s="252">
        <f t="shared" si="15"/>
        <v>0</v>
      </c>
      <c r="J233" s="191">
        <f t="shared" si="16"/>
        <v>0</v>
      </c>
      <c r="K233" s="173"/>
      <c r="L233" s="191">
        <f t="shared" si="17"/>
        <v>0</v>
      </c>
    </row>
    <row r="234" spans="1:12" x14ac:dyDescent="0.2">
      <c r="A234" s="1484">
        <v>1980</v>
      </c>
      <c r="B234" s="180" t="s">
        <v>292</v>
      </c>
      <c r="C234" s="173"/>
      <c r="D234" s="173"/>
      <c r="E234" s="191">
        <f t="shared" si="18"/>
        <v>0</v>
      </c>
      <c r="F234" s="173"/>
      <c r="G234" s="191">
        <f t="shared" si="19"/>
        <v>0</v>
      </c>
      <c r="H234" s="250"/>
      <c r="I234" s="252">
        <f t="shared" si="15"/>
        <v>0</v>
      </c>
      <c r="J234" s="191">
        <f t="shared" si="16"/>
        <v>0</v>
      </c>
      <c r="K234" s="173"/>
      <c r="L234" s="191">
        <f t="shared" si="17"/>
        <v>0</v>
      </c>
    </row>
    <row r="235" spans="1:12" x14ac:dyDescent="0.2">
      <c r="A235" s="1484">
        <v>1985</v>
      </c>
      <c r="B235" s="180" t="s">
        <v>1428</v>
      </c>
      <c r="C235" s="173">
        <v>15</v>
      </c>
      <c r="D235" s="173">
        <v>15</v>
      </c>
      <c r="E235" s="191">
        <f t="shared" si="18"/>
        <v>0</v>
      </c>
      <c r="F235" s="173"/>
      <c r="G235" s="191">
        <f t="shared" si="19"/>
        <v>0</v>
      </c>
      <c r="H235" s="250">
        <v>10</v>
      </c>
      <c r="I235" s="252">
        <f t="shared" si="15"/>
        <v>0.1</v>
      </c>
      <c r="J235" s="191">
        <f t="shared" si="16"/>
        <v>0</v>
      </c>
      <c r="K235" s="173"/>
      <c r="L235" s="191">
        <f t="shared" si="17"/>
        <v>0</v>
      </c>
    </row>
    <row r="236" spans="1:12" x14ac:dyDescent="0.2">
      <c r="A236" s="1484">
        <v>1990</v>
      </c>
      <c r="B236" s="1483" t="s">
        <v>502</v>
      </c>
      <c r="C236" s="173"/>
      <c r="D236" s="173"/>
      <c r="E236" s="191">
        <f t="shared" si="18"/>
        <v>0</v>
      </c>
      <c r="F236" s="173"/>
      <c r="G236" s="191">
        <f t="shared" si="19"/>
        <v>0</v>
      </c>
      <c r="H236" s="250"/>
      <c r="I236" s="252">
        <f t="shared" si="15"/>
        <v>0</v>
      </c>
      <c r="J236" s="191">
        <f t="shared" si="16"/>
        <v>0</v>
      </c>
      <c r="K236" s="173"/>
      <c r="L236" s="191">
        <f t="shared" si="17"/>
        <v>0</v>
      </c>
    </row>
    <row r="237" spans="1:12" ht="13.5" thickBot="1" x14ac:dyDescent="0.25">
      <c r="A237" s="1484">
        <v>1995</v>
      </c>
      <c r="B237" s="180" t="s">
        <v>294</v>
      </c>
      <c r="C237" s="257">
        <v>-6342546</v>
      </c>
      <c r="D237" s="257">
        <v>38812.500000000466</v>
      </c>
      <c r="E237" s="285">
        <f t="shared" si="18"/>
        <v>-6381358.5</v>
      </c>
      <c r="F237" s="257">
        <v>-247033</v>
      </c>
      <c r="G237" s="285">
        <f t="shared" si="19"/>
        <v>-6504875</v>
      </c>
      <c r="H237" s="259">
        <v>25</v>
      </c>
      <c r="I237" s="260">
        <f t="shared" si="15"/>
        <v>0.04</v>
      </c>
      <c r="J237" s="285">
        <f t="shared" si="16"/>
        <v>-260195</v>
      </c>
      <c r="K237" s="257">
        <v>-260195</v>
      </c>
      <c r="L237" s="285">
        <f t="shared" si="17"/>
        <v>0</v>
      </c>
    </row>
    <row r="238" spans="1:12" ht="14.25" thickTop="1" thickBot="1" x14ac:dyDescent="0.25">
      <c r="A238" s="261"/>
      <c r="B238" s="262" t="s">
        <v>295</v>
      </c>
      <c r="C238" s="263">
        <f>SUM(C191:C237)</f>
        <v>23727675</v>
      </c>
      <c r="D238" s="263">
        <f>SUM(D191:D237)</f>
        <v>19941800</v>
      </c>
      <c r="E238" s="263">
        <f>SUM(E191:E237)</f>
        <v>3785875</v>
      </c>
      <c r="F238" s="263">
        <f>SUM(F191:F237)</f>
        <v>983312</v>
      </c>
      <c r="G238" s="263">
        <f>SUM(G191:G237)</f>
        <v>4277531</v>
      </c>
      <c r="H238" s="330"/>
      <c r="I238" s="266"/>
      <c r="J238" s="263">
        <f>SUM(J191:J237)</f>
        <v>201409</v>
      </c>
      <c r="K238" s="263">
        <f>SUM(K191:K237)</f>
        <v>201409</v>
      </c>
      <c r="L238" s="263">
        <f>SUM(L191:L237)</f>
        <v>-6.8894223659299314E-11</v>
      </c>
    </row>
    <row r="239" spans="1:12" x14ac:dyDescent="0.2">
      <c r="A239" s="289"/>
      <c r="B239" s="1707" t="s">
        <v>1078</v>
      </c>
      <c r="C239" s="1707"/>
      <c r="D239" s="1707"/>
      <c r="E239" s="1707"/>
      <c r="F239" s="1707"/>
      <c r="G239" s="1707"/>
      <c r="H239" s="1707"/>
      <c r="I239" s="1708"/>
      <c r="J239" s="173"/>
      <c r="K239" s="291"/>
      <c r="L239" s="291"/>
    </row>
    <row r="240" spans="1:12" x14ac:dyDescent="0.2">
      <c r="A240" s="289"/>
      <c r="B240" s="290" t="s">
        <v>937</v>
      </c>
      <c r="C240" s="312"/>
      <c r="D240" s="312"/>
      <c r="E240" s="312"/>
      <c r="F240" s="291"/>
      <c r="G240" s="291"/>
      <c r="H240" s="293"/>
      <c r="I240" s="312"/>
      <c r="J240" s="191">
        <f>SUM(J238:J239)</f>
        <v>201409</v>
      </c>
      <c r="K240" s="291"/>
      <c r="L240" s="291"/>
    </row>
    <row r="241" spans="1:12" x14ac:dyDescent="0.2">
      <c r="A241" s="289"/>
      <c r="B241" s="290"/>
      <c r="C241" s="312"/>
      <c r="D241" s="312"/>
      <c r="E241" s="312"/>
      <c r="F241" s="291"/>
      <c r="G241" s="291"/>
      <c r="H241" s="293"/>
      <c r="I241" s="312"/>
      <c r="J241" s="291"/>
      <c r="K241" s="291"/>
      <c r="L241" s="291"/>
    </row>
    <row r="242" spans="1:12" x14ac:dyDescent="0.2">
      <c r="A242" s="289"/>
      <c r="B242" s="290"/>
      <c r="C242" s="312"/>
      <c r="D242" s="312"/>
      <c r="E242" s="312"/>
      <c r="F242" s="291"/>
      <c r="G242" s="291"/>
      <c r="H242" s="293"/>
      <c r="I242" s="312"/>
      <c r="J242" s="291"/>
      <c r="K242" s="291"/>
      <c r="L242" s="291"/>
    </row>
    <row r="243" spans="1:12" x14ac:dyDescent="0.2">
      <c r="B243" s="1113"/>
      <c r="C243" s="1136"/>
      <c r="D243" s="1136" t="s">
        <v>882</v>
      </c>
      <c r="E243" s="48" t="s">
        <v>105</v>
      </c>
      <c r="F243" s="1113"/>
      <c r="G243" s="1138"/>
      <c r="H243" s="1113"/>
      <c r="I243" s="1113"/>
      <c r="J243" s="1113"/>
      <c r="K243" s="1113"/>
      <c r="L243" s="295"/>
    </row>
    <row r="244" spans="1:12" ht="18" x14ac:dyDescent="0.25">
      <c r="A244" s="1481"/>
      <c r="B244" s="1481"/>
      <c r="C244" s="1136"/>
      <c r="D244" s="1136" t="s">
        <v>102</v>
      </c>
      <c r="E244" s="1137">
        <v>2017</v>
      </c>
      <c r="H244" s="1481"/>
      <c r="I244" s="1481"/>
      <c r="J244" s="1481"/>
    </row>
    <row r="245" spans="1:12" ht="13.5" thickBot="1" x14ac:dyDescent="0.25"/>
    <row r="246" spans="1:12" ht="51" x14ac:dyDescent="0.2">
      <c r="A246" s="1685" t="s">
        <v>3</v>
      </c>
      <c r="B246" s="1687" t="s">
        <v>235</v>
      </c>
      <c r="C246" s="245" t="s">
        <v>1043</v>
      </c>
      <c r="D246" s="245" t="s">
        <v>476</v>
      </c>
      <c r="E246" s="245" t="s">
        <v>477</v>
      </c>
      <c r="F246" s="245" t="s">
        <v>237</v>
      </c>
      <c r="G246" s="245" t="s">
        <v>1073</v>
      </c>
      <c r="H246" s="245" t="s">
        <v>6</v>
      </c>
      <c r="I246" s="245" t="s">
        <v>298</v>
      </c>
      <c r="J246" s="277" t="s">
        <v>1082</v>
      </c>
      <c r="K246" s="1697" t="s">
        <v>1062</v>
      </c>
      <c r="L246" s="277" t="s">
        <v>1074</v>
      </c>
    </row>
    <row r="247" spans="1:12" x14ac:dyDescent="0.2">
      <c r="A247" s="1686"/>
      <c r="B247" s="1688"/>
      <c r="C247" s="249" t="s">
        <v>4</v>
      </c>
      <c r="D247" s="249" t="s">
        <v>478</v>
      </c>
      <c r="E247" s="249" t="s">
        <v>479</v>
      </c>
      <c r="F247" s="249" t="s">
        <v>5</v>
      </c>
      <c r="G247" s="328" t="s">
        <v>997</v>
      </c>
      <c r="H247" s="249" t="s">
        <v>7</v>
      </c>
      <c r="I247" s="249" t="s">
        <v>8</v>
      </c>
      <c r="J247" s="329" t="s">
        <v>9</v>
      </c>
      <c r="K247" s="1711"/>
      <c r="L247" s="329" t="s">
        <v>382</v>
      </c>
    </row>
    <row r="248" spans="1:12" ht="25.5" x14ac:dyDescent="0.2">
      <c r="A248" s="1484">
        <v>1611</v>
      </c>
      <c r="B248" s="172" t="s">
        <v>381</v>
      </c>
      <c r="C248" s="173">
        <v>260751</v>
      </c>
      <c r="D248" s="173">
        <v>240376</v>
      </c>
      <c r="E248" s="191">
        <f>C248-D248</f>
        <v>20375</v>
      </c>
      <c r="F248" s="173">
        <v>28000</v>
      </c>
      <c r="G248" s="191">
        <f>E248+0.5*F248</f>
        <v>34375</v>
      </c>
      <c r="H248" s="250">
        <v>5</v>
      </c>
      <c r="I248" s="251">
        <f t="shared" ref="I248:I294" si="20">IF(H248=0,0,1/H248)</f>
        <v>0.2</v>
      </c>
      <c r="J248" s="191">
        <f t="shared" ref="J248:J294" si="21">IF(H248=0,0,G248/H248)</f>
        <v>6875</v>
      </c>
      <c r="K248" s="173">
        <v>6875</v>
      </c>
      <c r="L248" s="191">
        <f t="shared" ref="L248:L294" si="22">IF(ISERROR(+J248-K248), 0, +J248-K248)</f>
        <v>0</v>
      </c>
    </row>
    <row r="249" spans="1:12" x14ac:dyDescent="0.2">
      <c r="A249" s="1484">
        <v>1612</v>
      </c>
      <c r="B249" s="172" t="s">
        <v>442</v>
      </c>
      <c r="C249" s="173">
        <v>2945</v>
      </c>
      <c r="D249" s="173">
        <v>2945</v>
      </c>
      <c r="E249" s="191">
        <f t="shared" ref="E249:E294" si="23">C249-D249</f>
        <v>0</v>
      </c>
      <c r="F249" s="173"/>
      <c r="G249" s="191">
        <f t="shared" ref="G249:G294" si="24">E249+0.5*F249</f>
        <v>0</v>
      </c>
      <c r="H249" s="250">
        <v>5</v>
      </c>
      <c r="I249" s="252">
        <f t="shared" si="20"/>
        <v>0.2</v>
      </c>
      <c r="J249" s="191">
        <f t="shared" si="21"/>
        <v>0</v>
      </c>
      <c r="K249" s="173"/>
      <c r="L249" s="191">
        <f t="shared" si="22"/>
        <v>0</v>
      </c>
    </row>
    <row r="250" spans="1:12" x14ac:dyDescent="0.2">
      <c r="A250" s="253">
        <v>1805</v>
      </c>
      <c r="B250" s="179" t="s">
        <v>267</v>
      </c>
      <c r="C250" s="173">
        <v>2112</v>
      </c>
      <c r="D250" s="173"/>
      <c r="E250" s="191">
        <f t="shared" si="23"/>
        <v>2112</v>
      </c>
      <c r="F250" s="173"/>
      <c r="G250" s="191">
        <f t="shared" si="24"/>
        <v>2112</v>
      </c>
      <c r="H250" s="250"/>
      <c r="I250" s="252">
        <f t="shared" si="20"/>
        <v>0</v>
      </c>
      <c r="J250" s="191">
        <f t="shared" si="21"/>
        <v>0</v>
      </c>
      <c r="K250" s="173"/>
      <c r="L250" s="191">
        <f t="shared" si="22"/>
        <v>0</v>
      </c>
    </row>
    <row r="251" spans="1:12" x14ac:dyDescent="0.2">
      <c r="A251" s="1484">
        <v>1808</v>
      </c>
      <c r="B251" s="180" t="s">
        <v>268</v>
      </c>
      <c r="C251" s="173"/>
      <c r="D251" s="173"/>
      <c r="E251" s="191">
        <f t="shared" si="23"/>
        <v>0</v>
      </c>
      <c r="F251" s="173"/>
      <c r="G251" s="191">
        <f t="shared" si="24"/>
        <v>0</v>
      </c>
      <c r="H251" s="250"/>
      <c r="I251" s="252">
        <f t="shared" si="20"/>
        <v>0</v>
      </c>
      <c r="J251" s="191">
        <f t="shared" si="21"/>
        <v>0</v>
      </c>
      <c r="K251" s="173"/>
      <c r="L251" s="191">
        <f t="shared" si="22"/>
        <v>0</v>
      </c>
    </row>
    <row r="252" spans="1:12" x14ac:dyDescent="0.2">
      <c r="A252" s="1484">
        <v>1810</v>
      </c>
      <c r="B252" s="180" t="s">
        <v>299</v>
      </c>
      <c r="C252" s="173"/>
      <c r="D252" s="173"/>
      <c r="E252" s="191">
        <f t="shared" si="23"/>
        <v>0</v>
      </c>
      <c r="F252" s="173"/>
      <c r="G252" s="191">
        <f t="shared" si="24"/>
        <v>0</v>
      </c>
      <c r="H252" s="250"/>
      <c r="I252" s="252">
        <f t="shared" si="20"/>
        <v>0</v>
      </c>
      <c r="J252" s="191">
        <f t="shared" si="21"/>
        <v>0</v>
      </c>
      <c r="K252" s="173"/>
      <c r="L252" s="191">
        <f t="shared" si="22"/>
        <v>0</v>
      </c>
    </row>
    <row r="253" spans="1:12" x14ac:dyDescent="0.2">
      <c r="A253" s="1484">
        <v>1815</v>
      </c>
      <c r="B253" s="180" t="s">
        <v>269</v>
      </c>
      <c r="C253" s="173"/>
      <c r="D253" s="173"/>
      <c r="E253" s="191">
        <f t="shared" si="23"/>
        <v>0</v>
      </c>
      <c r="F253" s="173"/>
      <c r="G253" s="191">
        <f t="shared" si="24"/>
        <v>0</v>
      </c>
      <c r="H253" s="250"/>
      <c r="I253" s="252">
        <f t="shared" si="20"/>
        <v>0</v>
      </c>
      <c r="J253" s="191">
        <f t="shared" si="21"/>
        <v>0</v>
      </c>
      <c r="K253" s="173"/>
      <c r="L253" s="191">
        <f t="shared" si="22"/>
        <v>0</v>
      </c>
    </row>
    <row r="254" spans="1:12" x14ac:dyDescent="0.2">
      <c r="A254" s="1484">
        <v>1820</v>
      </c>
      <c r="B254" s="172" t="s">
        <v>207</v>
      </c>
      <c r="C254" s="173">
        <v>142098</v>
      </c>
      <c r="D254" s="173">
        <v>140238</v>
      </c>
      <c r="E254" s="191">
        <f t="shared" si="23"/>
        <v>1860</v>
      </c>
      <c r="F254" s="173"/>
      <c r="G254" s="191">
        <f t="shared" si="24"/>
        <v>1860</v>
      </c>
      <c r="H254" s="250">
        <v>30</v>
      </c>
      <c r="I254" s="252">
        <f t="shared" si="20"/>
        <v>3.3333333333333333E-2</v>
      </c>
      <c r="J254" s="191">
        <f t="shared" si="21"/>
        <v>62</v>
      </c>
      <c r="K254" s="173">
        <v>62</v>
      </c>
      <c r="L254" s="191">
        <f t="shared" si="22"/>
        <v>0</v>
      </c>
    </row>
    <row r="255" spans="1:12" x14ac:dyDescent="0.2">
      <c r="A255" s="1484">
        <v>1825</v>
      </c>
      <c r="B255" s="180" t="s">
        <v>270</v>
      </c>
      <c r="C255" s="173"/>
      <c r="D255" s="173"/>
      <c r="E255" s="191">
        <f t="shared" si="23"/>
        <v>0</v>
      </c>
      <c r="F255" s="173"/>
      <c r="G255" s="191">
        <f t="shared" si="24"/>
        <v>0</v>
      </c>
      <c r="H255" s="250"/>
      <c r="I255" s="252">
        <f t="shared" si="20"/>
        <v>0</v>
      </c>
      <c r="J255" s="191">
        <f t="shared" si="21"/>
        <v>0</v>
      </c>
      <c r="K255" s="173"/>
      <c r="L255" s="191">
        <f t="shared" si="22"/>
        <v>0</v>
      </c>
    </row>
    <row r="256" spans="1:12" x14ac:dyDescent="0.2">
      <c r="A256" s="1484">
        <v>1830</v>
      </c>
      <c r="B256" s="180" t="s">
        <v>271</v>
      </c>
      <c r="C256" s="173">
        <v>1170164</v>
      </c>
      <c r="D256" s="173">
        <v>114518.99999999981</v>
      </c>
      <c r="E256" s="191">
        <f t="shared" si="23"/>
        <v>1055645.0000000002</v>
      </c>
      <c r="F256" s="173">
        <v>56000</v>
      </c>
      <c r="G256" s="191">
        <f t="shared" si="24"/>
        <v>1083645.0000000002</v>
      </c>
      <c r="H256" s="250">
        <v>45</v>
      </c>
      <c r="I256" s="252">
        <f t="shared" si="20"/>
        <v>2.2222222222222223E-2</v>
      </c>
      <c r="J256" s="191">
        <f t="shared" si="21"/>
        <v>24081.000000000004</v>
      </c>
      <c r="K256" s="173">
        <v>24081</v>
      </c>
      <c r="L256" s="191">
        <f t="shared" si="22"/>
        <v>3.637978807091713E-12</v>
      </c>
    </row>
    <row r="257" spans="1:12" x14ac:dyDescent="0.2">
      <c r="A257" s="1484">
        <v>1835</v>
      </c>
      <c r="B257" s="180" t="s">
        <v>208</v>
      </c>
      <c r="C257" s="173">
        <v>6546230</v>
      </c>
      <c r="D257" s="173">
        <v>4236751.5000000019</v>
      </c>
      <c r="E257" s="191">
        <f t="shared" si="23"/>
        <v>2309478.4999999981</v>
      </c>
      <c r="F257" s="173">
        <v>59003</v>
      </c>
      <c r="G257" s="191">
        <f t="shared" si="24"/>
        <v>2338979.9999999981</v>
      </c>
      <c r="H257" s="250">
        <v>60</v>
      </c>
      <c r="I257" s="252">
        <f t="shared" si="20"/>
        <v>1.6666666666666666E-2</v>
      </c>
      <c r="J257" s="191">
        <f t="shared" si="21"/>
        <v>38982.999999999971</v>
      </c>
      <c r="K257" s="173">
        <v>38983</v>
      </c>
      <c r="L257" s="191">
        <f t="shared" si="22"/>
        <v>-2.9103830456733704E-11</v>
      </c>
    </row>
    <row r="258" spans="1:12" x14ac:dyDescent="0.2">
      <c r="A258" s="1484">
        <v>1840</v>
      </c>
      <c r="B258" s="180" t="s">
        <v>209</v>
      </c>
      <c r="C258" s="173">
        <v>2396428</v>
      </c>
      <c r="D258" s="173">
        <v>147178.00000000003</v>
      </c>
      <c r="E258" s="191">
        <f t="shared" si="23"/>
        <v>2249250</v>
      </c>
      <c r="F258" s="173">
        <v>155000</v>
      </c>
      <c r="G258" s="191">
        <f t="shared" si="24"/>
        <v>2326750</v>
      </c>
      <c r="H258" s="250">
        <v>50</v>
      </c>
      <c r="I258" s="252">
        <f t="shared" si="20"/>
        <v>0.02</v>
      </c>
      <c r="J258" s="191">
        <f t="shared" si="21"/>
        <v>46535</v>
      </c>
      <c r="K258" s="173">
        <v>46535</v>
      </c>
      <c r="L258" s="191">
        <f t="shared" si="22"/>
        <v>0</v>
      </c>
    </row>
    <row r="259" spans="1:12" x14ac:dyDescent="0.2">
      <c r="A259" s="1484">
        <v>1845</v>
      </c>
      <c r="B259" s="180" t="s">
        <v>210</v>
      </c>
      <c r="C259" s="173">
        <v>8748875</v>
      </c>
      <c r="D259" s="173">
        <v>3978875</v>
      </c>
      <c r="E259" s="191">
        <f t="shared" si="23"/>
        <v>4770000</v>
      </c>
      <c r="F259" s="173">
        <v>250000</v>
      </c>
      <c r="G259" s="191">
        <f t="shared" si="24"/>
        <v>4895000</v>
      </c>
      <c r="H259" s="250">
        <v>40</v>
      </c>
      <c r="I259" s="252">
        <f t="shared" si="20"/>
        <v>2.5000000000000001E-2</v>
      </c>
      <c r="J259" s="191">
        <f t="shared" si="21"/>
        <v>122375</v>
      </c>
      <c r="K259" s="173">
        <v>122375</v>
      </c>
      <c r="L259" s="191">
        <f t="shared" si="22"/>
        <v>0</v>
      </c>
    </row>
    <row r="260" spans="1:12" x14ac:dyDescent="0.2">
      <c r="A260" s="1484">
        <v>1850</v>
      </c>
      <c r="B260" s="180" t="s">
        <v>272</v>
      </c>
      <c r="C260" s="173">
        <v>6806028</v>
      </c>
      <c r="D260" s="173">
        <v>2905028.0000000009</v>
      </c>
      <c r="E260" s="191">
        <f t="shared" si="23"/>
        <v>3900999.9999999991</v>
      </c>
      <c r="F260" s="173">
        <v>188000</v>
      </c>
      <c r="G260" s="191">
        <f t="shared" si="24"/>
        <v>3994999.9999999991</v>
      </c>
      <c r="H260" s="250">
        <v>40</v>
      </c>
      <c r="I260" s="252">
        <f t="shared" si="20"/>
        <v>2.5000000000000001E-2</v>
      </c>
      <c r="J260" s="191">
        <f t="shared" si="21"/>
        <v>99874.999999999971</v>
      </c>
      <c r="K260" s="173">
        <v>99875</v>
      </c>
      <c r="L260" s="191">
        <f t="shared" si="22"/>
        <v>-2.9103830456733704E-11</v>
      </c>
    </row>
    <row r="261" spans="1:12" x14ac:dyDescent="0.2">
      <c r="A261" s="1484">
        <v>1851</v>
      </c>
      <c r="B261" s="180" t="s">
        <v>1416</v>
      </c>
      <c r="C261" s="173">
        <v>10515</v>
      </c>
      <c r="D261" s="173">
        <v>-5.0000000000014779</v>
      </c>
      <c r="E261" s="191">
        <f t="shared" si="23"/>
        <v>10520.000000000002</v>
      </c>
      <c r="F261" s="173"/>
      <c r="G261" s="191">
        <f t="shared" si="24"/>
        <v>10520.000000000002</v>
      </c>
      <c r="H261" s="250">
        <v>20</v>
      </c>
      <c r="I261" s="252">
        <f t="shared" si="20"/>
        <v>0.05</v>
      </c>
      <c r="J261" s="191">
        <f t="shared" si="21"/>
        <v>526.00000000000011</v>
      </c>
      <c r="K261" s="173">
        <v>526</v>
      </c>
      <c r="L261" s="191">
        <f t="shared" si="22"/>
        <v>1.1368683772161603E-13</v>
      </c>
    </row>
    <row r="262" spans="1:12" ht="25.5" x14ac:dyDescent="0.2">
      <c r="A262" s="1484">
        <v>1852</v>
      </c>
      <c r="B262" s="180" t="s">
        <v>1422</v>
      </c>
      <c r="C262" s="173">
        <v>79945</v>
      </c>
      <c r="D262" s="173">
        <v>-10054.999999999996</v>
      </c>
      <c r="E262" s="191">
        <f t="shared" si="23"/>
        <v>90000</v>
      </c>
      <c r="F262" s="173">
        <v>18000</v>
      </c>
      <c r="G262" s="191">
        <f t="shared" si="24"/>
        <v>99000</v>
      </c>
      <c r="H262" s="250">
        <v>60</v>
      </c>
      <c r="I262" s="252">
        <f t="shared" si="20"/>
        <v>1.6666666666666666E-2</v>
      </c>
      <c r="J262" s="191">
        <f t="shared" si="21"/>
        <v>1650</v>
      </c>
      <c r="K262" s="173">
        <v>1650</v>
      </c>
      <c r="L262" s="191">
        <f t="shared" si="22"/>
        <v>0</v>
      </c>
    </row>
    <row r="263" spans="1:12" x14ac:dyDescent="0.2">
      <c r="A263" s="1484">
        <v>1855</v>
      </c>
      <c r="B263" s="180" t="s">
        <v>211</v>
      </c>
      <c r="C263" s="173">
        <v>1159062</v>
      </c>
      <c r="D263" s="173">
        <v>-37462.999999999971</v>
      </c>
      <c r="E263" s="191">
        <f t="shared" si="23"/>
        <v>1196525</v>
      </c>
      <c r="F263" s="173">
        <v>59000</v>
      </c>
      <c r="G263" s="191">
        <f t="shared" si="24"/>
        <v>1226025</v>
      </c>
      <c r="H263" s="250">
        <v>25</v>
      </c>
      <c r="I263" s="252">
        <f t="shared" si="20"/>
        <v>0.04</v>
      </c>
      <c r="J263" s="191">
        <f t="shared" si="21"/>
        <v>49041</v>
      </c>
      <c r="K263" s="173">
        <v>49041</v>
      </c>
      <c r="L263" s="191">
        <f t="shared" si="22"/>
        <v>0</v>
      </c>
    </row>
    <row r="264" spans="1:12" x14ac:dyDescent="0.2">
      <c r="A264" s="1484">
        <v>1860</v>
      </c>
      <c r="B264" s="180" t="s">
        <v>273</v>
      </c>
      <c r="C264" s="173"/>
      <c r="D264" s="173"/>
      <c r="E264" s="191">
        <f t="shared" si="23"/>
        <v>0</v>
      </c>
      <c r="F264" s="173"/>
      <c r="G264" s="191">
        <f t="shared" si="24"/>
        <v>0</v>
      </c>
      <c r="H264" s="250"/>
      <c r="I264" s="252">
        <f t="shared" si="20"/>
        <v>0</v>
      </c>
      <c r="J264" s="191">
        <f t="shared" si="21"/>
        <v>0</v>
      </c>
      <c r="K264" s="173"/>
      <c r="L264" s="191">
        <f t="shared" si="22"/>
        <v>0</v>
      </c>
    </row>
    <row r="265" spans="1:12" ht="25.5" x14ac:dyDescent="0.2">
      <c r="A265" s="1484">
        <v>1861</v>
      </c>
      <c r="B265" s="180" t="s">
        <v>1423</v>
      </c>
      <c r="C265" s="173">
        <v>1333006</v>
      </c>
      <c r="D265" s="173">
        <v>-3873.9999999998254</v>
      </c>
      <c r="E265" s="191">
        <f t="shared" si="23"/>
        <v>1336879.9999999998</v>
      </c>
      <c r="F265" s="173">
        <v>2000</v>
      </c>
      <c r="G265" s="191">
        <f t="shared" si="24"/>
        <v>1337879.9999999998</v>
      </c>
      <c r="H265" s="250">
        <v>10</v>
      </c>
      <c r="I265" s="252">
        <f t="shared" si="20"/>
        <v>0.1</v>
      </c>
      <c r="J265" s="191">
        <f t="shared" si="21"/>
        <v>133787.99999999997</v>
      </c>
      <c r="K265" s="173">
        <v>133788</v>
      </c>
      <c r="L265" s="191">
        <f t="shared" si="22"/>
        <v>-2.9103830456733704E-11</v>
      </c>
    </row>
    <row r="266" spans="1:12" x14ac:dyDescent="0.2">
      <c r="A266" s="1484">
        <v>1862</v>
      </c>
      <c r="B266" s="180" t="s">
        <v>1397</v>
      </c>
      <c r="C266" s="173">
        <v>352576</v>
      </c>
      <c r="D266" s="173">
        <v>-198293.99999999994</v>
      </c>
      <c r="E266" s="191">
        <f t="shared" si="23"/>
        <v>550870</v>
      </c>
      <c r="F266" s="173">
        <v>28000</v>
      </c>
      <c r="G266" s="191">
        <f t="shared" si="24"/>
        <v>564870</v>
      </c>
      <c r="H266" s="250">
        <v>15</v>
      </c>
      <c r="I266" s="252">
        <f t="shared" si="20"/>
        <v>6.6666666666666666E-2</v>
      </c>
      <c r="J266" s="191">
        <f t="shared" si="21"/>
        <v>37658</v>
      </c>
      <c r="K266" s="173">
        <v>37658</v>
      </c>
      <c r="L266" s="191">
        <f t="shared" si="22"/>
        <v>0</v>
      </c>
    </row>
    <row r="267" spans="1:12" x14ac:dyDescent="0.2">
      <c r="A267" s="1484">
        <v>1863</v>
      </c>
      <c r="B267" s="180" t="s">
        <v>1398</v>
      </c>
      <c r="C267" s="173">
        <v>6013</v>
      </c>
      <c r="D267" s="173">
        <v>-2.0000000000030127</v>
      </c>
      <c r="E267" s="191">
        <f t="shared" si="23"/>
        <v>6015.0000000000027</v>
      </c>
      <c r="F267" s="173">
        <v>6000</v>
      </c>
      <c r="G267" s="191">
        <f t="shared" si="24"/>
        <v>9015.0000000000036</v>
      </c>
      <c r="H267" s="250">
        <v>15</v>
      </c>
      <c r="I267" s="252">
        <f t="shared" si="20"/>
        <v>6.6666666666666666E-2</v>
      </c>
      <c r="J267" s="191">
        <f t="shared" si="21"/>
        <v>601.00000000000023</v>
      </c>
      <c r="K267" s="173">
        <v>601</v>
      </c>
      <c r="L267" s="191">
        <f t="shared" si="22"/>
        <v>2.2737367544323206E-13</v>
      </c>
    </row>
    <row r="268" spans="1:12" x14ac:dyDescent="0.2">
      <c r="A268" s="1484">
        <v>1864</v>
      </c>
      <c r="B268" s="180" t="s">
        <v>1424</v>
      </c>
      <c r="C268" s="173">
        <v>111232</v>
      </c>
      <c r="D268" s="173">
        <v>-22508.000000000018</v>
      </c>
      <c r="E268" s="191">
        <f t="shared" si="23"/>
        <v>133740.00000000003</v>
      </c>
      <c r="F268" s="173">
        <v>1000</v>
      </c>
      <c r="G268" s="191">
        <f t="shared" si="24"/>
        <v>134240.00000000003</v>
      </c>
      <c r="H268" s="250">
        <v>40</v>
      </c>
      <c r="I268" s="252">
        <f t="shared" si="20"/>
        <v>2.5000000000000001E-2</v>
      </c>
      <c r="J268" s="191">
        <f t="shared" si="21"/>
        <v>3356.0000000000009</v>
      </c>
      <c r="K268" s="173">
        <v>3356</v>
      </c>
      <c r="L268" s="191">
        <f t="shared" si="22"/>
        <v>9.0949470177292824E-13</v>
      </c>
    </row>
    <row r="269" spans="1:12" x14ac:dyDescent="0.2">
      <c r="A269" s="253">
        <v>1860</v>
      </c>
      <c r="B269" s="179" t="s">
        <v>212</v>
      </c>
      <c r="C269" s="173"/>
      <c r="D269" s="173"/>
      <c r="E269" s="191">
        <f t="shared" si="23"/>
        <v>0</v>
      </c>
      <c r="F269" s="173"/>
      <c r="G269" s="191">
        <f t="shared" si="24"/>
        <v>0</v>
      </c>
      <c r="H269" s="250"/>
      <c r="I269" s="252">
        <f t="shared" si="20"/>
        <v>0</v>
      </c>
      <c r="J269" s="191">
        <f t="shared" si="21"/>
        <v>0</v>
      </c>
      <c r="K269" s="173"/>
      <c r="L269" s="191">
        <f t="shared" si="22"/>
        <v>0</v>
      </c>
    </row>
    <row r="270" spans="1:12" x14ac:dyDescent="0.2">
      <c r="A270" s="253">
        <v>1905</v>
      </c>
      <c r="B270" s="179" t="s">
        <v>267</v>
      </c>
      <c r="C270" s="173">
        <v>171765</v>
      </c>
      <c r="D270" s="173">
        <v>0</v>
      </c>
      <c r="E270" s="191">
        <f t="shared" si="23"/>
        <v>171765</v>
      </c>
      <c r="F270" s="173"/>
      <c r="G270" s="191">
        <f t="shared" si="24"/>
        <v>171765</v>
      </c>
      <c r="H270" s="250"/>
      <c r="I270" s="252">
        <f t="shared" si="20"/>
        <v>0</v>
      </c>
      <c r="J270" s="191">
        <f t="shared" si="21"/>
        <v>0</v>
      </c>
      <c r="K270" s="173"/>
      <c r="L270" s="191">
        <f t="shared" si="22"/>
        <v>0</v>
      </c>
    </row>
    <row r="271" spans="1:12" x14ac:dyDescent="0.2">
      <c r="A271" s="1484">
        <v>1908</v>
      </c>
      <c r="B271" s="180" t="s">
        <v>275</v>
      </c>
      <c r="C271" s="173">
        <v>432288</v>
      </c>
      <c r="D271" s="173">
        <v>-59612.000000000073</v>
      </c>
      <c r="E271" s="191">
        <f t="shared" si="23"/>
        <v>491900.00000000006</v>
      </c>
      <c r="F271" s="173">
        <v>2000</v>
      </c>
      <c r="G271" s="191">
        <f t="shared" si="24"/>
        <v>492900.00000000006</v>
      </c>
      <c r="H271" s="250">
        <v>50</v>
      </c>
      <c r="I271" s="252">
        <f t="shared" si="20"/>
        <v>0.02</v>
      </c>
      <c r="J271" s="191">
        <f t="shared" si="21"/>
        <v>9858.0000000000018</v>
      </c>
      <c r="K271" s="173">
        <v>9858</v>
      </c>
      <c r="L271" s="191">
        <f t="shared" si="22"/>
        <v>1.8189894035458565E-12</v>
      </c>
    </row>
    <row r="272" spans="1:12" x14ac:dyDescent="0.2">
      <c r="A272" s="1484">
        <v>1910</v>
      </c>
      <c r="B272" s="180" t="s">
        <v>299</v>
      </c>
      <c r="C272" s="173"/>
      <c r="D272" s="173"/>
      <c r="E272" s="191">
        <f t="shared" si="23"/>
        <v>0</v>
      </c>
      <c r="F272" s="173"/>
      <c r="G272" s="191">
        <f t="shared" si="24"/>
        <v>0</v>
      </c>
      <c r="H272" s="250"/>
      <c r="I272" s="252">
        <f t="shared" si="20"/>
        <v>0</v>
      </c>
      <c r="J272" s="191">
        <f t="shared" si="21"/>
        <v>0</v>
      </c>
      <c r="K272" s="173"/>
      <c r="L272" s="191">
        <f t="shared" si="22"/>
        <v>0</v>
      </c>
    </row>
    <row r="273" spans="1:12" x14ac:dyDescent="0.2">
      <c r="A273" s="1484">
        <v>1915</v>
      </c>
      <c r="B273" s="180" t="s">
        <v>213</v>
      </c>
      <c r="C273" s="173">
        <v>301992</v>
      </c>
      <c r="D273" s="173">
        <v>212231.99999999997</v>
      </c>
      <c r="E273" s="191">
        <f t="shared" si="23"/>
        <v>89760.000000000029</v>
      </c>
      <c r="F273" s="173">
        <v>16000</v>
      </c>
      <c r="G273" s="191">
        <f t="shared" si="24"/>
        <v>97760.000000000029</v>
      </c>
      <c r="H273" s="250">
        <v>10</v>
      </c>
      <c r="I273" s="252">
        <f t="shared" si="20"/>
        <v>0.1</v>
      </c>
      <c r="J273" s="191">
        <f t="shared" si="21"/>
        <v>9776.0000000000036</v>
      </c>
      <c r="K273" s="173">
        <v>9776</v>
      </c>
      <c r="L273" s="191">
        <f t="shared" si="22"/>
        <v>3.637978807091713E-12</v>
      </c>
    </row>
    <row r="274" spans="1:12" x14ac:dyDescent="0.2">
      <c r="A274" s="1484">
        <v>1915</v>
      </c>
      <c r="B274" s="180" t="s">
        <v>214</v>
      </c>
      <c r="C274" s="173"/>
      <c r="D274" s="173"/>
      <c r="E274" s="191">
        <f t="shared" si="23"/>
        <v>0</v>
      </c>
      <c r="F274" s="173"/>
      <c r="G274" s="191">
        <f t="shared" si="24"/>
        <v>0</v>
      </c>
      <c r="H274" s="250"/>
      <c r="I274" s="252">
        <f t="shared" si="20"/>
        <v>0</v>
      </c>
      <c r="J274" s="191">
        <f t="shared" si="21"/>
        <v>0</v>
      </c>
      <c r="K274" s="173"/>
      <c r="L274" s="191">
        <f t="shared" si="22"/>
        <v>0</v>
      </c>
    </row>
    <row r="275" spans="1:12" x14ac:dyDescent="0.2">
      <c r="A275" s="1484">
        <v>1920</v>
      </c>
      <c r="B275" s="180" t="s">
        <v>215</v>
      </c>
      <c r="C275" s="173">
        <v>455765</v>
      </c>
      <c r="D275" s="173">
        <v>363290</v>
      </c>
      <c r="E275" s="191">
        <f t="shared" si="23"/>
        <v>92475</v>
      </c>
      <c r="F275" s="173">
        <v>500</v>
      </c>
      <c r="G275" s="191">
        <f t="shared" si="24"/>
        <v>92725</v>
      </c>
      <c r="H275" s="250">
        <v>5</v>
      </c>
      <c r="I275" s="252">
        <f t="shared" si="20"/>
        <v>0.2</v>
      </c>
      <c r="J275" s="191">
        <f t="shared" si="21"/>
        <v>18545</v>
      </c>
      <c r="K275" s="173">
        <v>18545</v>
      </c>
      <c r="L275" s="191">
        <f t="shared" si="22"/>
        <v>0</v>
      </c>
    </row>
    <row r="276" spans="1:12" x14ac:dyDescent="0.2">
      <c r="A276" s="254">
        <v>1920</v>
      </c>
      <c r="B276" s="172" t="s">
        <v>217</v>
      </c>
      <c r="C276" s="173"/>
      <c r="D276" s="173"/>
      <c r="E276" s="191">
        <f t="shared" si="23"/>
        <v>0</v>
      </c>
      <c r="F276" s="173"/>
      <c r="G276" s="191">
        <f t="shared" si="24"/>
        <v>0</v>
      </c>
      <c r="H276" s="250"/>
      <c r="I276" s="252">
        <f t="shared" si="20"/>
        <v>0</v>
      </c>
      <c r="J276" s="191">
        <f t="shared" si="21"/>
        <v>0</v>
      </c>
      <c r="K276" s="173"/>
      <c r="L276" s="191">
        <f t="shared" si="22"/>
        <v>0</v>
      </c>
    </row>
    <row r="277" spans="1:12" x14ac:dyDescent="0.2">
      <c r="A277" s="254">
        <v>1920</v>
      </c>
      <c r="B277" s="172" t="s">
        <v>216</v>
      </c>
      <c r="C277" s="173"/>
      <c r="D277" s="173"/>
      <c r="E277" s="191">
        <f t="shared" si="23"/>
        <v>0</v>
      </c>
      <c r="F277" s="173"/>
      <c r="G277" s="191">
        <f t="shared" si="24"/>
        <v>0</v>
      </c>
      <c r="H277" s="250"/>
      <c r="I277" s="252">
        <f t="shared" si="20"/>
        <v>0</v>
      </c>
      <c r="J277" s="191">
        <f t="shared" si="21"/>
        <v>0</v>
      </c>
      <c r="K277" s="173"/>
      <c r="L277" s="191">
        <f t="shared" si="22"/>
        <v>0</v>
      </c>
    </row>
    <row r="278" spans="1:12" x14ac:dyDescent="0.2">
      <c r="A278" s="1484">
        <v>1930</v>
      </c>
      <c r="B278" s="180" t="s">
        <v>286</v>
      </c>
      <c r="C278" s="173"/>
      <c r="D278" s="173"/>
      <c r="E278" s="191">
        <f t="shared" si="23"/>
        <v>0</v>
      </c>
      <c r="F278" s="173"/>
      <c r="G278" s="191">
        <f t="shared" si="24"/>
        <v>0</v>
      </c>
      <c r="H278" s="250">
        <v>8</v>
      </c>
      <c r="I278" s="252">
        <f t="shared" si="20"/>
        <v>0.125</v>
      </c>
      <c r="J278" s="191">
        <f t="shared" si="21"/>
        <v>0</v>
      </c>
      <c r="K278" s="173"/>
      <c r="L278" s="191">
        <f t="shared" si="22"/>
        <v>0</v>
      </c>
    </row>
    <row r="279" spans="1:12" x14ac:dyDescent="0.2">
      <c r="A279" s="1484">
        <v>1931</v>
      </c>
      <c r="B279" s="180" t="s">
        <v>1425</v>
      </c>
      <c r="C279" s="173">
        <v>138061</v>
      </c>
      <c r="D279" s="173">
        <v>-62874.000000000102</v>
      </c>
      <c r="E279" s="191">
        <f t="shared" si="23"/>
        <v>200935.00000000012</v>
      </c>
      <c r="F279" s="173">
        <v>445000</v>
      </c>
      <c r="G279" s="191">
        <f t="shared" si="24"/>
        <v>423435.00000000012</v>
      </c>
      <c r="H279" s="250">
        <v>15</v>
      </c>
      <c r="I279" s="252">
        <f t="shared" si="20"/>
        <v>6.6666666666666666E-2</v>
      </c>
      <c r="J279" s="191">
        <f t="shared" si="21"/>
        <v>28229.000000000007</v>
      </c>
      <c r="K279" s="173">
        <v>28229</v>
      </c>
      <c r="L279" s="191">
        <f t="shared" si="22"/>
        <v>7.2759576141834259E-12</v>
      </c>
    </row>
    <row r="280" spans="1:12" x14ac:dyDescent="0.2">
      <c r="A280" s="1484">
        <v>1932</v>
      </c>
      <c r="B280" s="180" t="s">
        <v>1426</v>
      </c>
      <c r="C280" s="173">
        <v>171179</v>
      </c>
      <c r="D280" s="173">
        <v>124227</v>
      </c>
      <c r="E280" s="191">
        <f t="shared" si="23"/>
        <v>46952</v>
      </c>
      <c r="F280" s="173"/>
      <c r="G280" s="191">
        <f t="shared" si="24"/>
        <v>46952</v>
      </c>
      <c r="H280" s="250">
        <v>8</v>
      </c>
      <c r="I280" s="252">
        <f t="shared" si="20"/>
        <v>0.125</v>
      </c>
      <c r="J280" s="191">
        <f t="shared" si="21"/>
        <v>5869</v>
      </c>
      <c r="K280" s="173">
        <v>5869</v>
      </c>
      <c r="L280" s="191">
        <f t="shared" si="22"/>
        <v>0</v>
      </c>
    </row>
    <row r="281" spans="1:12" x14ac:dyDescent="0.2">
      <c r="A281" s="1484">
        <v>1933</v>
      </c>
      <c r="B281" s="180" t="s">
        <v>1403</v>
      </c>
      <c r="C281" s="173">
        <v>70712</v>
      </c>
      <c r="D281" s="173">
        <v>1.9999999999836291</v>
      </c>
      <c r="E281" s="191">
        <f t="shared" si="23"/>
        <v>70710.000000000015</v>
      </c>
      <c r="F281" s="173"/>
      <c r="G281" s="191">
        <f t="shared" si="24"/>
        <v>70710.000000000015</v>
      </c>
      <c r="H281" s="250">
        <v>10</v>
      </c>
      <c r="I281" s="252">
        <f t="shared" si="20"/>
        <v>0.1</v>
      </c>
      <c r="J281" s="191">
        <f t="shared" si="21"/>
        <v>7071.0000000000018</v>
      </c>
      <c r="K281" s="173">
        <v>7071</v>
      </c>
      <c r="L281" s="191">
        <f t="shared" si="22"/>
        <v>1.8189894035458565E-12</v>
      </c>
    </row>
    <row r="282" spans="1:12" x14ac:dyDescent="0.2">
      <c r="A282" s="1484">
        <v>1935</v>
      </c>
      <c r="B282" s="180" t="s">
        <v>287</v>
      </c>
      <c r="C282" s="173"/>
      <c r="D282" s="173"/>
      <c r="E282" s="191">
        <f t="shared" si="23"/>
        <v>0</v>
      </c>
      <c r="F282" s="173"/>
      <c r="G282" s="191">
        <f t="shared" si="24"/>
        <v>0</v>
      </c>
      <c r="H282" s="250"/>
      <c r="I282" s="252">
        <f t="shared" si="20"/>
        <v>0</v>
      </c>
      <c r="J282" s="191">
        <f t="shared" si="21"/>
        <v>0</v>
      </c>
      <c r="K282" s="173"/>
      <c r="L282" s="191">
        <f t="shared" si="22"/>
        <v>0</v>
      </c>
    </row>
    <row r="283" spans="1:12" x14ac:dyDescent="0.2">
      <c r="A283" s="1484">
        <v>1940</v>
      </c>
      <c r="B283" s="180" t="s">
        <v>288</v>
      </c>
      <c r="C283" s="173">
        <v>393936</v>
      </c>
      <c r="D283" s="173">
        <v>340316</v>
      </c>
      <c r="E283" s="191">
        <f t="shared" si="23"/>
        <v>53620</v>
      </c>
      <c r="F283" s="173"/>
      <c r="G283" s="191">
        <f t="shared" si="24"/>
        <v>53620</v>
      </c>
      <c r="H283" s="250">
        <v>10</v>
      </c>
      <c r="I283" s="252">
        <f t="shared" si="20"/>
        <v>0.1</v>
      </c>
      <c r="J283" s="191">
        <f t="shared" si="21"/>
        <v>5362</v>
      </c>
      <c r="K283" s="173">
        <v>5362</v>
      </c>
      <c r="L283" s="191">
        <f t="shared" si="22"/>
        <v>0</v>
      </c>
    </row>
    <row r="284" spans="1:12" x14ac:dyDescent="0.2">
      <c r="A284" s="1484">
        <v>1945</v>
      </c>
      <c r="B284" s="180" t="s">
        <v>289</v>
      </c>
      <c r="C284" s="173"/>
      <c r="D284" s="173"/>
      <c r="E284" s="191">
        <f t="shared" si="23"/>
        <v>0</v>
      </c>
      <c r="F284" s="173"/>
      <c r="G284" s="191">
        <f t="shared" si="24"/>
        <v>0</v>
      </c>
      <c r="H284" s="250"/>
      <c r="I284" s="252">
        <f t="shared" si="20"/>
        <v>0</v>
      </c>
      <c r="J284" s="191">
        <f t="shared" si="21"/>
        <v>0</v>
      </c>
      <c r="K284" s="173"/>
      <c r="L284" s="191">
        <f t="shared" si="22"/>
        <v>0</v>
      </c>
    </row>
    <row r="285" spans="1:12" x14ac:dyDescent="0.2">
      <c r="A285" s="1484">
        <v>1950</v>
      </c>
      <c r="B285" s="180" t="s">
        <v>218</v>
      </c>
      <c r="C285" s="173"/>
      <c r="D285" s="173"/>
      <c r="E285" s="191">
        <f t="shared" si="23"/>
        <v>0</v>
      </c>
      <c r="F285" s="173"/>
      <c r="G285" s="191">
        <f t="shared" si="24"/>
        <v>0</v>
      </c>
      <c r="H285" s="250"/>
      <c r="I285" s="252">
        <f t="shared" si="20"/>
        <v>0</v>
      </c>
      <c r="J285" s="191">
        <f t="shared" si="21"/>
        <v>0</v>
      </c>
      <c r="K285" s="173"/>
      <c r="L285" s="191">
        <f t="shared" si="22"/>
        <v>0</v>
      </c>
    </row>
    <row r="286" spans="1:12" x14ac:dyDescent="0.2">
      <c r="A286" s="1484">
        <v>1955</v>
      </c>
      <c r="B286" s="180" t="s">
        <v>290</v>
      </c>
      <c r="C286" s="173">
        <v>36873</v>
      </c>
      <c r="D286" s="173">
        <v>24603</v>
      </c>
      <c r="E286" s="191">
        <f t="shared" si="23"/>
        <v>12270</v>
      </c>
      <c r="F286" s="173"/>
      <c r="G286" s="191">
        <f t="shared" si="24"/>
        <v>12270</v>
      </c>
      <c r="H286" s="250">
        <v>10</v>
      </c>
      <c r="I286" s="252">
        <f t="shared" si="20"/>
        <v>0.1</v>
      </c>
      <c r="J286" s="191">
        <f t="shared" si="21"/>
        <v>1227</v>
      </c>
      <c r="K286" s="173">
        <v>1227</v>
      </c>
      <c r="L286" s="191">
        <f t="shared" si="22"/>
        <v>0</v>
      </c>
    </row>
    <row r="287" spans="1:12" x14ac:dyDescent="0.2">
      <c r="A287" s="255">
        <v>1955</v>
      </c>
      <c r="B287" s="184" t="s">
        <v>219</v>
      </c>
      <c r="C287" s="173"/>
      <c r="D287" s="173"/>
      <c r="E287" s="191">
        <f t="shared" si="23"/>
        <v>0</v>
      </c>
      <c r="F287" s="173"/>
      <c r="G287" s="191">
        <f t="shared" si="24"/>
        <v>0</v>
      </c>
      <c r="H287" s="250"/>
      <c r="I287" s="252">
        <f t="shared" si="20"/>
        <v>0</v>
      </c>
      <c r="J287" s="191">
        <f t="shared" si="21"/>
        <v>0</v>
      </c>
      <c r="K287" s="173"/>
      <c r="L287" s="191">
        <f t="shared" si="22"/>
        <v>0</v>
      </c>
    </row>
    <row r="288" spans="1:12" x14ac:dyDescent="0.2">
      <c r="A288" s="254">
        <v>1960</v>
      </c>
      <c r="B288" s="172" t="s">
        <v>220</v>
      </c>
      <c r="C288" s="173"/>
      <c r="D288" s="173"/>
      <c r="E288" s="191">
        <f t="shared" si="23"/>
        <v>0</v>
      </c>
      <c r="F288" s="173"/>
      <c r="G288" s="191">
        <f t="shared" si="24"/>
        <v>0</v>
      </c>
      <c r="H288" s="250"/>
      <c r="I288" s="252">
        <f t="shared" si="20"/>
        <v>0</v>
      </c>
      <c r="J288" s="191">
        <f t="shared" si="21"/>
        <v>0</v>
      </c>
      <c r="K288" s="173"/>
      <c r="L288" s="191">
        <f t="shared" si="22"/>
        <v>0</v>
      </c>
    </row>
    <row r="289" spans="1:13" x14ac:dyDescent="0.2">
      <c r="A289" s="254">
        <v>1970</v>
      </c>
      <c r="B289" s="1482" t="s">
        <v>535</v>
      </c>
      <c r="C289" s="173"/>
      <c r="D289" s="173"/>
      <c r="E289" s="191">
        <f t="shared" si="23"/>
        <v>0</v>
      </c>
      <c r="F289" s="173"/>
      <c r="G289" s="191">
        <f t="shared" si="24"/>
        <v>0</v>
      </c>
      <c r="H289" s="250"/>
      <c r="I289" s="252">
        <f t="shared" si="20"/>
        <v>0</v>
      </c>
      <c r="J289" s="191">
        <f t="shared" si="21"/>
        <v>0</v>
      </c>
      <c r="K289" s="173"/>
      <c r="L289" s="191">
        <f t="shared" si="22"/>
        <v>0</v>
      </c>
    </row>
    <row r="290" spans="1:13" x14ac:dyDescent="0.2">
      <c r="A290" s="1484">
        <v>1975</v>
      </c>
      <c r="B290" s="180" t="s">
        <v>291</v>
      </c>
      <c r="C290" s="173"/>
      <c r="D290" s="173"/>
      <c r="E290" s="191">
        <f t="shared" si="23"/>
        <v>0</v>
      </c>
      <c r="F290" s="173"/>
      <c r="G290" s="191">
        <f t="shared" si="24"/>
        <v>0</v>
      </c>
      <c r="H290" s="250"/>
      <c r="I290" s="252">
        <f t="shared" si="20"/>
        <v>0</v>
      </c>
      <c r="J290" s="191">
        <f t="shared" si="21"/>
        <v>0</v>
      </c>
      <c r="K290" s="173"/>
      <c r="L290" s="191">
        <f t="shared" si="22"/>
        <v>0</v>
      </c>
    </row>
    <row r="291" spans="1:13" x14ac:dyDescent="0.2">
      <c r="A291" s="1484">
        <v>1980</v>
      </c>
      <c r="B291" s="180" t="s">
        <v>292</v>
      </c>
      <c r="C291" s="173"/>
      <c r="D291" s="173"/>
      <c r="E291" s="191">
        <f t="shared" si="23"/>
        <v>0</v>
      </c>
      <c r="F291" s="173"/>
      <c r="G291" s="191">
        <f t="shared" si="24"/>
        <v>0</v>
      </c>
      <c r="H291" s="250"/>
      <c r="I291" s="252">
        <f t="shared" si="20"/>
        <v>0</v>
      </c>
      <c r="J291" s="191">
        <f t="shared" si="21"/>
        <v>0</v>
      </c>
      <c r="K291" s="173"/>
      <c r="L291" s="191">
        <f t="shared" si="22"/>
        <v>0</v>
      </c>
    </row>
    <row r="292" spans="1:13" x14ac:dyDescent="0.2">
      <c r="A292" s="1484">
        <v>1985</v>
      </c>
      <c r="B292" s="180" t="s">
        <v>1428</v>
      </c>
      <c r="C292" s="173">
        <v>15</v>
      </c>
      <c r="D292" s="173">
        <v>15</v>
      </c>
      <c r="E292" s="191">
        <f t="shared" si="23"/>
        <v>0</v>
      </c>
      <c r="F292" s="173"/>
      <c r="G292" s="191">
        <f t="shared" si="24"/>
        <v>0</v>
      </c>
      <c r="H292" s="250">
        <v>10</v>
      </c>
      <c r="I292" s="252">
        <f t="shared" si="20"/>
        <v>0.1</v>
      </c>
      <c r="J292" s="191">
        <f t="shared" si="21"/>
        <v>0</v>
      </c>
      <c r="K292" s="173"/>
      <c r="L292" s="191">
        <f t="shared" si="22"/>
        <v>0</v>
      </c>
    </row>
    <row r="293" spans="1:13" x14ac:dyDescent="0.2">
      <c r="A293" s="1484">
        <v>1990</v>
      </c>
      <c r="B293" s="1483" t="s">
        <v>502</v>
      </c>
      <c r="C293" s="173"/>
      <c r="D293" s="173"/>
      <c r="E293" s="191">
        <f t="shared" si="23"/>
        <v>0</v>
      </c>
      <c r="F293" s="173"/>
      <c r="G293" s="191">
        <f t="shared" si="24"/>
        <v>0</v>
      </c>
      <c r="H293" s="250"/>
      <c r="I293" s="252">
        <f t="shared" si="20"/>
        <v>0</v>
      </c>
      <c r="J293" s="191">
        <f t="shared" si="21"/>
        <v>0</v>
      </c>
      <c r="K293" s="173"/>
      <c r="L293" s="191">
        <f t="shared" si="22"/>
        <v>0</v>
      </c>
    </row>
    <row r="294" spans="1:13" ht="13.5" thickBot="1" x14ac:dyDescent="0.25">
      <c r="A294" s="1484">
        <v>1995</v>
      </c>
      <c r="B294" s="180" t="s">
        <v>294</v>
      </c>
      <c r="C294" s="257">
        <v>-6589579</v>
      </c>
      <c r="D294" s="257">
        <v>38804.499999999302</v>
      </c>
      <c r="E294" s="285">
        <f t="shared" si="23"/>
        <v>-6628383.4999999991</v>
      </c>
      <c r="F294" s="257">
        <v>-247033</v>
      </c>
      <c r="G294" s="285">
        <f t="shared" si="24"/>
        <v>-6751899.9999999991</v>
      </c>
      <c r="H294" s="259">
        <v>25</v>
      </c>
      <c r="I294" s="260">
        <f t="shared" si="20"/>
        <v>0.04</v>
      </c>
      <c r="J294" s="285">
        <f t="shared" si="21"/>
        <v>-270075.99999999994</v>
      </c>
      <c r="K294" s="257">
        <v>-270076</v>
      </c>
      <c r="L294" s="285">
        <f t="shared" si="22"/>
        <v>5.8207660913467407E-11</v>
      </c>
    </row>
    <row r="295" spans="1:13" ht="14.25" thickTop="1" thickBot="1" x14ac:dyDescent="0.25">
      <c r="A295" s="261"/>
      <c r="B295" s="262" t="s">
        <v>295</v>
      </c>
      <c r="C295" s="263">
        <f>SUM(C248:C294)</f>
        <v>24710987</v>
      </c>
      <c r="D295" s="263">
        <f>SUM(D248:D294)</f>
        <v>12474713.000000004</v>
      </c>
      <c r="E295" s="263">
        <f>SUM(E248:E294)</f>
        <v>12236273.999999996</v>
      </c>
      <c r="F295" s="263">
        <f>SUM(F248:F294)</f>
        <v>1066470</v>
      </c>
      <c r="G295" s="263">
        <f>SUM(G248:G294)</f>
        <v>12769508.999999996</v>
      </c>
      <c r="H295" s="330"/>
      <c r="I295" s="266"/>
      <c r="J295" s="263">
        <f>SUM(J248:J294)</f>
        <v>381266.99999999994</v>
      </c>
      <c r="K295" s="263">
        <f>SUM(K248:K294)</f>
        <v>381267</v>
      </c>
      <c r="L295" s="263">
        <f>SUM(L248:L294)</f>
        <v>-9.6633812063373625E-12</v>
      </c>
    </row>
    <row r="296" spans="1:13" x14ac:dyDescent="0.2">
      <c r="A296" s="289"/>
      <c r="B296" s="1707" t="s">
        <v>1078</v>
      </c>
      <c r="C296" s="1707"/>
      <c r="D296" s="1707"/>
      <c r="E296" s="1707"/>
      <c r="F296" s="1707"/>
      <c r="G296" s="1707"/>
      <c r="H296" s="1707"/>
      <c r="I296" s="1708"/>
      <c r="J296" s="173"/>
      <c r="K296" s="291"/>
      <c r="L296" s="291"/>
    </row>
    <row r="297" spans="1:13" x14ac:dyDescent="0.2">
      <c r="A297" s="289"/>
      <c r="B297" s="290" t="s">
        <v>937</v>
      </c>
      <c r="C297" s="312"/>
      <c r="D297" s="312"/>
      <c r="E297" s="312"/>
      <c r="F297" s="291"/>
      <c r="G297" s="291"/>
      <c r="H297" s="293"/>
      <c r="I297" s="312"/>
      <c r="J297" s="191">
        <f>SUM(J295:J296)</f>
        <v>381266.99999999994</v>
      </c>
      <c r="K297" s="291"/>
      <c r="L297" s="291"/>
    </row>
    <row r="298" spans="1:13" x14ac:dyDescent="0.2">
      <c r="A298" s="289"/>
      <c r="B298" s="290"/>
      <c r="C298" s="312"/>
      <c r="D298" s="312"/>
      <c r="E298" s="312"/>
      <c r="F298" s="291"/>
      <c r="G298" s="291"/>
      <c r="H298" s="293"/>
      <c r="I298" s="312"/>
      <c r="J298" s="291"/>
      <c r="K298" s="291"/>
      <c r="L298" s="291"/>
    </row>
    <row r="299" spans="1:13" x14ac:dyDescent="0.2">
      <c r="A299" s="289"/>
      <c r="B299" s="290"/>
      <c r="C299" s="312"/>
      <c r="D299" s="312"/>
      <c r="E299" s="312"/>
      <c r="F299" s="291"/>
      <c r="G299" s="291"/>
      <c r="H299" s="293"/>
      <c r="I299" s="312"/>
      <c r="J299" s="291"/>
      <c r="K299" s="291"/>
      <c r="L299" s="291"/>
    </row>
    <row r="301" spans="1:13" x14ac:dyDescent="0.2">
      <c r="A301" s="1458" t="s">
        <v>11</v>
      </c>
      <c r="B301" s="56"/>
      <c r="C301" s="56"/>
      <c r="D301" s="56"/>
      <c r="E301" s="56"/>
      <c r="F301" s="56"/>
      <c r="G301" s="56"/>
      <c r="H301" s="56"/>
      <c r="I301" s="56"/>
      <c r="J301" s="56"/>
    </row>
    <row r="302" spans="1:13" x14ac:dyDescent="0.2">
      <c r="A302" s="56"/>
      <c r="B302" s="56"/>
      <c r="C302" s="56"/>
      <c r="D302" s="56"/>
      <c r="E302" s="56"/>
      <c r="F302" s="56"/>
      <c r="G302" s="56"/>
      <c r="H302" s="56"/>
      <c r="I302" s="56"/>
      <c r="J302" s="56"/>
    </row>
    <row r="303" spans="1:13" ht="12.75" customHeight="1" x14ac:dyDescent="0.2">
      <c r="A303" s="56">
        <v>1</v>
      </c>
      <c r="B303" s="1610" t="s">
        <v>1075</v>
      </c>
      <c r="C303" s="1610"/>
      <c r="D303" s="1610"/>
      <c r="E303" s="1610"/>
      <c r="F303" s="1610"/>
      <c r="G303" s="1610"/>
      <c r="H303" s="1610"/>
      <c r="I303" s="1610"/>
      <c r="J303" s="1610"/>
      <c r="K303" s="1610"/>
      <c r="L303" s="1610"/>
      <c r="M303" s="1610"/>
    </row>
    <row r="304" spans="1:13" x14ac:dyDescent="0.2">
      <c r="A304" s="56"/>
      <c r="B304" s="1610"/>
      <c r="C304" s="1610"/>
      <c r="D304" s="1610"/>
      <c r="E304" s="1610"/>
      <c r="F304" s="1610"/>
      <c r="G304" s="1610"/>
      <c r="H304" s="1610"/>
      <c r="I304" s="1610"/>
      <c r="J304" s="1610"/>
      <c r="K304" s="1610"/>
      <c r="L304" s="1610"/>
      <c r="M304" s="1610"/>
    </row>
    <row r="305" spans="1:14" ht="24.75" customHeight="1" x14ac:dyDescent="0.2">
      <c r="A305" s="1439">
        <v>2</v>
      </c>
      <c r="B305" s="1590" t="s">
        <v>424</v>
      </c>
      <c r="C305" s="1590"/>
      <c r="D305" s="1590"/>
      <c r="E305" s="1590"/>
      <c r="F305" s="1590"/>
      <c r="G305" s="1590"/>
      <c r="H305" s="1590"/>
      <c r="I305" s="1590"/>
      <c r="J305" s="1590"/>
      <c r="K305" s="1590"/>
      <c r="L305" s="1590"/>
    </row>
    <row r="306" spans="1:14" ht="12.75" customHeight="1" x14ac:dyDescent="0.2">
      <c r="A306" s="1439">
        <v>3</v>
      </c>
      <c r="B306" s="1683" t="s">
        <v>865</v>
      </c>
      <c r="C306" s="1683"/>
      <c r="D306" s="1683"/>
      <c r="E306" s="1683"/>
      <c r="F306" s="1683"/>
      <c r="G306" s="1683"/>
      <c r="H306" s="1683"/>
      <c r="I306" s="1683"/>
      <c r="J306" s="1683"/>
      <c r="K306" s="56"/>
    </row>
    <row r="307" spans="1:14" x14ac:dyDescent="0.2">
      <c r="A307" s="1457"/>
      <c r="B307" s="1683"/>
      <c r="C307" s="1683"/>
      <c r="D307" s="1683"/>
      <c r="E307" s="1683"/>
      <c r="F307" s="1683"/>
      <c r="G307" s="1683"/>
      <c r="H307" s="1683"/>
      <c r="I307" s="1683"/>
      <c r="J307" s="1683"/>
      <c r="K307" s="56"/>
    </row>
    <row r="308" spans="1:14" ht="12.75" customHeight="1" x14ac:dyDescent="0.2">
      <c r="A308" s="152" t="s">
        <v>423</v>
      </c>
      <c r="B308" s="1684" t="s">
        <v>190</v>
      </c>
      <c r="C308" s="1684"/>
      <c r="D308" s="1684"/>
      <c r="E308" s="1684"/>
      <c r="F308" s="1684"/>
      <c r="G308" s="1684"/>
      <c r="H308" s="1684"/>
      <c r="I308" s="1684"/>
      <c r="J308" s="1684"/>
      <c r="K308" s="1684"/>
      <c r="L308" s="1684"/>
      <c r="M308" s="271"/>
      <c r="N308" s="271"/>
    </row>
    <row r="309" spans="1:14" ht="12.75" customHeight="1" x14ac:dyDescent="0.2">
      <c r="B309" s="1684"/>
      <c r="C309" s="1684"/>
      <c r="D309" s="1684"/>
      <c r="E309" s="1684"/>
      <c r="F309" s="1684"/>
      <c r="G309" s="1684"/>
      <c r="H309" s="1684"/>
      <c r="I309" s="1684"/>
      <c r="J309" s="1684"/>
      <c r="K309" s="1684"/>
      <c r="L309" s="1684"/>
      <c r="M309" s="271"/>
      <c r="N309" s="271"/>
    </row>
    <row r="310" spans="1:14" x14ac:dyDescent="0.2">
      <c r="B310" s="271"/>
      <c r="C310" s="271"/>
      <c r="D310" s="271"/>
      <c r="E310" s="271"/>
      <c r="F310" s="271"/>
      <c r="G310" s="271"/>
      <c r="H310" s="271"/>
      <c r="I310" s="271"/>
      <c r="J310" s="271"/>
      <c r="K310" s="271"/>
      <c r="L310" s="271"/>
      <c r="M310" s="271"/>
      <c r="N310" s="271"/>
    </row>
  </sheetData>
  <mergeCells count="27">
    <mergeCell ref="A189:A190"/>
    <mergeCell ref="B189:B190"/>
    <mergeCell ref="K189:K190"/>
    <mergeCell ref="B239:I239"/>
    <mergeCell ref="A246:A247"/>
    <mergeCell ref="B246:B247"/>
    <mergeCell ref="K246:K247"/>
    <mergeCell ref="A75:A76"/>
    <mergeCell ref="B75:B76"/>
    <mergeCell ref="K75:K76"/>
    <mergeCell ref="B125:I125"/>
    <mergeCell ref="A132:A133"/>
    <mergeCell ref="B132:B133"/>
    <mergeCell ref="K132:K133"/>
    <mergeCell ref="A9:L9"/>
    <mergeCell ref="A10:L10"/>
    <mergeCell ref="A18:A19"/>
    <mergeCell ref="B18:B19"/>
    <mergeCell ref="K18:K19"/>
    <mergeCell ref="A11:L11"/>
    <mergeCell ref="B303:M304"/>
    <mergeCell ref="B68:I68"/>
    <mergeCell ref="B305:L305"/>
    <mergeCell ref="B306:J307"/>
    <mergeCell ref="B308:L309"/>
    <mergeCell ref="B182:I182"/>
    <mergeCell ref="B296:I296"/>
  </mergeCells>
  <dataValidations disablePrompts="1" count="3">
    <dataValidation allowBlank="1" showErrorMessage="1" promptTitle="Date Format" prompt="E.g:  &quot;August 1, 2011&quot;" sqref="J7"/>
    <dataValidation allowBlank="1" showInputMessage="1" showErrorMessage="1" promptTitle="Date Format" prompt="E.g:  &quot;August 1, 2011&quot;" sqref="WVR983293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J65789 JF65789 TB65789 ACX65789 AMT65789 AWP65789 BGL65789 BQH65789 CAD65789 CJZ65789 CTV65789 DDR65789 DNN65789 DXJ65789 EHF65789 ERB65789 FAX65789 FKT65789 FUP65789 GEL65789 GOH65789 GYD65789 HHZ65789 HRV65789 IBR65789 ILN65789 IVJ65789 JFF65789 JPB65789 JYX65789 KIT65789 KSP65789 LCL65789 LMH65789 LWD65789 MFZ65789 MPV65789 MZR65789 NJN65789 NTJ65789 ODF65789 ONB65789 OWX65789 PGT65789 PQP65789 QAL65789 QKH65789 QUD65789 RDZ65789 RNV65789 RXR65789 SHN65789 SRJ65789 TBF65789 TLB65789 TUX65789 UET65789 UOP65789 UYL65789 VIH65789 VSD65789 WBZ65789 WLV65789 WVR65789 J131325 JF131325 TB131325 ACX131325 AMT131325 AWP131325 BGL131325 BQH131325 CAD131325 CJZ131325 CTV131325 DDR131325 DNN131325 DXJ131325 EHF131325 ERB131325 FAX131325 FKT131325 FUP131325 GEL131325 GOH131325 GYD131325 HHZ131325 HRV131325 IBR131325 ILN131325 IVJ131325 JFF131325 JPB131325 JYX131325 KIT131325 KSP131325 LCL131325 LMH131325 LWD131325 MFZ131325 MPV131325 MZR131325 NJN131325 NTJ131325 ODF131325 ONB131325 OWX131325 PGT131325 PQP131325 QAL131325 QKH131325 QUD131325 RDZ131325 RNV131325 RXR131325 SHN131325 SRJ131325 TBF131325 TLB131325 TUX131325 UET131325 UOP131325 UYL131325 VIH131325 VSD131325 WBZ131325 WLV131325 WVR131325 J196861 JF196861 TB196861 ACX196861 AMT196861 AWP196861 BGL196861 BQH196861 CAD196861 CJZ196861 CTV196861 DDR196861 DNN196861 DXJ196861 EHF196861 ERB196861 FAX196861 FKT196861 FUP196861 GEL196861 GOH196861 GYD196861 HHZ196861 HRV196861 IBR196861 ILN196861 IVJ196861 JFF196861 JPB196861 JYX196861 KIT196861 KSP196861 LCL196861 LMH196861 LWD196861 MFZ196861 MPV196861 MZR196861 NJN196861 NTJ196861 ODF196861 ONB196861 OWX196861 PGT196861 PQP196861 QAL196861 QKH196861 QUD196861 RDZ196861 RNV196861 RXR196861 SHN196861 SRJ196861 TBF196861 TLB196861 TUX196861 UET196861 UOP196861 UYL196861 VIH196861 VSD196861 WBZ196861 WLV196861 WVR196861 J262397 JF262397 TB262397 ACX262397 AMT262397 AWP262397 BGL262397 BQH262397 CAD262397 CJZ262397 CTV262397 DDR262397 DNN262397 DXJ262397 EHF262397 ERB262397 FAX262397 FKT262397 FUP262397 GEL262397 GOH262397 GYD262397 HHZ262397 HRV262397 IBR262397 ILN262397 IVJ262397 JFF262397 JPB262397 JYX262397 KIT262397 KSP262397 LCL262397 LMH262397 LWD262397 MFZ262397 MPV262397 MZR262397 NJN262397 NTJ262397 ODF262397 ONB262397 OWX262397 PGT262397 PQP262397 QAL262397 QKH262397 QUD262397 RDZ262397 RNV262397 RXR262397 SHN262397 SRJ262397 TBF262397 TLB262397 TUX262397 UET262397 UOP262397 UYL262397 VIH262397 VSD262397 WBZ262397 WLV262397 WVR262397 J327933 JF327933 TB327933 ACX327933 AMT327933 AWP327933 BGL327933 BQH327933 CAD327933 CJZ327933 CTV327933 DDR327933 DNN327933 DXJ327933 EHF327933 ERB327933 FAX327933 FKT327933 FUP327933 GEL327933 GOH327933 GYD327933 HHZ327933 HRV327933 IBR327933 ILN327933 IVJ327933 JFF327933 JPB327933 JYX327933 KIT327933 KSP327933 LCL327933 LMH327933 LWD327933 MFZ327933 MPV327933 MZR327933 NJN327933 NTJ327933 ODF327933 ONB327933 OWX327933 PGT327933 PQP327933 QAL327933 QKH327933 QUD327933 RDZ327933 RNV327933 RXR327933 SHN327933 SRJ327933 TBF327933 TLB327933 TUX327933 UET327933 UOP327933 UYL327933 VIH327933 VSD327933 WBZ327933 WLV327933 WVR327933 J393469 JF393469 TB393469 ACX393469 AMT393469 AWP393469 BGL393469 BQH393469 CAD393469 CJZ393469 CTV393469 DDR393469 DNN393469 DXJ393469 EHF393469 ERB393469 FAX393469 FKT393469 FUP393469 GEL393469 GOH393469 GYD393469 HHZ393469 HRV393469 IBR393469 ILN393469 IVJ393469 JFF393469 JPB393469 JYX393469 KIT393469 KSP393469 LCL393469 LMH393469 LWD393469 MFZ393469 MPV393469 MZR393469 NJN393469 NTJ393469 ODF393469 ONB393469 OWX393469 PGT393469 PQP393469 QAL393469 QKH393469 QUD393469 RDZ393469 RNV393469 RXR393469 SHN393469 SRJ393469 TBF393469 TLB393469 TUX393469 UET393469 UOP393469 UYL393469 VIH393469 VSD393469 WBZ393469 WLV393469 WVR393469 J459005 JF459005 TB459005 ACX459005 AMT459005 AWP459005 BGL459005 BQH459005 CAD459005 CJZ459005 CTV459005 DDR459005 DNN459005 DXJ459005 EHF459005 ERB459005 FAX459005 FKT459005 FUP459005 GEL459005 GOH459005 GYD459005 HHZ459005 HRV459005 IBR459005 ILN459005 IVJ459005 JFF459005 JPB459005 JYX459005 KIT459005 KSP459005 LCL459005 LMH459005 LWD459005 MFZ459005 MPV459005 MZR459005 NJN459005 NTJ459005 ODF459005 ONB459005 OWX459005 PGT459005 PQP459005 QAL459005 QKH459005 QUD459005 RDZ459005 RNV459005 RXR459005 SHN459005 SRJ459005 TBF459005 TLB459005 TUX459005 UET459005 UOP459005 UYL459005 VIH459005 VSD459005 WBZ459005 WLV459005 WVR459005 J524541 JF524541 TB524541 ACX524541 AMT524541 AWP524541 BGL524541 BQH524541 CAD524541 CJZ524541 CTV524541 DDR524541 DNN524541 DXJ524541 EHF524541 ERB524541 FAX524541 FKT524541 FUP524541 GEL524541 GOH524541 GYD524541 HHZ524541 HRV524541 IBR524541 ILN524541 IVJ524541 JFF524541 JPB524541 JYX524541 KIT524541 KSP524541 LCL524541 LMH524541 LWD524541 MFZ524541 MPV524541 MZR524541 NJN524541 NTJ524541 ODF524541 ONB524541 OWX524541 PGT524541 PQP524541 QAL524541 QKH524541 QUD524541 RDZ524541 RNV524541 RXR524541 SHN524541 SRJ524541 TBF524541 TLB524541 TUX524541 UET524541 UOP524541 UYL524541 VIH524541 VSD524541 WBZ524541 WLV524541 WVR524541 J590077 JF590077 TB590077 ACX590077 AMT590077 AWP590077 BGL590077 BQH590077 CAD590077 CJZ590077 CTV590077 DDR590077 DNN590077 DXJ590077 EHF590077 ERB590077 FAX590077 FKT590077 FUP590077 GEL590077 GOH590077 GYD590077 HHZ590077 HRV590077 IBR590077 ILN590077 IVJ590077 JFF590077 JPB590077 JYX590077 KIT590077 KSP590077 LCL590077 LMH590077 LWD590077 MFZ590077 MPV590077 MZR590077 NJN590077 NTJ590077 ODF590077 ONB590077 OWX590077 PGT590077 PQP590077 QAL590077 QKH590077 QUD590077 RDZ590077 RNV590077 RXR590077 SHN590077 SRJ590077 TBF590077 TLB590077 TUX590077 UET590077 UOP590077 UYL590077 VIH590077 VSD590077 WBZ590077 WLV590077 WVR590077 J655613 JF655613 TB655613 ACX655613 AMT655613 AWP655613 BGL655613 BQH655613 CAD655613 CJZ655613 CTV655613 DDR655613 DNN655613 DXJ655613 EHF655613 ERB655613 FAX655613 FKT655613 FUP655613 GEL655613 GOH655613 GYD655613 HHZ655613 HRV655613 IBR655613 ILN655613 IVJ655613 JFF655613 JPB655613 JYX655613 KIT655613 KSP655613 LCL655613 LMH655613 LWD655613 MFZ655613 MPV655613 MZR655613 NJN655613 NTJ655613 ODF655613 ONB655613 OWX655613 PGT655613 PQP655613 QAL655613 QKH655613 QUD655613 RDZ655613 RNV655613 RXR655613 SHN655613 SRJ655613 TBF655613 TLB655613 TUX655613 UET655613 UOP655613 UYL655613 VIH655613 VSD655613 WBZ655613 WLV655613 WVR655613 J721149 JF721149 TB721149 ACX721149 AMT721149 AWP721149 BGL721149 BQH721149 CAD721149 CJZ721149 CTV721149 DDR721149 DNN721149 DXJ721149 EHF721149 ERB721149 FAX721149 FKT721149 FUP721149 GEL721149 GOH721149 GYD721149 HHZ721149 HRV721149 IBR721149 ILN721149 IVJ721149 JFF721149 JPB721149 JYX721149 KIT721149 KSP721149 LCL721149 LMH721149 LWD721149 MFZ721149 MPV721149 MZR721149 NJN721149 NTJ721149 ODF721149 ONB721149 OWX721149 PGT721149 PQP721149 QAL721149 QKH721149 QUD721149 RDZ721149 RNV721149 RXR721149 SHN721149 SRJ721149 TBF721149 TLB721149 TUX721149 UET721149 UOP721149 UYL721149 VIH721149 VSD721149 WBZ721149 WLV721149 WVR721149 J786685 JF786685 TB786685 ACX786685 AMT786685 AWP786685 BGL786685 BQH786685 CAD786685 CJZ786685 CTV786685 DDR786685 DNN786685 DXJ786685 EHF786685 ERB786685 FAX786685 FKT786685 FUP786685 GEL786685 GOH786685 GYD786685 HHZ786685 HRV786685 IBR786685 ILN786685 IVJ786685 JFF786685 JPB786685 JYX786685 KIT786685 KSP786685 LCL786685 LMH786685 LWD786685 MFZ786685 MPV786685 MZR786685 NJN786685 NTJ786685 ODF786685 ONB786685 OWX786685 PGT786685 PQP786685 QAL786685 QKH786685 QUD786685 RDZ786685 RNV786685 RXR786685 SHN786685 SRJ786685 TBF786685 TLB786685 TUX786685 UET786685 UOP786685 UYL786685 VIH786685 VSD786685 WBZ786685 WLV786685 WVR786685 J852221 JF852221 TB852221 ACX852221 AMT852221 AWP852221 BGL852221 BQH852221 CAD852221 CJZ852221 CTV852221 DDR852221 DNN852221 DXJ852221 EHF852221 ERB852221 FAX852221 FKT852221 FUP852221 GEL852221 GOH852221 GYD852221 HHZ852221 HRV852221 IBR852221 ILN852221 IVJ852221 JFF852221 JPB852221 JYX852221 KIT852221 KSP852221 LCL852221 LMH852221 LWD852221 MFZ852221 MPV852221 MZR852221 NJN852221 NTJ852221 ODF852221 ONB852221 OWX852221 PGT852221 PQP852221 QAL852221 QKH852221 QUD852221 RDZ852221 RNV852221 RXR852221 SHN852221 SRJ852221 TBF852221 TLB852221 TUX852221 UET852221 UOP852221 UYL852221 VIH852221 VSD852221 WBZ852221 WLV852221 WVR852221 J917757 JF917757 TB917757 ACX917757 AMT917757 AWP917757 BGL917757 BQH917757 CAD917757 CJZ917757 CTV917757 DDR917757 DNN917757 DXJ917757 EHF917757 ERB917757 FAX917757 FKT917757 FUP917757 GEL917757 GOH917757 GYD917757 HHZ917757 HRV917757 IBR917757 ILN917757 IVJ917757 JFF917757 JPB917757 JYX917757 KIT917757 KSP917757 LCL917757 LMH917757 LWD917757 MFZ917757 MPV917757 MZR917757 NJN917757 NTJ917757 ODF917757 ONB917757 OWX917757 PGT917757 PQP917757 QAL917757 QKH917757 QUD917757 RDZ917757 RNV917757 RXR917757 SHN917757 SRJ917757 TBF917757 TLB917757 TUX917757 UET917757 UOP917757 UYL917757 VIH917757 VSD917757 WBZ917757 WLV917757 WVR917757 J983293 JF983293 TB983293 ACX983293 AMT983293 AWP983293 BGL983293 BQH983293 CAD983293 CJZ983293 CTV983293 DDR983293 DNN983293 DXJ983293 EHF983293 ERB983293 FAX983293 FKT983293 FUP983293 GEL983293 GOH983293 GYD983293 HHZ983293 HRV983293 IBR983293 ILN983293 IVJ983293 JFF983293 JPB983293 JYX983293 KIT983293 KSP983293 LCL983293 LMH983293 LWD983293 MFZ983293 MPV983293 MZR983293 NJN983293 NTJ983293 ODF983293 ONB983293 OWX983293 PGT983293 PQP983293 QAL983293 QKH983293 QUD983293 RDZ983293 RNV983293 RXR983293 SHN983293 SRJ983293 TBF983293 TLB983293 TUX983293 UET983293 UOP983293 UYL983293 VIH983293 VSD983293 WBZ983293 WLV983293"/>
    <dataValidation type="list" allowBlank="1" showInputMessage="1" showErrorMessage="1" sqref="E15 E72 E129 E186 E243">
      <formula1>"Revised CGAAP, MIFRS"</formula1>
    </dataValidation>
  </dataValidations>
  <printOptions horizontalCentered="1"/>
  <pageMargins left="0.74803149606299213" right="0.74803149606299213" top="0.70866141732283472" bottom="0.39370078740157483" header="0.39370078740157483" footer="0.27559055118110237"/>
  <pageSetup scale="1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pageSetUpPr fitToPage="1"/>
  </sheetPr>
  <dimension ref="A1:U56"/>
  <sheetViews>
    <sheetView showGridLines="0" zoomScaleNormal="100" workbookViewId="0">
      <selection activeCell="B34" sqref="B34"/>
    </sheetView>
  </sheetViews>
  <sheetFormatPr defaultRowHeight="12.75" x14ac:dyDescent="0.2"/>
  <cols>
    <col min="2" max="2" width="59.42578125" customWidth="1"/>
    <col min="3" max="3" width="10" customWidth="1"/>
    <col min="4" max="5" width="3" bestFit="1" customWidth="1"/>
    <col min="6" max="6" width="53" customWidth="1"/>
    <col min="13" max="13" width="33.42578125" bestFit="1" customWidth="1"/>
    <col min="15" max="15" width="121.42578125" bestFit="1" customWidth="1"/>
  </cols>
  <sheetData>
    <row r="1" spans="1:21" x14ac:dyDescent="0.2">
      <c r="M1" s="28"/>
      <c r="O1" s="54"/>
      <c r="U1" s="28"/>
    </row>
    <row r="2" spans="1:21" x14ac:dyDescent="0.2">
      <c r="M2" s="54"/>
      <c r="O2" s="54"/>
    </row>
    <row r="3" spans="1:21" x14ac:dyDescent="0.2">
      <c r="M3" s="28"/>
      <c r="O3" s="54"/>
    </row>
    <row r="4" spans="1:21" x14ac:dyDescent="0.2">
      <c r="M4" s="28"/>
      <c r="O4" s="54"/>
    </row>
    <row r="5" spans="1:21" x14ac:dyDescent="0.2">
      <c r="M5" s="28"/>
      <c r="O5" s="54"/>
    </row>
    <row r="6" spans="1:21" x14ac:dyDescent="0.2">
      <c r="M6" s="28"/>
      <c r="O6" s="54"/>
    </row>
    <row r="7" spans="1:21" ht="18" x14ac:dyDescent="0.25">
      <c r="C7" s="15"/>
      <c r="M7" s="28"/>
      <c r="O7" s="54"/>
    </row>
    <row r="8" spans="1:21" x14ac:dyDescent="0.2">
      <c r="C8" s="11"/>
      <c r="M8" s="28"/>
      <c r="O8" s="54"/>
    </row>
    <row r="9" spans="1:21" x14ac:dyDescent="0.2">
      <c r="C9" s="12"/>
      <c r="M9" s="28"/>
      <c r="O9" s="54"/>
    </row>
    <row r="10" spans="1:21" x14ac:dyDescent="0.2">
      <c r="C10" s="12"/>
      <c r="M10" s="28"/>
      <c r="O10" s="54"/>
    </row>
    <row r="11" spans="1:21" x14ac:dyDescent="0.2">
      <c r="C11" s="12"/>
      <c r="M11" s="28"/>
      <c r="O11" s="55"/>
    </row>
    <row r="12" spans="1:21" x14ac:dyDescent="0.2">
      <c r="C12" s="12"/>
      <c r="M12" s="28"/>
      <c r="O12" s="55"/>
    </row>
    <row r="13" spans="1:21" ht="15" customHeight="1" x14ac:dyDescent="0.2">
      <c r="A13" s="24"/>
      <c r="C13" s="12"/>
      <c r="M13" s="28"/>
      <c r="O13" s="55"/>
    </row>
    <row r="14" spans="1:21" x14ac:dyDescent="0.2">
      <c r="C14" s="3"/>
      <c r="M14" s="28"/>
      <c r="O14" s="55"/>
    </row>
    <row r="15" spans="1:21" x14ac:dyDescent="0.2">
      <c r="A15" s="27">
        <v>1</v>
      </c>
      <c r="B15" s="54" t="s">
        <v>444</v>
      </c>
      <c r="C15" s="49"/>
      <c r="D15" s="50"/>
      <c r="E15" s="3">
        <v>27</v>
      </c>
      <c r="F15" s="28" t="s">
        <v>974</v>
      </c>
      <c r="G15" s="49"/>
      <c r="M15" s="28"/>
      <c r="O15" s="55"/>
    </row>
    <row r="16" spans="1:21" x14ac:dyDescent="0.2">
      <c r="A16" s="3">
        <v>2</v>
      </c>
      <c r="B16" s="54" t="s">
        <v>443</v>
      </c>
      <c r="C16" s="13"/>
      <c r="E16" s="3">
        <v>28</v>
      </c>
      <c r="F16" s="28" t="s">
        <v>973</v>
      </c>
      <c r="G16" s="13"/>
      <c r="M16" s="28"/>
      <c r="O16" s="55"/>
    </row>
    <row r="17" spans="1:15" x14ac:dyDescent="0.2">
      <c r="A17" s="3">
        <v>3</v>
      </c>
      <c r="B17" s="54" t="s">
        <v>630</v>
      </c>
      <c r="C17" s="13"/>
      <c r="E17" s="3">
        <v>29</v>
      </c>
      <c r="F17" s="28" t="s">
        <v>975</v>
      </c>
      <c r="G17" s="13"/>
      <c r="M17" s="28"/>
      <c r="O17" s="55"/>
    </row>
    <row r="18" spans="1:15" x14ac:dyDescent="0.2">
      <c r="A18" s="3">
        <v>4</v>
      </c>
      <c r="B18" s="54" t="s">
        <v>620</v>
      </c>
      <c r="C18" s="13"/>
      <c r="E18" s="3">
        <v>30</v>
      </c>
      <c r="F18" s="28" t="s">
        <v>1215</v>
      </c>
      <c r="G18" s="13"/>
      <c r="M18" s="28"/>
      <c r="O18" s="55"/>
    </row>
    <row r="19" spans="1:15" x14ac:dyDescent="0.2">
      <c r="A19" s="3">
        <v>5</v>
      </c>
      <c r="B19" s="54" t="s">
        <v>1245</v>
      </c>
      <c r="C19" s="13"/>
      <c r="E19" s="3">
        <v>31</v>
      </c>
      <c r="F19" s="28" t="s">
        <v>1216</v>
      </c>
      <c r="G19" s="13"/>
      <c r="M19" s="28"/>
      <c r="O19" s="55"/>
    </row>
    <row r="20" spans="1:15" x14ac:dyDescent="0.2">
      <c r="A20" s="3">
        <v>6</v>
      </c>
      <c r="B20" s="54" t="s">
        <v>961</v>
      </c>
      <c r="C20" s="13"/>
      <c r="E20" s="3">
        <v>32</v>
      </c>
      <c r="F20" s="28" t="s">
        <v>976</v>
      </c>
      <c r="G20" s="13"/>
      <c r="M20" s="28"/>
      <c r="O20" s="55"/>
    </row>
    <row r="21" spans="1:15" x14ac:dyDescent="0.2">
      <c r="A21" s="3">
        <v>7</v>
      </c>
      <c r="B21" s="54" t="s">
        <v>962</v>
      </c>
      <c r="C21" s="13"/>
      <c r="E21" s="3">
        <v>33</v>
      </c>
      <c r="F21" s="28" t="s">
        <v>977</v>
      </c>
      <c r="G21" s="13"/>
      <c r="M21" s="28"/>
      <c r="O21" s="55"/>
    </row>
    <row r="22" spans="1:15" x14ac:dyDescent="0.2">
      <c r="A22" s="3">
        <v>8</v>
      </c>
      <c r="B22" s="54" t="s">
        <v>963</v>
      </c>
      <c r="C22" s="13"/>
      <c r="E22" s="3">
        <v>34</v>
      </c>
      <c r="F22" s="28" t="s">
        <v>1033</v>
      </c>
      <c r="G22" s="13"/>
      <c r="M22" s="28"/>
      <c r="O22" s="55"/>
    </row>
    <row r="23" spans="1:15" x14ac:dyDescent="0.2">
      <c r="A23" s="3">
        <v>9</v>
      </c>
      <c r="B23" s="54" t="s">
        <v>964</v>
      </c>
      <c r="C23" s="13"/>
      <c r="E23" s="3">
        <v>35</v>
      </c>
      <c r="F23" s="28" t="s">
        <v>978</v>
      </c>
      <c r="G23" s="13"/>
      <c r="L23" s="45"/>
      <c r="M23" s="28"/>
      <c r="O23" s="55"/>
    </row>
    <row r="24" spans="1:15" x14ac:dyDescent="0.2">
      <c r="A24" s="3">
        <v>10</v>
      </c>
      <c r="B24" s="54" t="s">
        <v>965</v>
      </c>
      <c r="C24" s="13"/>
      <c r="E24" s="3">
        <v>36</v>
      </c>
      <c r="F24" s="28" t="s">
        <v>1158</v>
      </c>
      <c r="G24" s="13"/>
      <c r="L24" s="45"/>
      <c r="M24" s="28"/>
      <c r="O24" s="54"/>
    </row>
    <row r="25" spans="1:15" x14ac:dyDescent="0.2">
      <c r="A25" s="3">
        <v>11</v>
      </c>
      <c r="B25" s="54" t="s">
        <v>631</v>
      </c>
      <c r="C25" s="13"/>
      <c r="E25" s="3">
        <v>37</v>
      </c>
      <c r="F25" s="28" t="s">
        <v>979</v>
      </c>
      <c r="G25" s="13"/>
      <c r="L25" s="45"/>
      <c r="M25" s="28"/>
      <c r="O25" s="54"/>
    </row>
    <row r="26" spans="1:15" x14ac:dyDescent="0.2">
      <c r="A26" s="3">
        <v>12</v>
      </c>
      <c r="B26" s="55" t="s">
        <v>1171</v>
      </c>
      <c r="C26" s="13"/>
      <c r="E26" s="3">
        <v>38</v>
      </c>
      <c r="F26" s="28" t="s">
        <v>980</v>
      </c>
      <c r="G26" s="13"/>
      <c r="L26" s="45"/>
      <c r="M26" s="28"/>
      <c r="O26" s="54"/>
    </row>
    <row r="27" spans="1:15" x14ac:dyDescent="0.2">
      <c r="A27" s="3">
        <v>13</v>
      </c>
      <c r="B27" s="55" t="s">
        <v>1172</v>
      </c>
      <c r="C27" s="13"/>
      <c r="E27" s="3">
        <v>39</v>
      </c>
      <c r="F27" s="28" t="s">
        <v>1238</v>
      </c>
      <c r="G27" s="13"/>
      <c r="L27" s="45"/>
      <c r="M27" s="28"/>
      <c r="O27" s="54"/>
    </row>
    <row r="28" spans="1:15" x14ac:dyDescent="0.2">
      <c r="A28" s="3">
        <v>14</v>
      </c>
      <c r="B28" s="55" t="s">
        <v>1173</v>
      </c>
      <c r="C28" s="13"/>
      <c r="E28" s="3">
        <v>40</v>
      </c>
      <c r="F28" s="28" t="s">
        <v>960</v>
      </c>
      <c r="G28" s="25"/>
      <c r="L28" s="45"/>
      <c r="M28" s="28"/>
      <c r="O28" s="54"/>
    </row>
    <row r="29" spans="1:15" x14ac:dyDescent="0.2">
      <c r="A29" s="3">
        <v>15</v>
      </c>
      <c r="B29" s="55" t="s">
        <v>1174</v>
      </c>
      <c r="C29" s="13"/>
      <c r="E29" s="3">
        <v>41</v>
      </c>
      <c r="F29" s="28" t="s">
        <v>959</v>
      </c>
      <c r="G29" s="25"/>
      <c r="L29" s="45"/>
      <c r="M29" s="28"/>
      <c r="O29" s="28"/>
    </row>
    <row r="30" spans="1:15" x14ac:dyDescent="0.2">
      <c r="A30" s="3">
        <v>16</v>
      </c>
      <c r="B30" s="55" t="s">
        <v>1175</v>
      </c>
      <c r="C30" s="13"/>
      <c r="E30" s="3">
        <v>42</v>
      </c>
      <c r="F30" s="28" t="s">
        <v>958</v>
      </c>
      <c r="G30" s="25"/>
      <c r="L30" s="45"/>
      <c r="M30" s="28"/>
      <c r="O30" s="28"/>
    </row>
    <row r="31" spans="1:15" x14ac:dyDescent="0.2">
      <c r="A31" s="3">
        <v>17</v>
      </c>
      <c r="B31" s="55" t="s">
        <v>1176</v>
      </c>
      <c r="C31" s="13"/>
      <c r="E31" s="3">
        <v>43</v>
      </c>
      <c r="F31" s="28" t="s">
        <v>957</v>
      </c>
      <c r="G31" s="13"/>
      <c r="L31" s="45"/>
      <c r="M31" s="28"/>
      <c r="O31" s="28"/>
    </row>
    <row r="32" spans="1:15" x14ac:dyDescent="0.2">
      <c r="A32" s="3">
        <v>18</v>
      </c>
      <c r="B32" s="55" t="s">
        <v>1177</v>
      </c>
      <c r="C32" s="13"/>
      <c r="E32" s="3">
        <v>44</v>
      </c>
      <c r="F32" s="28" t="s">
        <v>956</v>
      </c>
      <c r="G32" s="13"/>
      <c r="L32" s="45"/>
      <c r="M32" s="28"/>
      <c r="O32" s="28"/>
    </row>
    <row r="33" spans="1:15" x14ac:dyDescent="0.2">
      <c r="A33" s="3">
        <v>19</v>
      </c>
      <c r="B33" s="55" t="s">
        <v>1178</v>
      </c>
      <c r="C33" s="26"/>
      <c r="E33" s="3">
        <v>45</v>
      </c>
      <c r="F33" s="28" t="s">
        <v>955</v>
      </c>
      <c r="G33" s="13"/>
      <c r="M33" s="28"/>
      <c r="O33" s="28"/>
    </row>
    <row r="34" spans="1:15" x14ac:dyDescent="0.2">
      <c r="A34" s="3">
        <v>20</v>
      </c>
      <c r="B34" s="55" t="s">
        <v>966</v>
      </c>
      <c r="C34" s="2"/>
      <c r="E34" s="3">
        <v>46</v>
      </c>
      <c r="F34" s="28" t="s">
        <v>1237</v>
      </c>
      <c r="I34" s="2"/>
      <c r="M34" s="28"/>
      <c r="O34" s="28"/>
    </row>
    <row r="35" spans="1:15" x14ac:dyDescent="0.2">
      <c r="A35" s="3">
        <v>21</v>
      </c>
      <c r="B35" s="55" t="s">
        <v>967</v>
      </c>
      <c r="C35" s="2"/>
      <c r="E35" s="3"/>
      <c r="F35" s="3"/>
      <c r="I35" s="2"/>
      <c r="M35" s="28"/>
      <c r="O35" s="28"/>
    </row>
    <row r="36" spans="1:15" x14ac:dyDescent="0.2">
      <c r="A36" s="3">
        <v>22</v>
      </c>
      <c r="B36" s="54" t="s">
        <v>968</v>
      </c>
      <c r="C36" s="2"/>
      <c r="E36" s="3"/>
      <c r="F36" s="28"/>
      <c r="M36" s="28"/>
      <c r="O36" s="28"/>
    </row>
    <row r="37" spans="1:15" x14ac:dyDescent="0.2">
      <c r="A37" s="3">
        <v>23</v>
      </c>
      <c r="B37" s="54" t="s">
        <v>969</v>
      </c>
      <c r="C37" s="19"/>
      <c r="E37" s="3"/>
      <c r="F37" s="3"/>
      <c r="I37" s="2"/>
      <c r="M37" s="28"/>
      <c r="O37" s="28"/>
    </row>
    <row r="38" spans="1:15" ht="12.75" customHeight="1" x14ac:dyDescent="0.2">
      <c r="A38" s="3">
        <v>24</v>
      </c>
      <c r="B38" s="54" t="s">
        <v>970</v>
      </c>
      <c r="C38" s="2"/>
      <c r="E38" s="3"/>
      <c r="F38" s="3"/>
      <c r="I38" s="2"/>
      <c r="M38" s="28"/>
      <c r="O38" s="28"/>
    </row>
    <row r="39" spans="1:15" x14ac:dyDescent="0.2">
      <c r="A39" s="3">
        <v>25</v>
      </c>
      <c r="B39" s="54" t="s">
        <v>971</v>
      </c>
      <c r="C39" s="3"/>
      <c r="D39" s="28"/>
      <c r="E39" s="3"/>
      <c r="F39" s="28"/>
      <c r="I39" s="2"/>
      <c r="M39" s="28"/>
      <c r="O39" s="28"/>
    </row>
    <row r="40" spans="1:15" x14ac:dyDescent="0.2">
      <c r="A40" s="3">
        <v>26</v>
      </c>
      <c r="B40" s="54" t="s">
        <v>972</v>
      </c>
      <c r="C40" s="3"/>
      <c r="D40" s="28"/>
      <c r="E40" s="3"/>
      <c r="F40" s="29"/>
      <c r="I40" s="19"/>
      <c r="M40" s="28"/>
      <c r="O40" s="28"/>
    </row>
    <row r="41" spans="1:15" ht="12.75" customHeight="1" x14ac:dyDescent="0.2">
      <c r="A41" s="3"/>
      <c r="C41" s="3"/>
      <c r="D41" s="28"/>
      <c r="E41" s="3"/>
      <c r="G41" s="3"/>
      <c r="H41" s="3"/>
      <c r="M41" s="28"/>
      <c r="O41" s="28"/>
    </row>
    <row r="42" spans="1:15" ht="27.75" customHeight="1" x14ac:dyDescent="0.2">
      <c r="A42" s="1422" t="s">
        <v>117</v>
      </c>
      <c r="B42" s="1543" t="s">
        <v>1256</v>
      </c>
      <c r="C42" s="1543"/>
      <c r="D42" s="1543"/>
      <c r="E42" s="1543"/>
      <c r="F42" s="1543"/>
      <c r="G42" s="3"/>
      <c r="H42" s="3"/>
      <c r="M42" s="28"/>
      <c r="O42" s="28"/>
    </row>
    <row r="43" spans="1:15" x14ac:dyDescent="0.2">
      <c r="A43" s="8"/>
      <c r="C43" s="3"/>
      <c r="D43" s="3"/>
      <c r="E43" s="3"/>
      <c r="G43" s="3"/>
      <c r="H43" s="3"/>
      <c r="M43" s="28"/>
      <c r="O43" s="28"/>
    </row>
    <row r="44" spans="1:15" x14ac:dyDescent="0.2">
      <c r="A44" s="3"/>
      <c r="C44" s="3"/>
      <c r="D44" s="3"/>
      <c r="E44" s="3"/>
      <c r="G44" s="3"/>
      <c r="H44" s="3"/>
      <c r="M44" s="28"/>
      <c r="O44" s="28"/>
    </row>
    <row r="45" spans="1:15" x14ac:dyDescent="0.2">
      <c r="A45" s="3"/>
      <c r="D45" s="3"/>
      <c r="G45" s="3"/>
      <c r="H45" s="3"/>
      <c r="M45" s="28"/>
      <c r="O45" s="28"/>
    </row>
    <row r="46" spans="1:15" x14ac:dyDescent="0.2">
      <c r="A46" s="3"/>
      <c r="D46" s="3"/>
      <c r="G46" s="3"/>
      <c r="H46" s="3"/>
      <c r="M46" s="28"/>
      <c r="O46" s="28"/>
    </row>
    <row r="47" spans="1:15" x14ac:dyDescent="0.2">
      <c r="A47" s="3"/>
      <c r="D47" s="3"/>
      <c r="M47" s="28"/>
      <c r="O47" s="28"/>
    </row>
    <row r="48" spans="1:15" x14ac:dyDescent="0.2">
      <c r="A48" s="3"/>
      <c r="D48" s="28"/>
      <c r="M48" s="28"/>
      <c r="O48" s="28"/>
    </row>
    <row r="49" spans="1:15" x14ac:dyDescent="0.2">
      <c r="A49" s="3"/>
      <c r="D49" s="28"/>
      <c r="M49" s="28"/>
      <c r="O49" s="28"/>
    </row>
    <row r="50" spans="1:15" x14ac:dyDescent="0.2">
      <c r="D50" s="28"/>
      <c r="M50" s="28"/>
      <c r="O50" s="28"/>
    </row>
    <row r="51" spans="1:15" x14ac:dyDescent="0.2">
      <c r="D51" s="28"/>
      <c r="G51" s="13"/>
      <c r="M51" s="28"/>
      <c r="O51" s="28"/>
    </row>
    <row r="52" spans="1:15" x14ac:dyDescent="0.2">
      <c r="D52" s="28"/>
      <c r="F52" s="13"/>
      <c r="M52" s="28"/>
      <c r="O52" s="28"/>
    </row>
    <row r="53" spans="1:15" x14ac:dyDescent="0.2">
      <c r="D53" s="28"/>
      <c r="F53" s="13"/>
      <c r="M53" s="28"/>
      <c r="O53" s="3"/>
    </row>
    <row r="54" spans="1:15" x14ac:dyDescent="0.2">
      <c r="F54" s="13"/>
      <c r="M54" s="28"/>
    </row>
    <row r="55" spans="1:15" x14ac:dyDescent="0.2">
      <c r="M55" s="28"/>
    </row>
    <row r="56" spans="1:15" x14ac:dyDescent="0.2">
      <c r="M56" s="28"/>
    </row>
  </sheetData>
  <sheetProtection password="F8BD" sheet="1" objects="1" scenarios="1"/>
  <mergeCells count="1">
    <mergeCell ref="B42:F42"/>
  </mergeCells>
  <phoneticPr fontId="16" type="noConversion"/>
  <hyperlinks>
    <hyperlink ref="B15" location="'LDC Info'!A1" display="LDC Information Sheet"/>
    <hyperlink ref="B16:B39" display="Index"/>
    <hyperlink ref="B39:B40" display="App.2-FB: Calculation of Renewable Generation Connection Direct Benefits/Provincial Amount: Renewable Enabling Improvement Investments"/>
    <hyperlink ref="B16" location="Index!A1" display="Index"/>
    <hyperlink ref="B17" location="'COS Flowchart'!A1" display="Cost of Service Application Flowchart"/>
    <hyperlink ref="B18" location="'List of Key References'!A1" display="List of Key References"/>
    <hyperlink ref="B20" location="'App.2-AA_Capital Projects'!A1" display="App.2-AA: Capital Projects Table"/>
    <hyperlink ref="B21" location="'App.2-AB_Capital Expenditures'!A1" display="App.2-AB: Capital Expenditures"/>
    <hyperlink ref="B22" location="'App.2-AC_Customer Engagement'!A1" display="App. 2-AC: Customer Engagement Worksheet"/>
    <hyperlink ref="B23" location="'App.2-B_Acctg Instructions'!A1" display="App.2-B: General Accounting Instructions"/>
    <hyperlink ref="B24" location="'App.2-BA_Fixed Asset Cont'!A1" display="App.2-BA: Fixed Asset Continuity Schedule"/>
    <hyperlink ref="B25" location="'Appendix 2-BB Service Life  '!A1" display="Appendix 2-BB: Service Life Comparison"/>
    <hyperlink ref="B26" location="'App.2-CA_OldCGAAPDepExp_Yr1'!A1" display="App.2-CA: Year 1 Depreciation and Amortization Expense (Old CGAAP)"/>
    <hyperlink ref="B27" location="'App.2-CB_NewCGAAP_DepExp_Yr1'!A1" display="App.2-CB: Year 1 Depreciation and Amortization Expense (New CGAAP)"/>
    <hyperlink ref="B28" location="'App.2-CC_DepExp_Yr2'!A1" display="App.2-CC: Year 2 Depreciation and Amortization Expense (New CGAAP)"/>
    <hyperlink ref="B29" location="'App.2-CD_DepExp_Yr3'!A1" display="App.2-CD: Year 3 Depreciation and Amortization Expense (New CGAAP or MIFRS)"/>
    <hyperlink ref="B30" location="'App.2-CE_DepExp_Yr4'!A1" display="App.2-CE: Year 4 Depreciation and Amortization Expense (MIFRS)"/>
    <hyperlink ref="B31" location="'App.2-CF_DepExp_Yr5'!A1" display="App.2-CF: Year 5 Depreciation and Amortization Expense (MIFRS)"/>
    <hyperlink ref="B32" location="'App.2-CG_DepExp_Yr6'!A1" display="App.2-CG: Year 6 Depreciation and Amortization Expense (Old CGAAP)"/>
    <hyperlink ref="B33" location="'App.2-CH_DepExp'!A1" display="App.2-CH: Depreciation and Amortization Expense (MIFRS)"/>
    <hyperlink ref="B34" location="'App.2-D_Overhead'!A1" display="App.2-D: Overhead Expenses"/>
    <hyperlink ref="B35" location="'App.2-EA_Account 1575 (2015)'!A1" display="App.2-EA: Account 1575 PP&amp;E Deferral Account (2015 IFRS Adopters)"/>
    <hyperlink ref="B36" location="'App.2-EB_Account 1576 (2012)'!A1" display="App.2-EB: Account 1576 - Accounting Changes Under CGAAP (2012 Changes)"/>
    <hyperlink ref="B37" location="'App.2-EC_Account 1576 (2013)'!A1" display="App.2-EC: Account 1576 - Accounting Changes Under CGAAP (2013 Changes)"/>
    <hyperlink ref="B38" location="'App.2-FA Proposed REG Invest.'!A1" display="App.2-FA: Renewable Generation Connection Investment Summary"/>
    <hyperlink ref="B39" location="'App.2-FB Calc of REG Improvemnt'!A1" display="App.2-FB: Calculation of Renewable Generation Connection Direct Benefits/Provincial Amount: Renewable Enabling Improvement Investments"/>
    <hyperlink ref="B40" location="'App.2-FC Calc of REG Expansion'!A1" display="App.2-FC: Calculation of Renewable Generation Connection Direct Benefits/Provincial Amount: Renewable Expansion Investments"/>
    <hyperlink ref="F15" location="'App.2-G SQI'!A1" display="App.2-G: Service Reliability Indicators"/>
    <hyperlink ref="F16" location="'App.2-H_Other_Oper_Rev'!A1" display="App.2-H: Other Operating Revenue"/>
    <hyperlink ref="F17" location="'App_2-I LF_CDM'!A1" display="App.2-I: Load Forecast CDM Adjustment Workform"/>
    <hyperlink ref="F19" location="'App.2-IB_Load_Forecast_Analysis'!A1" display="App.2-IB:  Actual and Forecast Load and Customer Data"/>
    <hyperlink ref="F20" location="'App.2-JA_OM&amp;A_Summary_Analys'!A1" display="App.2-JA: OM&amp;A Summary Analysis"/>
    <hyperlink ref="F21" location="'App.2-JB_OM&amp;A_Cost _Drivers'!A1" display="App.2-JB: Recoverable OM&amp;A Cost Driver Table"/>
    <hyperlink ref="F22" location="'App.2-JC_OMA Programs'!A1" display="App.2-JC: OM&amp;A Programs Table"/>
    <hyperlink ref="F23" location="'App.2-K_Employee Costs'!A1" display="App.2-K: Employee Costs"/>
    <hyperlink ref="F25" location="'App.2-L_OM&amp;A_per_Cust_FTE'!A1" display="App.2-L: Recoverable OM&amp;A Cost per Customer and per FTE"/>
    <hyperlink ref="F26" location="'App.2-M_Regulatory_Costs'!A1" display="App.2-M: Regulatory Costs Schedule"/>
    <hyperlink ref="F27" location="'App.2-N_Corp_Cost_Allocation'!A1" display="App.2-N: Shared Servcies and Corporate Cost Allocation"/>
    <hyperlink ref="F28" location="'App.2-OA Capital Structure'!A1" display="App.2-OA: Capital Structure and Cost of Capital"/>
    <hyperlink ref="F29" location="'App.2-OB_Debt Instruments'!A1" display="App.2-OB: Debt Instruments"/>
    <hyperlink ref="F30" location="'App.2-Q_Cost of Serv. Emb. Dx'!A1" display="App.2-Q: Cost of Serving Embedded Distributor(s)"/>
    <hyperlink ref="F31" location="'App.2-R_Loss Factors'!A1" display="App.2-R: Loss Factors"/>
    <hyperlink ref="F32" location="'App.2-S_Stranded Meters'!A1" display="App.2-S: Stranded Meter Treatment"/>
    <hyperlink ref="F33" location="'App.2-Y_MIFRS Summary Impacts'!A1" display="App.2-Y: Transition to MIFRS Summary Impact"/>
    <hyperlink ref="F24" location="'App.2-KA_P_OPEBs'!A1" display="App.2-KA: Pensions and OPEBs Costs"/>
    <hyperlink ref="F18" location="'App.2-IA_Load_Forecast_Instrct'!A1" display="App.2-IA: Load Forecast Data Instructions"/>
    <hyperlink ref="F34" location="'App.2-YA_IFRS Transition Costs'!A1" display="App.2-YA: One-Time Incremental IFRS Transition Costs"/>
    <hyperlink ref="B19" location="'App.2-A_Requested_Approvals'!A1" display="App.2-A: List of Requested Approvals"/>
  </hyperlinks>
  <pageMargins left="0.75" right="0.75" top="1" bottom="1" header="0.5" footer="0.5"/>
  <pageSetup scale="84"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00B0F0"/>
    <pageSetUpPr fitToPage="1"/>
  </sheetPr>
  <dimension ref="A1:K76"/>
  <sheetViews>
    <sheetView showGridLines="0" zoomScaleNormal="100" workbookViewId="0"/>
  </sheetViews>
  <sheetFormatPr defaultRowHeight="12.75" x14ac:dyDescent="0.2"/>
  <cols>
    <col min="1" max="1" width="55.5703125" style="52" customWidth="1"/>
    <col min="2" max="7" width="15.7109375" style="52" customWidth="1"/>
    <col min="8" max="8" width="48.85546875" style="52" customWidth="1"/>
    <col min="9" max="9" width="18.5703125" style="52" bestFit="1" customWidth="1"/>
    <col min="10" max="10" width="13.7109375" style="52" customWidth="1"/>
    <col min="11" max="11" width="54.5703125" style="52" bestFit="1" customWidth="1"/>
    <col min="12" max="250" width="9.140625" style="52"/>
    <col min="251" max="251" width="2.85546875" style="52" customWidth="1"/>
    <col min="252" max="252" width="5" style="52" customWidth="1"/>
    <col min="253" max="253" width="62" style="52" customWidth="1"/>
    <col min="254" max="254" width="12.7109375" style="52" bestFit="1" customWidth="1"/>
    <col min="255" max="255" width="1.7109375" style="52" customWidth="1"/>
    <col min="256" max="258" width="15.7109375" style="52" customWidth="1"/>
    <col min="259" max="259" width="17.85546875" style="52" bestFit="1" customWidth="1"/>
    <col min="260" max="260" width="18.5703125" style="52" bestFit="1" customWidth="1"/>
    <col min="261" max="263" width="15.7109375" style="52" customWidth="1"/>
    <col min="264" max="264" width="20" style="52" customWidth="1"/>
    <col min="265" max="265" width="18.5703125" style="52" bestFit="1" customWidth="1"/>
    <col min="266" max="266" width="13.7109375" style="52" customWidth="1"/>
    <col min="267" max="267" width="54.5703125" style="52" bestFit="1" customWidth="1"/>
    <col min="268" max="506" width="9.140625" style="52"/>
    <col min="507" max="507" width="2.85546875" style="52" customWidth="1"/>
    <col min="508" max="508" width="5" style="52" customWidth="1"/>
    <col min="509" max="509" width="62" style="52" customWidth="1"/>
    <col min="510" max="510" width="12.7109375" style="52" bestFit="1" customWidth="1"/>
    <col min="511" max="511" width="1.7109375" style="52" customWidth="1"/>
    <col min="512" max="514" width="15.7109375" style="52" customWidth="1"/>
    <col min="515" max="515" width="17.85546875" style="52" bestFit="1" customWidth="1"/>
    <col min="516" max="516" width="18.5703125" style="52" bestFit="1" customWidth="1"/>
    <col min="517" max="519" width="15.7109375" style="52" customWidth="1"/>
    <col min="520" max="520" width="20" style="52" customWidth="1"/>
    <col min="521" max="521" width="18.5703125" style="52" bestFit="1" customWidth="1"/>
    <col min="522" max="522" width="13.7109375" style="52" customWidth="1"/>
    <col min="523" max="523" width="54.5703125" style="52" bestFit="1" customWidth="1"/>
    <col min="524" max="762" width="9.140625" style="52"/>
    <col min="763" max="763" width="2.85546875" style="52" customWidth="1"/>
    <col min="764" max="764" width="5" style="52" customWidth="1"/>
    <col min="765" max="765" width="62" style="52" customWidth="1"/>
    <col min="766" max="766" width="12.7109375" style="52" bestFit="1" customWidth="1"/>
    <col min="767" max="767" width="1.7109375" style="52" customWidth="1"/>
    <col min="768" max="770" width="15.7109375" style="52" customWidth="1"/>
    <col min="771" max="771" width="17.85546875" style="52" bestFit="1" customWidth="1"/>
    <col min="772" max="772" width="18.5703125" style="52" bestFit="1" customWidth="1"/>
    <col min="773" max="775" width="15.7109375" style="52" customWidth="1"/>
    <col min="776" max="776" width="20" style="52" customWidth="1"/>
    <col min="777" max="777" width="18.5703125" style="52" bestFit="1" customWidth="1"/>
    <col min="778" max="778" width="13.7109375" style="52" customWidth="1"/>
    <col min="779" max="779" width="54.5703125" style="52" bestFit="1" customWidth="1"/>
    <col min="780" max="1018" width="9.140625" style="52"/>
    <col min="1019" max="1019" width="2.85546875" style="52" customWidth="1"/>
    <col min="1020" max="1020" width="5" style="52" customWidth="1"/>
    <col min="1021" max="1021" width="62" style="52" customWidth="1"/>
    <col min="1022" max="1022" width="12.7109375" style="52" bestFit="1" customWidth="1"/>
    <col min="1023" max="1023" width="1.7109375" style="52" customWidth="1"/>
    <col min="1024" max="1026" width="15.7109375" style="52" customWidth="1"/>
    <col min="1027" max="1027" width="17.85546875" style="52" bestFit="1" customWidth="1"/>
    <col min="1028" max="1028" width="18.5703125" style="52" bestFit="1" customWidth="1"/>
    <col min="1029" max="1031" width="15.7109375" style="52" customWidth="1"/>
    <col min="1032" max="1032" width="20" style="52" customWidth="1"/>
    <col min="1033" max="1033" width="18.5703125" style="52" bestFit="1" customWidth="1"/>
    <col min="1034" max="1034" width="13.7109375" style="52" customWidth="1"/>
    <col min="1035" max="1035" width="54.5703125" style="52" bestFit="1" customWidth="1"/>
    <col min="1036" max="1274" width="9.140625" style="52"/>
    <col min="1275" max="1275" width="2.85546875" style="52" customWidth="1"/>
    <col min="1276" max="1276" width="5" style="52" customWidth="1"/>
    <col min="1277" max="1277" width="62" style="52" customWidth="1"/>
    <col min="1278" max="1278" width="12.7109375" style="52" bestFit="1" customWidth="1"/>
    <col min="1279" max="1279" width="1.7109375" style="52" customWidth="1"/>
    <col min="1280" max="1282" width="15.7109375" style="52" customWidth="1"/>
    <col min="1283" max="1283" width="17.85546875" style="52" bestFit="1" customWidth="1"/>
    <col min="1284" max="1284" width="18.5703125" style="52" bestFit="1" customWidth="1"/>
    <col min="1285" max="1287" width="15.7109375" style="52" customWidth="1"/>
    <col min="1288" max="1288" width="20" style="52" customWidth="1"/>
    <col min="1289" max="1289" width="18.5703125" style="52" bestFit="1" customWidth="1"/>
    <col min="1290" max="1290" width="13.7109375" style="52" customWidth="1"/>
    <col min="1291" max="1291" width="54.5703125" style="52" bestFit="1" customWidth="1"/>
    <col min="1292" max="1530" width="9.140625" style="52"/>
    <col min="1531" max="1531" width="2.85546875" style="52" customWidth="1"/>
    <col min="1532" max="1532" width="5" style="52" customWidth="1"/>
    <col min="1533" max="1533" width="62" style="52" customWidth="1"/>
    <col min="1534" max="1534" width="12.7109375" style="52" bestFit="1" customWidth="1"/>
    <col min="1535" max="1535" width="1.7109375" style="52" customWidth="1"/>
    <col min="1536" max="1538" width="15.7109375" style="52" customWidth="1"/>
    <col min="1539" max="1539" width="17.85546875" style="52" bestFit="1" customWidth="1"/>
    <col min="1540" max="1540" width="18.5703125" style="52" bestFit="1" customWidth="1"/>
    <col min="1541" max="1543" width="15.7109375" style="52" customWidth="1"/>
    <col min="1544" max="1544" width="20" style="52" customWidth="1"/>
    <col min="1545" max="1545" width="18.5703125" style="52" bestFit="1" customWidth="1"/>
    <col min="1546" max="1546" width="13.7109375" style="52" customWidth="1"/>
    <col min="1547" max="1547" width="54.5703125" style="52" bestFit="1" customWidth="1"/>
    <col min="1548" max="1786" width="9.140625" style="52"/>
    <col min="1787" max="1787" width="2.85546875" style="52" customWidth="1"/>
    <col min="1788" max="1788" width="5" style="52" customWidth="1"/>
    <col min="1789" max="1789" width="62" style="52" customWidth="1"/>
    <col min="1790" max="1790" width="12.7109375" style="52" bestFit="1" customWidth="1"/>
    <col min="1791" max="1791" width="1.7109375" style="52" customWidth="1"/>
    <col min="1792" max="1794" width="15.7109375" style="52" customWidth="1"/>
    <col min="1795" max="1795" width="17.85546875" style="52" bestFit="1" customWidth="1"/>
    <col min="1796" max="1796" width="18.5703125" style="52" bestFit="1" customWidth="1"/>
    <col min="1797" max="1799" width="15.7109375" style="52" customWidth="1"/>
    <col min="1800" max="1800" width="20" style="52" customWidth="1"/>
    <col min="1801" max="1801" width="18.5703125" style="52" bestFit="1" customWidth="1"/>
    <col min="1802" max="1802" width="13.7109375" style="52" customWidth="1"/>
    <col min="1803" max="1803" width="54.5703125" style="52" bestFit="1" customWidth="1"/>
    <col min="1804" max="2042" width="9.140625" style="52"/>
    <col min="2043" max="2043" width="2.85546875" style="52" customWidth="1"/>
    <col min="2044" max="2044" width="5" style="52" customWidth="1"/>
    <col min="2045" max="2045" width="62" style="52" customWidth="1"/>
    <col min="2046" max="2046" width="12.7109375" style="52" bestFit="1" customWidth="1"/>
    <col min="2047" max="2047" width="1.7109375" style="52" customWidth="1"/>
    <col min="2048" max="2050" width="15.7109375" style="52" customWidth="1"/>
    <col min="2051" max="2051" width="17.85546875" style="52" bestFit="1" customWidth="1"/>
    <col min="2052" max="2052" width="18.5703125" style="52" bestFit="1" customWidth="1"/>
    <col min="2053" max="2055" width="15.7109375" style="52" customWidth="1"/>
    <col min="2056" max="2056" width="20" style="52" customWidth="1"/>
    <col min="2057" max="2057" width="18.5703125" style="52" bestFit="1" customWidth="1"/>
    <col min="2058" max="2058" width="13.7109375" style="52" customWidth="1"/>
    <col min="2059" max="2059" width="54.5703125" style="52" bestFit="1" customWidth="1"/>
    <col min="2060" max="2298" width="9.140625" style="52"/>
    <col min="2299" max="2299" width="2.85546875" style="52" customWidth="1"/>
    <col min="2300" max="2300" width="5" style="52" customWidth="1"/>
    <col min="2301" max="2301" width="62" style="52" customWidth="1"/>
    <col min="2302" max="2302" width="12.7109375" style="52" bestFit="1" customWidth="1"/>
    <col min="2303" max="2303" width="1.7109375" style="52" customWidth="1"/>
    <col min="2304" max="2306" width="15.7109375" style="52" customWidth="1"/>
    <col min="2307" max="2307" width="17.85546875" style="52" bestFit="1" customWidth="1"/>
    <col min="2308" max="2308" width="18.5703125" style="52" bestFit="1" customWidth="1"/>
    <col min="2309" max="2311" width="15.7109375" style="52" customWidth="1"/>
    <col min="2312" max="2312" width="20" style="52" customWidth="1"/>
    <col min="2313" max="2313" width="18.5703125" style="52" bestFit="1" customWidth="1"/>
    <col min="2314" max="2314" width="13.7109375" style="52" customWidth="1"/>
    <col min="2315" max="2315" width="54.5703125" style="52" bestFit="1" customWidth="1"/>
    <col min="2316" max="2554" width="9.140625" style="52"/>
    <col min="2555" max="2555" width="2.85546875" style="52" customWidth="1"/>
    <col min="2556" max="2556" width="5" style="52" customWidth="1"/>
    <col min="2557" max="2557" width="62" style="52" customWidth="1"/>
    <col min="2558" max="2558" width="12.7109375" style="52" bestFit="1" customWidth="1"/>
    <col min="2559" max="2559" width="1.7109375" style="52" customWidth="1"/>
    <col min="2560" max="2562" width="15.7109375" style="52" customWidth="1"/>
    <col min="2563" max="2563" width="17.85546875" style="52" bestFit="1" customWidth="1"/>
    <col min="2564" max="2564" width="18.5703125" style="52" bestFit="1" customWidth="1"/>
    <col min="2565" max="2567" width="15.7109375" style="52" customWidth="1"/>
    <col min="2568" max="2568" width="20" style="52" customWidth="1"/>
    <col min="2569" max="2569" width="18.5703125" style="52" bestFit="1" customWidth="1"/>
    <col min="2570" max="2570" width="13.7109375" style="52" customWidth="1"/>
    <col min="2571" max="2571" width="54.5703125" style="52" bestFit="1" customWidth="1"/>
    <col min="2572" max="2810" width="9.140625" style="52"/>
    <col min="2811" max="2811" width="2.85546875" style="52" customWidth="1"/>
    <col min="2812" max="2812" width="5" style="52" customWidth="1"/>
    <col min="2813" max="2813" width="62" style="52" customWidth="1"/>
    <col min="2814" max="2814" width="12.7109375" style="52" bestFit="1" customWidth="1"/>
    <col min="2815" max="2815" width="1.7109375" style="52" customWidth="1"/>
    <col min="2816" max="2818" width="15.7109375" style="52" customWidth="1"/>
    <col min="2819" max="2819" width="17.85546875" style="52" bestFit="1" customWidth="1"/>
    <col min="2820" max="2820" width="18.5703125" style="52" bestFit="1" customWidth="1"/>
    <col min="2821" max="2823" width="15.7109375" style="52" customWidth="1"/>
    <col min="2824" max="2824" width="20" style="52" customWidth="1"/>
    <col min="2825" max="2825" width="18.5703125" style="52" bestFit="1" customWidth="1"/>
    <col min="2826" max="2826" width="13.7109375" style="52" customWidth="1"/>
    <col min="2827" max="2827" width="54.5703125" style="52" bestFit="1" customWidth="1"/>
    <col min="2828" max="3066" width="9.140625" style="52"/>
    <col min="3067" max="3067" width="2.85546875" style="52" customWidth="1"/>
    <col min="3068" max="3068" width="5" style="52" customWidth="1"/>
    <col min="3069" max="3069" width="62" style="52" customWidth="1"/>
    <col min="3070" max="3070" width="12.7109375" style="52" bestFit="1" customWidth="1"/>
    <col min="3071" max="3071" width="1.7109375" style="52" customWidth="1"/>
    <col min="3072" max="3074" width="15.7109375" style="52" customWidth="1"/>
    <col min="3075" max="3075" width="17.85546875" style="52" bestFit="1" customWidth="1"/>
    <col min="3076" max="3076" width="18.5703125" style="52" bestFit="1" customWidth="1"/>
    <col min="3077" max="3079" width="15.7109375" style="52" customWidth="1"/>
    <col min="3080" max="3080" width="20" style="52" customWidth="1"/>
    <col min="3081" max="3081" width="18.5703125" style="52" bestFit="1" customWidth="1"/>
    <col min="3082" max="3082" width="13.7109375" style="52" customWidth="1"/>
    <col min="3083" max="3083" width="54.5703125" style="52" bestFit="1" customWidth="1"/>
    <col min="3084" max="3322" width="9.140625" style="52"/>
    <col min="3323" max="3323" width="2.85546875" style="52" customWidth="1"/>
    <col min="3324" max="3324" width="5" style="52" customWidth="1"/>
    <col min="3325" max="3325" width="62" style="52" customWidth="1"/>
    <col min="3326" max="3326" width="12.7109375" style="52" bestFit="1" customWidth="1"/>
    <col min="3327" max="3327" width="1.7109375" style="52" customWidth="1"/>
    <col min="3328" max="3330" width="15.7109375" style="52" customWidth="1"/>
    <col min="3331" max="3331" width="17.85546875" style="52" bestFit="1" customWidth="1"/>
    <col min="3332" max="3332" width="18.5703125" style="52" bestFit="1" customWidth="1"/>
    <col min="3333" max="3335" width="15.7109375" style="52" customWidth="1"/>
    <col min="3336" max="3336" width="20" style="52" customWidth="1"/>
    <col min="3337" max="3337" width="18.5703125" style="52" bestFit="1" customWidth="1"/>
    <col min="3338" max="3338" width="13.7109375" style="52" customWidth="1"/>
    <col min="3339" max="3339" width="54.5703125" style="52" bestFit="1" customWidth="1"/>
    <col min="3340" max="3578" width="9.140625" style="52"/>
    <col min="3579" max="3579" width="2.85546875" style="52" customWidth="1"/>
    <col min="3580" max="3580" width="5" style="52" customWidth="1"/>
    <col min="3581" max="3581" width="62" style="52" customWidth="1"/>
    <col min="3582" max="3582" width="12.7109375" style="52" bestFit="1" customWidth="1"/>
    <col min="3583" max="3583" width="1.7109375" style="52" customWidth="1"/>
    <col min="3584" max="3586" width="15.7109375" style="52" customWidth="1"/>
    <col min="3587" max="3587" width="17.85546875" style="52" bestFit="1" customWidth="1"/>
    <col min="3588" max="3588" width="18.5703125" style="52" bestFit="1" customWidth="1"/>
    <col min="3589" max="3591" width="15.7109375" style="52" customWidth="1"/>
    <col min="3592" max="3592" width="20" style="52" customWidth="1"/>
    <col min="3593" max="3593" width="18.5703125" style="52" bestFit="1" customWidth="1"/>
    <col min="3594" max="3594" width="13.7109375" style="52" customWidth="1"/>
    <col min="3595" max="3595" width="54.5703125" style="52" bestFit="1" customWidth="1"/>
    <col min="3596" max="3834" width="9.140625" style="52"/>
    <col min="3835" max="3835" width="2.85546875" style="52" customWidth="1"/>
    <col min="3836" max="3836" width="5" style="52" customWidth="1"/>
    <col min="3837" max="3837" width="62" style="52" customWidth="1"/>
    <col min="3838" max="3838" width="12.7109375" style="52" bestFit="1" customWidth="1"/>
    <col min="3839" max="3839" width="1.7109375" style="52" customWidth="1"/>
    <col min="3840" max="3842" width="15.7109375" style="52" customWidth="1"/>
    <col min="3843" max="3843" width="17.85546875" style="52" bestFit="1" customWidth="1"/>
    <col min="3844" max="3844" width="18.5703125" style="52" bestFit="1" customWidth="1"/>
    <col min="3845" max="3847" width="15.7109375" style="52" customWidth="1"/>
    <col min="3848" max="3848" width="20" style="52" customWidth="1"/>
    <col min="3849" max="3849" width="18.5703125" style="52" bestFit="1" customWidth="1"/>
    <col min="3850" max="3850" width="13.7109375" style="52" customWidth="1"/>
    <col min="3851" max="3851" width="54.5703125" style="52" bestFit="1" customWidth="1"/>
    <col min="3852" max="4090" width="9.140625" style="52"/>
    <col min="4091" max="4091" width="2.85546875" style="52" customWidth="1"/>
    <col min="4092" max="4092" width="5" style="52" customWidth="1"/>
    <col min="4093" max="4093" width="62" style="52" customWidth="1"/>
    <col min="4094" max="4094" width="12.7109375" style="52" bestFit="1" customWidth="1"/>
    <col min="4095" max="4095" width="1.7109375" style="52" customWidth="1"/>
    <col min="4096" max="4098" width="15.7109375" style="52" customWidth="1"/>
    <col min="4099" max="4099" width="17.85546875" style="52" bestFit="1" customWidth="1"/>
    <col min="4100" max="4100" width="18.5703125" style="52" bestFit="1" customWidth="1"/>
    <col min="4101" max="4103" width="15.7109375" style="52" customWidth="1"/>
    <col min="4104" max="4104" width="20" style="52" customWidth="1"/>
    <col min="4105" max="4105" width="18.5703125" style="52" bestFit="1" customWidth="1"/>
    <col min="4106" max="4106" width="13.7109375" style="52" customWidth="1"/>
    <col min="4107" max="4107" width="54.5703125" style="52" bestFit="1" customWidth="1"/>
    <col min="4108" max="4346" width="9.140625" style="52"/>
    <col min="4347" max="4347" width="2.85546875" style="52" customWidth="1"/>
    <col min="4348" max="4348" width="5" style="52" customWidth="1"/>
    <col min="4349" max="4349" width="62" style="52" customWidth="1"/>
    <col min="4350" max="4350" width="12.7109375" style="52" bestFit="1" customWidth="1"/>
    <col min="4351" max="4351" width="1.7109375" style="52" customWidth="1"/>
    <col min="4352" max="4354" width="15.7109375" style="52" customWidth="1"/>
    <col min="4355" max="4355" width="17.85546875" style="52" bestFit="1" customWidth="1"/>
    <col min="4356" max="4356" width="18.5703125" style="52" bestFit="1" customWidth="1"/>
    <col min="4357" max="4359" width="15.7109375" style="52" customWidth="1"/>
    <col min="4360" max="4360" width="20" style="52" customWidth="1"/>
    <col min="4361" max="4361" width="18.5703125" style="52" bestFit="1" customWidth="1"/>
    <col min="4362" max="4362" width="13.7109375" style="52" customWidth="1"/>
    <col min="4363" max="4363" width="54.5703125" style="52" bestFit="1" customWidth="1"/>
    <col min="4364" max="4602" width="9.140625" style="52"/>
    <col min="4603" max="4603" width="2.85546875" style="52" customWidth="1"/>
    <col min="4604" max="4604" width="5" style="52" customWidth="1"/>
    <col min="4605" max="4605" width="62" style="52" customWidth="1"/>
    <col min="4606" max="4606" width="12.7109375" style="52" bestFit="1" customWidth="1"/>
    <col min="4607" max="4607" width="1.7109375" style="52" customWidth="1"/>
    <col min="4608" max="4610" width="15.7109375" style="52" customWidth="1"/>
    <col min="4611" max="4611" width="17.85546875" style="52" bestFit="1" customWidth="1"/>
    <col min="4612" max="4612" width="18.5703125" style="52" bestFit="1" customWidth="1"/>
    <col min="4613" max="4615" width="15.7109375" style="52" customWidth="1"/>
    <col min="4616" max="4616" width="20" style="52" customWidth="1"/>
    <col min="4617" max="4617" width="18.5703125" style="52" bestFit="1" customWidth="1"/>
    <col min="4618" max="4618" width="13.7109375" style="52" customWidth="1"/>
    <col min="4619" max="4619" width="54.5703125" style="52" bestFit="1" customWidth="1"/>
    <col min="4620" max="4858" width="9.140625" style="52"/>
    <col min="4859" max="4859" width="2.85546875" style="52" customWidth="1"/>
    <col min="4860" max="4860" width="5" style="52" customWidth="1"/>
    <col min="4861" max="4861" width="62" style="52" customWidth="1"/>
    <col min="4862" max="4862" width="12.7109375" style="52" bestFit="1" customWidth="1"/>
    <col min="4863" max="4863" width="1.7109375" style="52" customWidth="1"/>
    <col min="4864" max="4866" width="15.7109375" style="52" customWidth="1"/>
    <col min="4867" max="4867" width="17.85546875" style="52" bestFit="1" customWidth="1"/>
    <col min="4868" max="4868" width="18.5703125" style="52" bestFit="1" customWidth="1"/>
    <col min="4869" max="4871" width="15.7109375" style="52" customWidth="1"/>
    <col min="4872" max="4872" width="20" style="52" customWidth="1"/>
    <col min="4873" max="4873" width="18.5703125" style="52" bestFit="1" customWidth="1"/>
    <col min="4874" max="4874" width="13.7109375" style="52" customWidth="1"/>
    <col min="4875" max="4875" width="54.5703125" style="52" bestFit="1" customWidth="1"/>
    <col min="4876" max="5114" width="9.140625" style="52"/>
    <col min="5115" max="5115" width="2.85546875" style="52" customWidth="1"/>
    <col min="5116" max="5116" width="5" style="52" customWidth="1"/>
    <col min="5117" max="5117" width="62" style="52" customWidth="1"/>
    <col min="5118" max="5118" width="12.7109375" style="52" bestFit="1" customWidth="1"/>
    <col min="5119" max="5119" width="1.7109375" style="52" customWidth="1"/>
    <col min="5120" max="5122" width="15.7109375" style="52" customWidth="1"/>
    <col min="5123" max="5123" width="17.85546875" style="52" bestFit="1" customWidth="1"/>
    <col min="5124" max="5124" width="18.5703125" style="52" bestFit="1" customWidth="1"/>
    <col min="5125" max="5127" width="15.7109375" style="52" customWidth="1"/>
    <col min="5128" max="5128" width="20" style="52" customWidth="1"/>
    <col min="5129" max="5129" width="18.5703125" style="52" bestFit="1" customWidth="1"/>
    <col min="5130" max="5130" width="13.7109375" style="52" customWidth="1"/>
    <col min="5131" max="5131" width="54.5703125" style="52" bestFit="1" customWidth="1"/>
    <col min="5132" max="5370" width="9.140625" style="52"/>
    <col min="5371" max="5371" width="2.85546875" style="52" customWidth="1"/>
    <col min="5372" max="5372" width="5" style="52" customWidth="1"/>
    <col min="5373" max="5373" width="62" style="52" customWidth="1"/>
    <col min="5374" max="5374" width="12.7109375" style="52" bestFit="1" customWidth="1"/>
    <col min="5375" max="5375" width="1.7109375" style="52" customWidth="1"/>
    <col min="5376" max="5378" width="15.7109375" style="52" customWidth="1"/>
    <col min="5379" max="5379" width="17.85546875" style="52" bestFit="1" customWidth="1"/>
    <col min="5380" max="5380" width="18.5703125" style="52" bestFit="1" customWidth="1"/>
    <col min="5381" max="5383" width="15.7109375" style="52" customWidth="1"/>
    <col min="5384" max="5384" width="20" style="52" customWidth="1"/>
    <col min="5385" max="5385" width="18.5703125" style="52" bestFit="1" customWidth="1"/>
    <col min="5386" max="5386" width="13.7109375" style="52" customWidth="1"/>
    <col min="5387" max="5387" width="54.5703125" style="52" bestFit="1" customWidth="1"/>
    <col min="5388" max="5626" width="9.140625" style="52"/>
    <col min="5627" max="5627" width="2.85546875" style="52" customWidth="1"/>
    <col min="5628" max="5628" width="5" style="52" customWidth="1"/>
    <col min="5629" max="5629" width="62" style="52" customWidth="1"/>
    <col min="5630" max="5630" width="12.7109375" style="52" bestFit="1" customWidth="1"/>
    <col min="5631" max="5631" width="1.7109375" style="52" customWidth="1"/>
    <col min="5632" max="5634" width="15.7109375" style="52" customWidth="1"/>
    <col min="5635" max="5635" width="17.85546875" style="52" bestFit="1" customWidth="1"/>
    <col min="5636" max="5636" width="18.5703125" style="52" bestFit="1" customWidth="1"/>
    <col min="5637" max="5639" width="15.7109375" style="52" customWidth="1"/>
    <col min="5640" max="5640" width="20" style="52" customWidth="1"/>
    <col min="5641" max="5641" width="18.5703125" style="52" bestFit="1" customWidth="1"/>
    <col min="5642" max="5642" width="13.7109375" style="52" customWidth="1"/>
    <col min="5643" max="5643" width="54.5703125" style="52" bestFit="1" customWidth="1"/>
    <col min="5644" max="5882" width="9.140625" style="52"/>
    <col min="5883" max="5883" width="2.85546875" style="52" customWidth="1"/>
    <col min="5884" max="5884" width="5" style="52" customWidth="1"/>
    <col min="5885" max="5885" width="62" style="52" customWidth="1"/>
    <col min="5886" max="5886" width="12.7109375" style="52" bestFit="1" customWidth="1"/>
    <col min="5887" max="5887" width="1.7109375" style="52" customWidth="1"/>
    <col min="5888" max="5890" width="15.7109375" style="52" customWidth="1"/>
    <col min="5891" max="5891" width="17.85546875" style="52" bestFit="1" customWidth="1"/>
    <col min="5892" max="5892" width="18.5703125" style="52" bestFit="1" customWidth="1"/>
    <col min="5893" max="5895" width="15.7109375" style="52" customWidth="1"/>
    <col min="5896" max="5896" width="20" style="52" customWidth="1"/>
    <col min="5897" max="5897" width="18.5703125" style="52" bestFit="1" customWidth="1"/>
    <col min="5898" max="5898" width="13.7109375" style="52" customWidth="1"/>
    <col min="5899" max="5899" width="54.5703125" style="52" bestFit="1" customWidth="1"/>
    <col min="5900" max="6138" width="9.140625" style="52"/>
    <col min="6139" max="6139" width="2.85546875" style="52" customWidth="1"/>
    <col min="6140" max="6140" width="5" style="52" customWidth="1"/>
    <col min="6141" max="6141" width="62" style="52" customWidth="1"/>
    <col min="6142" max="6142" width="12.7109375" style="52" bestFit="1" customWidth="1"/>
    <col min="6143" max="6143" width="1.7109375" style="52" customWidth="1"/>
    <col min="6144" max="6146" width="15.7109375" style="52" customWidth="1"/>
    <col min="6147" max="6147" width="17.85546875" style="52" bestFit="1" customWidth="1"/>
    <col min="6148" max="6148" width="18.5703125" style="52" bestFit="1" customWidth="1"/>
    <col min="6149" max="6151" width="15.7109375" style="52" customWidth="1"/>
    <col min="6152" max="6152" width="20" style="52" customWidth="1"/>
    <col min="6153" max="6153" width="18.5703125" style="52" bestFit="1" customWidth="1"/>
    <col min="6154" max="6154" width="13.7109375" style="52" customWidth="1"/>
    <col min="6155" max="6155" width="54.5703125" style="52" bestFit="1" customWidth="1"/>
    <col min="6156" max="6394" width="9.140625" style="52"/>
    <col min="6395" max="6395" width="2.85546875" style="52" customWidth="1"/>
    <col min="6396" max="6396" width="5" style="52" customWidth="1"/>
    <col min="6397" max="6397" width="62" style="52" customWidth="1"/>
    <col min="6398" max="6398" width="12.7109375" style="52" bestFit="1" customWidth="1"/>
    <col min="6399" max="6399" width="1.7109375" style="52" customWidth="1"/>
    <col min="6400" max="6402" width="15.7109375" style="52" customWidth="1"/>
    <col min="6403" max="6403" width="17.85546875" style="52" bestFit="1" customWidth="1"/>
    <col min="6404" max="6404" width="18.5703125" style="52" bestFit="1" customWidth="1"/>
    <col min="6405" max="6407" width="15.7109375" style="52" customWidth="1"/>
    <col min="6408" max="6408" width="20" style="52" customWidth="1"/>
    <col min="6409" max="6409" width="18.5703125" style="52" bestFit="1" customWidth="1"/>
    <col min="6410" max="6410" width="13.7109375" style="52" customWidth="1"/>
    <col min="6411" max="6411" width="54.5703125" style="52" bestFit="1" customWidth="1"/>
    <col min="6412" max="6650" width="9.140625" style="52"/>
    <col min="6651" max="6651" width="2.85546875" style="52" customWidth="1"/>
    <col min="6652" max="6652" width="5" style="52" customWidth="1"/>
    <col min="6653" max="6653" width="62" style="52" customWidth="1"/>
    <col min="6654" max="6654" width="12.7109375" style="52" bestFit="1" customWidth="1"/>
    <col min="6655" max="6655" width="1.7109375" style="52" customWidth="1"/>
    <col min="6656" max="6658" width="15.7109375" style="52" customWidth="1"/>
    <col min="6659" max="6659" width="17.85546875" style="52" bestFit="1" customWidth="1"/>
    <col min="6660" max="6660" width="18.5703125" style="52" bestFit="1" customWidth="1"/>
    <col min="6661" max="6663" width="15.7109375" style="52" customWidth="1"/>
    <col min="6664" max="6664" width="20" style="52" customWidth="1"/>
    <col min="6665" max="6665" width="18.5703125" style="52" bestFit="1" customWidth="1"/>
    <col min="6666" max="6666" width="13.7109375" style="52" customWidth="1"/>
    <col min="6667" max="6667" width="54.5703125" style="52" bestFit="1" customWidth="1"/>
    <col min="6668" max="6906" width="9.140625" style="52"/>
    <col min="6907" max="6907" width="2.85546875" style="52" customWidth="1"/>
    <col min="6908" max="6908" width="5" style="52" customWidth="1"/>
    <col min="6909" max="6909" width="62" style="52" customWidth="1"/>
    <col min="6910" max="6910" width="12.7109375" style="52" bestFit="1" customWidth="1"/>
    <col min="6911" max="6911" width="1.7109375" style="52" customWidth="1"/>
    <col min="6912" max="6914" width="15.7109375" style="52" customWidth="1"/>
    <col min="6915" max="6915" width="17.85546875" style="52" bestFit="1" customWidth="1"/>
    <col min="6916" max="6916" width="18.5703125" style="52" bestFit="1" customWidth="1"/>
    <col min="6917" max="6919" width="15.7109375" style="52" customWidth="1"/>
    <col min="6920" max="6920" width="20" style="52" customWidth="1"/>
    <col min="6921" max="6921" width="18.5703125" style="52" bestFit="1" customWidth="1"/>
    <col min="6922" max="6922" width="13.7109375" style="52" customWidth="1"/>
    <col min="6923" max="6923" width="54.5703125" style="52" bestFit="1" customWidth="1"/>
    <col min="6924" max="7162" width="9.140625" style="52"/>
    <col min="7163" max="7163" width="2.85546875" style="52" customWidth="1"/>
    <col min="7164" max="7164" width="5" style="52" customWidth="1"/>
    <col min="7165" max="7165" width="62" style="52" customWidth="1"/>
    <col min="7166" max="7166" width="12.7109375" style="52" bestFit="1" customWidth="1"/>
    <col min="7167" max="7167" width="1.7109375" style="52" customWidth="1"/>
    <col min="7168" max="7170" width="15.7109375" style="52" customWidth="1"/>
    <col min="7171" max="7171" width="17.85546875" style="52" bestFit="1" customWidth="1"/>
    <col min="7172" max="7172" width="18.5703125" style="52" bestFit="1" customWidth="1"/>
    <col min="7173" max="7175" width="15.7109375" style="52" customWidth="1"/>
    <col min="7176" max="7176" width="20" style="52" customWidth="1"/>
    <col min="7177" max="7177" width="18.5703125" style="52" bestFit="1" customWidth="1"/>
    <col min="7178" max="7178" width="13.7109375" style="52" customWidth="1"/>
    <col min="7179" max="7179" width="54.5703125" style="52" bestFit="1" customWidth="1"/>
    <col min="7180" max="7418" width="9.140625" style="52"/>
    <col min="7419" max="7419" width="2.85546875" style="52" customWidth="1"/>
    <col min="7420" max="7420" width="5" style="52" customWidth="1"/>
    <col min="7421" max="7421" width="62" style="52" customWidth="1"/>
    <col min="7422" max="7422" width="12.7109375" style="52" bestFit="1" customWidth="1"/>
    <col min="7423" max="7423" width="1.7109375" style="52" customWidth="1"/>
    <col min="7424" max="7426" width="15.7109375" style="52" customWidth="1"/>
    <col min="7427" max="7427" width="17.85546875" style="52" bestFit="1" customWidth="1"/>
    <col min="7428" max="7428" width="18.5703125" style="52" bestFit="1" customWidth="1"/>
    <col min="7429" max="7431" width="15.7109375" style="52" customWidth="1"/>
    <col min="7432" max="7432" width="20" style="52" customWidth="1"/>
    <col min="7433" max="7433" width="18.5703125" style="52" bestFit="1" customWidth="1"/>
    <col min="7434" max="7434" width="13.7109375" style="52" customWidth="1"/>
    <col min="7435" max="7435" width="54.5703125" style="52" bestFit="1" customWidth="1"/>
    <col min="7436" max="7674" width="9.140625" style="52"/>
    <col min="7675" max="7675" width="2.85546875" style="52" customWidth="1"/>
    <col min="7676" max="7676" width="5" style="52" customWidth="1"/>
    <col min="7677" max="7677" width="62" style="52" customWidth="1"/>
    <col min="7678" max="7678" width="12.7109375" style="52" bestFit="1" customWidth="1"/>
    <col min="7679" max="7679" width="1.7109375" style="52" customWidth="1"/>
    <col min="7680" max="7682" width="15.7109375" style="52" customWidth="1"/>
    <col min="7683" max="7683" width="17.85546875" style="52" bestFit="1" customWidth="1"/>
    <col min="7684" max="7684" width="18.5703125" style="52" bestFit="1" customWidth="1"/>
    <col min="7685" max="7687" width="15.7109375" style="52" customWidth="1"/>
    <col min="7688" max="7688" width="20" style="52" customWidth="1"/>
    <col min="7689" max="7689" width="18.5703125" style="52" bestFit="1" customWidth="1"/>
    <col min="7690" max="7690" width="13.7109375" style="52" customWidth="1"/>
    <col min="7691" max="7691" width="54.5703125" style="52" bestFit="1" customWidth="1"/>
    <col min="7692" max="7930" width="9.140625" style="52"/>
    <col min="7931" max="7931" width="2.85546875" style="52" customWidth="1"/>
    <col min="7932" max="7932" width="5" style="52" customWidth="1"/>
    <col min="7933" max="7933" width="62" style="52" customWidth="1"/>
    <col min="7934" max="7934" width="12.7109375" style="52" bestFit="1" customWidth="1"/>
    <col min="7935" max="7935" width="1.7109375" style="52" customWidth="1"/>
    <col min="7936" max="7938" width="15.7109375" style="52" customWidth="1"/>
    <col min="7939" max="7939" width="17.85546875" style="52" bestFit="1" customWidth="1"/>
    <col min="7940" max="7940" width="18.5703125" style="52" bestFit="1" customWidth="1"/>
    <col min="7941" max="7943" width="15.7109375" style="52" customWidth="1"/>
    <col min="7944" max="7944" width="20" style="52" customWidth="1"/>
    <col min="7945" max="7945" width="18.5703125" style="52" bestFit="1" customWidth="1"/>
    <col min="7946" max="7946" width="13.7109375" style="52" customWidth="1"/>
    <col min="7947" max="7947" width="54.5703125" style="52" bestFit="1" customWidth="1"/>
    <col min="7948" max="8186" width="9.140625" style="52"/>
    <col min="8187" max="8187" width="2.85546875" style="52" customWidth="1"/>
    <col min="8188" max="8188" width="5" style="52" customWidth="1"/>
    <col min="8189" max="8189" width="62" style="52" customWidth="1"/>
    <col min="8190" max="8190" width="12.7109375" style="52" bestFit="1" customWidth="1"/>
    <col min="8191" max="8191" width="1.7109375" style="52" customWidth="1"/>
    <col min="8192" max="8194" width="15.7109375" style="52" customWidth="1"/>
    <col min="8195" max="8195" width="17.85546875" style="52" bestFit="1" customWidth="1"/>
    <col min="8196" max="8196" width="18.5703125" style="52" bestFit="1" customWidth="1"/>
    <col min="8197" max="8199" width="15.7109375" style="52" customWidth="1"/>
    <col min="8200" max="8200" width="20" style="52" customWidth="1"/>
    <col min="8201" max="8201" width="18.5703125" style="52" bestFit="1" customWidth="1"/>
    <col min="8202" max="8202" width="13.7109375" style="52" customWidth="1"/>
    <col min="8203" max="8203" width="54.5703125" style="52" bestFit="1" customWidth="1"/>
    <col min="8204" max="8442" width="9.140625" style="52"/>
    <col min="8443" max="8443" width="2.85546875" style="52" customWidth="1"/>
    <col min="8444" max="8444" width="5" style="52" customWidth="1"/>
    <col min="8445" max="8445" width="62" style="52" customWidth="1"/>
    <col min="8446" max="8446" width="12.7109375" style="52" bestFit="1" customWidth="1"/>
    <col min="8447" max="8447" width="1.7109375" style="52" customWidth="1"/>
    <col min="8448" max="8450" width="15.7109375" style="52" customWidth="1"/>
    <col min="8451" max="8451" width="17.85546875" style="52" bestFit="1" customWidth="1"/>
    <col min="8452" max="8452" width="18.5703125" style="52" bestFit="1" customWidth="1"/>
    <col min="8453" max="8455" width="15.7109375" style="52" customWidth="1"/>
    <col min="8456" max="8456" width="20" style="52" customWidth="1"/>
    <col min="8457" max="8457" width="18.5703125" style="52" bestFit="1" customWidth="1"/>
    <col min="8458" max="8458" width="13.7109375" style="52" customWidth="1"/>
    <col min="8459" max="8459" width="54.5703125" style="52" bestFit="1" customWidth="1"/>
    <col min="8460" max="8698" width="9.140625" style="52"/>
    <col min="8699" max="8699" width="2.85546875" style="52" customWidth="1"/>
    <col min="8700" max="8700" width="5" style="52" customWidth="1"/>
    <col min="8701" max="8701" width="62" style="52" customWidth="1"/>
    <col min="8702" max="8702" width="12.7109375" style="52" bestFit="1" customWidth="1"/>
    <col min="8703" max="8703" width="1.7109375" style="52" customWidth="1"/>
    <col min="8704" max="8706" width="15.7109375" style="52" customWidth="1"/>
    <col min="8707" max="8707" width="17.85546875" style="52" bestFit="1" customWidth="1"/>
    <col min="8708" max="8708" width="18.5703125" style="52" bestFit="1" customWidth="1"/>
    <col min="8709" max="8711" width="15.7109375" style="52" customWidth="1"/>
    <col min="8712" max="8712" width="20" style="52" customWidth="1"/>
    <col min="8713" max="8713" width="18.5703125" style="52" bestFit="1" customWidth="1"/>
    <col min="8714" max="8714" width="13.7109375" style="52" customWidth="1"/>
    <col min="8715" max="8715" width="54.5703125" style="52" bestFit="1" customWidth="1"/>
    <col min="8716" max="8954" width="9.140625" style="52"/>
    <col min="8955" max="8955" width="2.85546875" style="52" customWidth="1"/>
    <col min="8956" max="8956" width="5" style="52" customWidth="1"/>
    <col min="8957" max="8957" width="62" style="52" customWidth="1"/>
    <col min="8958" max="8958" width="12.7109375" style="52" bestFit="1" customWidth="1"/>
    <col min="8959" max="8959" width="1.7109375" style="52" customWidth="1"/>
    <col min="8960" max="8962" width="15.7109375" style="52" customWidth="1"/>
    <col min="8963" max="8963" width="17.85546875" style="52" bestFit="1" customWidth="1"/>
    <col min="8964" max="8964" width="18.5703125" style="52" bestFit="1" customWidth="1"/>
    <col min="8965" max="8967" width="15.7109375" style="52" customWidth="1"/>
    <col min="8968" max="8968" width="20" style="52" customWidth="1"/>
    <col min="8969" max="8969" width="18.5703125" style="52" bestFit="1" customWidth="1"/>
    <col min="8970" max="8970" width="13.7109375" style="52" customWidth="1"/>
    <col min="8971" max="8971" width="54.5703125" style="52" bestFit="1" customWidth="1"/>
    <col min="8972" max="9210" width="9.140625" style="52"/>
    <col min="9211" max="9211" width="2.85546875" style="52" customWidth="1"/>
    <col min="9212" max="9212" width="5" style="52" customWidth="1"/>
    <col min="9213" max="9213" width="62" style="52" customWidth="1"/>
    <col min="9214" max="9214" width="12.7109375" style="52" bestFit="1" customWidth="1"/>
    <col min="9215" max="9215" width="1.7109375" style="52" customWidth="1"/>
    <col min="9216" max="9218" width="15.7109375" style="52" customWidth="1"/>
    <col min="9219" max="9219" width="17.85546875" style="52" bestFit="1" customWidth="1"/>
    <col min="9220" max="9220" width="18.5703125" style="52" bestFit="1" customWidth="1"/>
    <col min="9221" max="9223" width="15.7109375" style="52" customWidth="1"/>
    <col min="9224" max="9224" width="20" style="52" customWidth="1"/>
    <col min="9225" max="9225" width="18.5703125" style="52" bestFit="1" customWidth="1"/>
    <col min="9226" max="9226" width="13.7109375" style="52" customWidth="1"/>
    <col min="9227" max="9227" width="54.5703125" style="52" bestFit="1" customWidth="1"/>
    <col min="9228" max="9466" width="9.140625" style="52"/>
    <col min="9467" max="9467" width="2.85546875" style="52" customWidth="1"/>
    <col min="9468" max="9468" width="5" style="52" customWidth="1"/>
    <col min="9469" max="9469" width="62" style="52" customWidth="1"/>
    <col min="9470" max="9470" width="12.7109375" style="52" bestFit="1" customWidth="1"/>
    <col min="9471" max="9471" width="1.7109375" style="52" customWidth="1"/>
    <col min="9472" max="9474" width="15.7109375" style="52" customWidth="1"/>
    <col min="9475" max="9475" width="17.85546875" style="52" bestFit="1" customWidth="1"/>
    <col min="9476" max="9476" width="18.5703125" style="52" bestFit="1" customWidth="1"/>
    <col min="9477" max="9479" width="15.7109375" style="52" customWidth="1"/>
    <col min="9480" max="9480" width="20" style="52" customWidth="1"/>
    <col min="9481" max="9481" width="18.5703125" style="52" bestFit="1" customWidth="1"/>
    <col min="9482" max="9482" width="13.7109375" style="52" customWidth="1"/>
    <col min="9483" max="9483" width="54.5703125" style="52" bestFit="1" customWidth="1"/>
    <col min="9484" max="9722" width="9.140625" style="52"/>
    <col min="9723" max="9723" width="2.85546875" style="52" customWidth="1"/>
    <col min="9724" max="9724" width="5" style="52" customWidth="1"/>
    <col min="9725" max="9725" width="62" style="52" customWidth="1"/>
    <col min="9726" max="9726" width="12.7109375" style="52" bestFit="1" customWidth="1"/>
    <col min="9727" max="9727" width="1.7109375" style="52" customWidth="1"/>
    <col min="9728" max="9730" width="15.7109375" style="52" customWidth="1"/>
    <col min="9731" max="9731" width="17.85546875" style="52" bestFit="1" customWidth="1"/>
    <col min="9732" max="9732" width="18.5703125" style="52" bestFit="1" customWidth="1"/>
    <col min="9733" max="9735" width="15.7109375" style="52" customWidth="1"/>
    <col min="9736" max="9736" width="20" style="52" customWidth="1"/>
    <col min="9737" max="9737" width="18.5703125" style="52" bestFit="1" customWidth="1"/>
    <col min="9738" max="9738" width="13.7109375" style="52" customWidth="1"/>
    <col min="9739" max="9739" width="54.5703125" style="52" bestFit="1" customWidth="1"/>
    <col min="9740" max="9978" width="9.140625" style="52"/>
    <col min="9979" max="9979" width="2.85546875" style="52" customWidth="1"/>
    <col min="9980" max="9980" width="5" style="52" customWidth="1"/>
    <col min="9981" max="9981" width="62" style="52" customWidth="1"/>
    <col min="9982" max="9982" width="12.7109375" style="52" bestFit="1" customWidth="1"/>
    <col min="9983" max="9983" width="1.7109375" style="52" customWidth="1"/>
    <col min="9984" max="9986" width="15.7109375" style="52" customWidth="1"/>
    <col min="9987" max="9987" width="17.85546875" style="52" bestFit="1" customWidth="1"/>
    <col min="9988" max="9988" width="18.5703125" style="52" bestFit="1" customWidth="1"/>
    <col min="9989" max="9991" width="15.7109375" style="52" customWidth="1"/>
    <col min="9992" max="9992" width="20" style="52" customWidth="1"/>
    <col min="9993" max="9993" width="18.5703125" style="52" bestFit="1" customWidth="1"/>
    <col min="9994" max="9994" width="13.7109375" style="52" customWidth="1"/>
    <col min="9995" max="9995" width="54.5703125" style="52" bestFit="1" customWidth="1"/>
    <col min="9996" max="10234" width="9.140625" style="52"/>
    <col min="10235" max="10235" width="2.85546875" style="52" customWidth="1"/>
    <col min="10236" max="10236" width="5" style="52" customWidth="1"/>
    <col min="10237" max="10237" width="62" style="52" customWidth="1"/>
    <col min="10238" max="10238" width="12.7109375" style="52" bestFit="1" customWidth="1"/>
    <col min="10239" max="10239" width="1.7109375" style="52" customWidth="1"/>
    <col min="10240" max="10242" width="15.7109375" style="52" customWidth="1"/>
    <col min="10243" max="10243" width="17.85546875" style="52" bestFit="1" customWidth="1"/>
    <col min="10244" max="10244" width="18.5703125" style="52" bestFit="1" customWidth="1"/>
    <col min="10245" max="10247" width="15.7109375" style="52" customWidth="1"/>
    <col min="10248" max="10248" width="20" style="52" customWidth="1"/>
    <col min="10249" max="10249" width="18.5703125" style="52" bestFit="1" customWidth="1"/>
    <col min="10250" max="10250" width="13.7109375" style="52" customWidth="1"/>
    <col min="10251" max="10251" width="54.5703125" style="52" bestFit="1" customWidth="1"/>
    <col min="10252" max="10490" width="9.140625" style="52"/>
    <col min="10491" max="10491" width="2.85546875" style="52" customWidth="1"/>
    <col min="10492" max="10492" width="5" style="52" customWidth="1"/>
    <col min="10493" max="10493" width="62" style="52" customWidth="1"/>
    <col min="10494" max="10494" width="12.7109375" style="52" bestFit="1" customWidth="1"/>
    <col min="10495" max="10495" width="1.7109375" style="52" customWidth="1"/>
    <col min="10496" max="10498" width="15.7109375" style="52" customWidth="1"/>
    <col min="10499" max="10499" width="17.85546875" style="52" bestFit="1" customWidth="1"/>
    <col min="10500" max="10500" width="18.5703125" style="52" bestFit="1" customWidth="1"/>
    <col min="10501" max="10503" width="15.7109375" style="52" customWidth="1"/>
    <col min="10504" max="10504" width="20" style="52" customWidth="1"/>
    <col min="10505" max="10505" width="18.5703125" style="52" bestFit="1" customWidth="1"/>
    <col min="10506" max="10506" width="13.7109375" style="52" customWidth="1"/>
    <col min="10507" max="10507" width="54.5703125" style="52" bestFit="1" customWidth="1"/>
    <col min="10508" max="10746" width="9.140625" style="52"/>
    <col min="10747" max="10747" width="2.85546875" style="52" customWidth="1"/>
    <col min="10748" max="10748" width="5" style="52" customWidth="1"/>
    <col min="10749" max="10749" width="62" style="52" customWidth="1"/>
    <col min="10750" max="10750" width="12.7109375" style="52" bestFit="1" customWidth="1"/>
    <col min="10751" max="10751" width="1.7109375" style="52" customWidth="1"/>
    <col min="10752" max="10754" width="15.7109375" style="52" customWidth="1"/>
    <col min="10755" max="10755" width="17.85546875" style="52" bestFit="1" customWidth="1"/>
    <col min="10756" max="10756" width="18.5703125" style="52" bestFit="1" customWidth="1"/>
    <col min="10757" max="10759" width="15.7109375" style="52" customWidth="1"/>
    <col min="10760" max="10760" width="20" style="52" customWidth="1"/>
    <col min="10761" max="10761" width="18.5703125" style="52" bestFit="1" customWidth="1"/>
    <col min="10762" max="10762" width="13.7109375" style="52" customWidth="1"/>
    <col min="10763" max="10763" width="54.5703125" style="52" bestFit="1" customWidth="1"/>
    <col min="10764" max="11002" width="9.140625" style="52"/>
    <col min="11003" max="11003" width="2.85546875" style="52" customWidth="1"/>
    <col min="11004" max="11004" width="5" style="52" customWidth="1"/>
    <col min="11005" max="11005" width="62" style="52" customWidth="1"/>
    <col min="11006" max="11006" width="12.7109375" style="52" bestFit="1" customWidth="1"/>
    <col min="11007" max="11007" width="1.7109375" style="52" customWidth="1"/>
    <col min="11008" max="11010" width="15.7109375" style="52" customWidth="1"/>
    <col min="11011" max="11011" width="17.85546875" style="52" bestFit="1" customWidth="1"/>
    <col min="11012" max="11012" width="18.5703125" style="52" bestFit="1" customWidth="1"/>
    <col min="11013" max="11015" width="15.7109375" style="52" customWidth="1"/>
    <col min="11016" max="11016" width="20" style="52" customWidth="1"/>
    <col min="11017" max="11017" width="18.5703125" style="52" bestFit="1" customWidth="1"/>
    <col min="11018" max="11018" width="13.7109375" style="52" customWidth="1"/>
    <col min="11019" max="11019" width="54.5703125" style="52" bestFit="1" customWidth="1"/>
    <col min="11020" max="11258" width="9.140625" style="52"/>
    <col min="11259" max="11259" width="2.85546875" style="52" customWidth="1"/>
    <col min="11260" max="11260" width="5" style="52" customWidth="1"/>
    <col min="11261" max="11261" width="62" style="52" customWidth="1"/>
    <col min="11262" max="11262" width="12.7109375" style="52" bestFit="1" customWidth="1"/>
    <col min="11263" max="11263" width="1.7109375" style="52" customWidth="1"/>
    <col min="11264" max="11266" width="15.7109375" style="52" customWidth="1"/>
    <col min="11267" max="11267" width="17.85546875" style="52" bestFit="1" customWidth="1"/>
    <col min="11268" max="11268" width="18.5703125" style="52" bestFit="1" customWidth="1"/>
    <col min="11269" max="11271" width="15.7109375" style="52" customWidth="1"/>
    <col min="11272" max="11272" width="20" style="52" customWidth="1"/>
    <col min="11273" max="11273" width="18.5703125" style="52" bestFit="1" customWidth="1"/>
    <col min="11274" max="11274" width="13.7109375" style="52" customWidth="1"/>
    <col min="11275" max="11275" width="54.5703125" style="52" bestFit="1" customWidth="1"/>
    <col min="11276" max="11514" width="9.140625" style="52"/>
    <col min="11515" max="11515" width="2.85546875" style="52" customWidth="1"/>
    <col min="11516" max="11516" width="5" style="52" customWidth="1"/>
    <col min="11517" max="11517" width="62" style="52" customWidth="1"/>
    <col min="11518" max="11518" width="12.7109375" style="52" bestFit="1" customWidth="1"/>
    <col min="11519" max="11519" width="1.7109375" style="52" customWidth="1"/>
    <col min="11520" max="11522" width="15.7109375" style="52" customWidth="1"/>
    <col min="11523" max="11523" width="17.85546875" style="52" bestFit="1" customWidth="1"/>
    <col min="11524" max="11524" width="18.5703125" style="52" bestFit="1" customWidth="1"/>
    <col min="11525" max="11527" width="15.7109375" style="52" customWidth="1"/>
    <col min="11528" max="11528" width="20" style="52" customWidth="1"/>
    <col min="11529" max="11529" width="18.5703125" style="52" bestFit="1" customWidth="1"/>
    <col min="11530" max="11530" width="13.7109375" style="52" customWidth="1"/>
    <col min="11531" max="11531" width="54.5703125" style="52" bestFit="1" customWidth="1"/>
    <col min="11532" max="11770" width="9.140625" style="52"/>
    <col min="11771" max="11771" width="2.85546875" style="52" customWidth="1"/>
    <col min="11772" max="11772" width="5" style="52" customWidth="1"/>
    <col min="11773" max="11773" width="62" style="52" customWidth="1"/>
    <col min="11774" max="11774" width="12.7109375" style="52" bestFit="1" customWidth="1"/>
    <col min="11775" max="11775" width="1.7109375" style="52" customWidth="1"/>
    <col min="11776" max="11778" width="15.7109375" style="52" customWidth="1"/>
    <col min="11779" max="11779" width="17.85546875" style="52" bestFit="1" customWidth="1"/>
    <col min="11780" max="11780" width="18.5703125" style="52" bestFit="1" customWidth="1"/>
    <col min="11781" max="11783" width="15.7109375" style="52" customWidth="1"/>
    <col min="11784" max="11784" width="20" style="52" customWidth="1"/>
    <col min="11785" max="11785" width="18.5703125" style="52" bestFit="1" customWidth="1"/>
    <col min="11786" max="11786" width="13.7109375" style="52" customWidth="1"/>
    <col min="11787" max="11787" width="54.5703125" style="52" bestFit="1" customWidth="1"/>
    <col min="11788" max="12026" width="9.140625" style="52"/>
    <col min="12027" max="12027" width="2.85546875" style="52" customWidth="1"/>
    <col min="12028" max="12028" width="5" style="52" customWidth="1"/>
    <col min="12029" max="12029" width="62" style="52" customWidth="1"/>
    <col min="12030" max="12030" width="12.7109375" style="52" bestFit="1" customWidth="1"/>
    <col min="12031" max="12031" width="1.7109375" style="52" customWidth="1"/>
    <col min="12032" max="12034" width="15.7109375" style="52" customWidth="1"/>
    <col min="12035" max="12035" width="17.85546875" style="52" bestFit="1" customWidth="1"/>
    <col min="12036" max="12036" width="18.5703125" style="52" bestFit="1" customWidth="1"/>
    <col min="12037" max="12039" width="15.7109375" style="52" customWidth="1"/>
    <col min="12040" max="12040" width="20" style="52" customWidth="1"/>
    <col min="12041" max="12041" width="18.5703125" style="52" bestFit="1" customWidth="1"/>
    <col min="12042" max="12042" width="13.7109375" style="52" customWidth="1"/>
    <col min="12043" max="12043" width="54.5703125" style="52" bestFit="1" customWidth="1"/>
    <col min="12044" max="12282" width="9.140625" style="52"/>
    <col min="12283" max="12283" width="2.85546875" style="52" customWidth="1"/>
    <col min="12284" max="12284" width="5" style="52" customWidth="1"/>
    <col min="12285" max="12285" width="62" style="52" customWidth="1"/>
    <col min="12286" max="12286" width="12.7109375" style="52" bestFit="1" customWidth="1"/>
    <col min="12287" max="12287" width="1.7109375" style="52" customWidth="1"/>
    <col min="12288" max="12290" width="15.7109375" style="52" customWidth="1"/>
    <col min="12291" max="12291" width="17.85546875" style="52" bestFit="1" customWidth="1"/>
    <col min="12292" max="12292" width="18.5703125" style="52" bestFit="1" customWidth="1"/>
    <col min="12293" max="12295" width="15.7109375" style="52" customWidth="1"/>
    <col min="12296" max="12296" width="20" style="52" customWidth="1"/>
    <col min="12297" max="12297" width="18.5703125" style="52" bestFit="1" customWidth="1"/>
    <col min="12298" max="12298" width="13.7109375" style="52" customWidth="1"/>
    <col min="12299" max="12299" width="54.5703125" style="52" bestFit="1" customWidth="1"/>
    <col min="12300" max="12538" width="9.140625" style="52"/>
    <col min="12539" max="12539" width="2.85546875" style="52" customWidth="1"/>
    <col min="12540" max="12540" width="5" style="52" customWidth="1"/>
    <col min="12541" max="12541" width="62" style="52" customWidth="1"/>
    <col min="12542" max="12542" width="12.7109375" style="52" bestFit="1" customWidth="1"/>
    <col min="12543" max="12543" width="1.7109375" style="52" customWidth="1"/>
    <col min="12544" max="12546" width="15.7109375" style="52" customWidth="1"/>
    <col min="12547" max="12547" width="17.85546875" style="52" bestFit="1" customWidth="1"/>
    <col min="12548" max="12548" width="18.5703125" style="52" bestFit="1" customWidth="1"/>
    <col min="12549" max="12551" width="15.7109375" style="52" customWidth="1"/>
    <col min="12552" max="12552" width="20" style="52" customWidth="1"/>
    <col min="12553" max="12553" width="18.5703125" style="52" bestFit="1" customWidth="1"/>
    <col min="12554" max="12554" width="13.7109375" style="52" customWidth="1"/>
    <col min="12555" max="12555" width="54.5703125" style="52" bestFit="1" customWidth="1"/>
    <col min="12556" max="12794" width="9.140625" style="52"/>
    <col min="12795" max="12795" width="2.85546875" style="52" customWidth="1"/>
    <col min="12796" max="12796" width="5" style="52" customWidth="1"/>
    <col min="12797" max="12797" width="62" style="52" customWidth="1"/>
    <col min="12798" max="12798" width="12.7109375" style="52" bestFit="1" customWidth="1"/>
    <col min="12799" max="12799" width="1.7109375" style="52" customWidth="1"/>
    <col min="12800" max="12802" width="15.7109375" style="52" customWidth="1"/>
    <col min="12803" max="12803" width="17.85546875" style="52" bestFit="1" customWidth="1"/>
    <col min="12804" max="12804" width="18.5703125" style="52" bestFit="1" customWidth="1"/>
    <col min="12805" max="12807" width="15.7109375" style="52" customWidth="1"/>
    <col min="12808" max="12808" width="20" style="52" customWidth="1"/>
    <col min="12809" max="12809" width="18.5703125" style="52" bestFit="1" customWidth="1"/>
    <col min="12810" max="12810" width="13.7109375" style="52" customWidth="1"/>
    <col min="12811" max="12811" width="54.5703125" style="52" bestFit="1" customWidth="1"/>
    <col min="12812" max="13050" width="9.140625" style="52"/>
    <col min="13051" max="13051" width="2.85546875" style="52" customWidth="1"/>
    <col min="13052" max="13052" width="5" style="52" customWidth="1"/>
    <col min="13053" max="13053" width="62" style="52" customWidth="1"/>
    <col min="13054" max="13054" width="12.7109375" style="52" bestFit="1" customWidth="1"/>
    <col min="13055" max="13055" width="1.7109375" style="52" customWidth="1"/>
    <col min="13056" max="13058" width="15.7109375" style="52" customWidth="1"/>
    <col min="13059" max="13059" width="17.85546875" style="52" bestFit="1" customWidth="1"/>
    <col min="13060" max="13060" width="18.5703125" style="52" bestFit="1" customWidth="1"/>
    <col min="13061" max="13063" width="15.7109375" style="52" customWidth="1"/>
    <col min="13064" max="13064" width="20" style="52" customWidth="1"/>
    <col min="13065" max="13065" width="18.5703125" style="52" bestFit="1" customWidth="1"/>
    <col min="13066" max="13066" width="13.7109375" style="52" customWidth="1"/>
    <col min="13067" max="13067" width="54.5703125" style="52" bestFit="1" customWidth="1"/>
    <col min="13068" max="13306" width="9.140625" style="52"/>
    <col min="13307" max="13307" width="2.85546875" style="52" customWidth="1"/>
    <col min="13308" max="13308" width="5" style="52" customWidth="1"/>
    <col min="13309" max="13309" width="62" style="52" customWidth="1"/>
    <col min="13310" max="13310" width="12.7109375" style="52" bestFit="1" customWidth="1"/>
    <col min="13311" max="13311" width="1.7109375" style="52" customWidth="1"/>
    <col min="13312" max="13314" width="15.7109375" style="52" customWidth="1"/>
    <col min="13315" max="13315" width="17.85546875" style="52" bestFit="1" customWidth="1"/>
    <col min="13316" max="13316" width="18.5703125" style="52" bestFit="1" customWidth="1"/>
    <col min="13317" max="13319" width="15.7109375" style="52" customWidth="1"/>
    <col min="13320" max="13320" width="20" style="52" customWidth="1"/>
    <col min="13321" max="13321" width="18.5703125" style="52" bestFit="1" customWidth="1"/>
    <col min="13322" max="13322" width="13.7109375" style="52" customWidth="1"/>
    <col min="13323" max="13323" width="54.5703125" style="52" bestFit="1" customWidth="1"/>
    <col min="13324" max="13562" width="9.140625" style="52"/>
    <col min="13563" max="13563" width="2.85546875" style="52" customWidth="1"/>
    <col min="13564" max="13564" width="5" style="52" customWidth="1"/>
    <col min="13565" max="13565" width="62" style="52" customWidth="1"/>
    <col min="13566" max="13566" width="12.7109375" style="52" bestFit="1" customWidth="1"/>
    <col min="13567" max="13567" width="1.7109375" style="52" customWidth="1"/>
    <col min="13568" max="13570" width="15.7109375" style="52" customWidth="1"/>
    <col min="13571" max="13571" width="17.85546875" style="52" bestFit="1" customWidth="1"/>
    <col min="13572" max="13572" width="18.5703125" style="52" bestFit="1" customWidth="1"/>
    <col min="13573" max="13575" width="15.7109375" style="52" customWidth="1"/>
    <col min="13576" max="13576" width="20" style="52" customWidth="1"/>
    <col min="13577" max="13577" width="18.5703125" style="52" bestFit="1" customWidth="1"/>
    <col min="13578" max="13578" width="13.7109375" style="52" customWidth="1"/>
    <col min="13579" max="13579" width="54.5703125" style="52" bestFit="1" customWidth="1"/>
    <col min="13580" max="13818" width="9.140625" style="52"/>
    <col min="13819" max="13819" width="2.85546875" style="52" customWidth="1"/>
    <col min="13820" max="13820" width="5" style="52" customWidth="1"/>
    <col min="13821" max="13821" width="62" style="52" customWidth="1"/>
    <col min="13822" max="13822" width="12.7109375" style="52" bestFit="1" customWidth="1"/>
    <col min="13823" max="13823" width="1.7109375" style="52" customWidth="1"/>
    <col min="13824" max="13826" width="15.7109375" style="52" customWidth="1"/>
    <col min="13827" max="13827" width="17.85546875" style="52" bestFit="1" customWidth="1"/>
    <col min="13828" max="13828" width="18.5703125" style="52" bestFit="1" customWidth="1"/>
    <col min="13829" max="13831" width="15.7109375" style="52" customWidth="1"/>
    <col min="13832" max="13832" width="20" style="52" customWidth="1"/>
    <col min="13833" max="13833" width="18.5703125" style="52" bestFit="1" customWidth="1"/>
    <col min="13834" max="13834" width="13.7109375" style="52" customWidth="1"/>
    <col min="13835" max="13835" width="54.5703125" style="52" bestFit="1" customWidth="1"/>
    <col min="13836" max="14074" width="9.140625" style="52"/>
    <col min="14075" max="14075" width="2.85546875" style="52" customWidth="1"/>
    <col min="14076" max="14076" width="5" style="52" customWidth="1"/>
    <col min="14077" max="14077" width="62" style="52" customWidth="1"/>
    <col min="14078" max="14078" width="12.7109375" style="52" bestFit="1" customWidth="1"/>
    <col min="14079" max="14079" width="1.7109375" style="52" customWidth="1"/>
    <col min="14080" max="14082" width="15.7109375" style="52" customWidth="1"/>
    <col min="14083" max="14083" width="17.85546875" style="52" bestFit="1" customWidth="1"/>
    <col min="14084" max="14084" width="18.5703125" style="52" bestFit="1" customWidth="1"/>
    <col min="14085" max="14087" width="15.7109375" style="52" customWidth="1"/>
    <col min="14088" max="14088" width="20" style="52" customWidth="1"/>
    <col min="14089" max="14089" width="18.5703125" style="52" bestFit="1" customWidth="1"/>
    <col min="14090" max="14090" width="13.7109375" style="52" customWidth="1"/>
    <col min="14091" max="14091" width="54.5703125" style="52" bestFit="1" customWidth="1"/>
    <col min="14092" max="14330" width="9.140625" style="52"/>
    <col min="14331" max="14331" width="2.85546875" style="52" customWidth="1"/>
    <col min="14332" max="14332" width="5" style="52" customWidth="1"/>
    <col min="14333" max="14333" width="62" style="52" customWidth="1"/>
    <col min="14334" max="14334" width="12.7109375" style="52" bestFit="1" customWidth="1"/>
    <col min="14335" max="14335" width="1.7109375" style="52" customWidth="1"/>
    <col min="14336" max="14338" width="15.7109375" style="52" customWidth="1"/>
    <col min="14339" max="14339" width="17.85546875" style="52" bestFit="1" customWidth="1"/>
    <col min="14340" max="14340" width="18.5703125" style="52" bestFit="1" customWidth="1"/>
    <col min="14341" max="14343" width="15.7109375" style="52" customWidth="1"/>
    <col min="14344" max="14344" width="20" style="52" customWidth="1"/>
    <col min="14345" max="14345" width="18.5703125" style="52" bestFit="1" customWidth="1"/>
    <col min="14346" max="14346" width="13.7109375" style="52" customWidth="1"/>
    <col min="14347" max="14347" width="54.5703125" style="52" bestFit="1" customWidth="1"/>
    <col min="14348" max="14586" width="9.140625" style="52"/>
    <col min="14587" max="14587" width="2.85546875" style="52" customWidth="1"/>
    <col min="14588" max="14588" width="5" style="52" customWidth="1"/>
    <col min="14589" max="14589" width="62" style="52" customWidth="1"/>
    <col min="14590" max="14590" width="12.7109375" style="52" bestFit="1" customWidth="1"/>
    <col min="14591" max="14591" width="1.7109375" style="52" customWidth="1"/>
    <col min="14592" max="14594" width="15.7109375" style="52" customWidth="1"/>
    <col min="14595" max="14595" width="17.85546875" style="52" bestFit="1" customWidth="1"/>
    <col min="14596" max="14596" width="18.5703125" style="52" bestFit="1" customWidth="1"/>
    <col min="14597" max="14599" width="15.7109375" style="52" customWidth="1"/>
    <col min="14600" max="14600" width="20" style="52" customWidth="1"/>
    <col min="14601" max="14601" width="18.5703125" style="52" bestFit="1" customWidth="1"/>
    <col min="14602" max="14602" width="13.7109375" style="52" customWidth="1"/>
    <col min="14603" max="14603" width="54.5703125" style="52" bestFit="1" customWidth="1"/>
    <col min="14604" max="14842" width="9.140625" style="52"/>
    <col min="14843" max="14843" width="2.85546875" style="52" customWidth="1"/>
    <col min="14844" max="14844" width="5" style="52" customWidth="1"/>
    <col min="14845" max="14845" width="62" style="52" customWidth="1"/>
    <col min="14846" max="14846" width="12.7109375" style="52" bestFit="1" customWidth="1"/>
    <col min="14847" max="14847" width="1.7109375" style="52" customWidth="1"/>
    <col min="14848" max="14850" width="15.7109375" style="52" customWidth="1"/>
    <col min="14851" max="14851" width="17.85546875" style="52" bestFit="1" customWidth="1"/>
    <col min="14852" max="14852" width="18.5703125" style="52" bestFit="1" customWidth="1"/>
    <col min="14853" max="14855" width="15.7109375" style="52" customWidth="1"/>
    <col min="14856" max="14856" width="20" style="52" customWidth="1"/>
    <col min="14857" max="14857" width="18.5703125" style="52" bestFit="1" customWidth="1"/>
    <col min="14858" max="14858" width="13.7109375" style="52" customWidth="1"/>
    <col min="14859" max="14859" width="54.5703125" style="52" bestFit="1" customWidth="1"/>
    <col min="14860" max="15098" width="9.140625" style="52"/>
    <col min="15099" max="15099" width="2.85546875" style="52" customWidth="1"/>
    <col min="15100" max="15100" width="5" style="52" customWidth="1"/>
    <col min="15101" max="15101" width="62" style="52" customWidth="1"/>
    <col min="15102" max="15102" width="12.7109375" style="52" bestFit="1" customWidth="1"/>
    <col min="15103" max="15103" width="1.7109375" style="52" customWidth="1"/>
    <col min="15104" max="15106" width="15.7109375" style="52" customWidth="1"/>
    <col min="15107" max="15107" width="17.85546875" style="52" bestFit="1" customWidth="1"/>
    <col min="15108" max="15108" width="18.5703125" style="52" bestFit="1" customWidth="1"/>
    <col min="15109" max="15111" width="15.7109375" style="52" customWidth="1"/>
    <col min="15112" max="15112" width="20" style="52" customWidth="1"/>
    <col min="15113" max="15113" width="18.5703125" style="52" bestFit="1" customWidth="1"/>
    <col min="15114" max="15114" width="13.7109375" style="52" customWidth="1"/>
    <col min="15115" max="15115" width="54.5703125" style="52" bestFit="1" customWidth="1"/>
    <col min="15116" max="15354" width="9.140625" style="52"/>
    <col min="15355" max="15355" width="2.85546875" style="52" customWidth="1"/>
    <col min="15356" max="15356" width="5" style="52" customWidth="1"/>
    <col min="15357" max="15357" width="62" style="52" customWidth="1"/>
    <col min="15358" max="15358" width="12.7109375" style="52" bestFit="1" customWidth="1"/>
    <col min="15359" max="15359" width="1.7109375" style="52" customWidth="1"/>
    <col min="15360" max="15362" width="15.7109375" style="52" customWidth="1"/>
    <col min="15363" max="15363" width="17.85546875" style="52" bestFit="1" customWidth="1"/>
    <col min="15364" max="15364" width="18.5703125" style="52" bestFit="1" customWidth="1"/>
    <col min="15365" max="15367" width="15.7109375" style="52" customWidth="1"/>
    <col min="15368" max="15368" width="20" style="52" customWidth="1"/>
    <col min="15369" max="15369" width="18.5703125" style="52" bestFit="1" customWidth="1"/>
    <col min="15370" max="15370" width="13.7109375" style="52" customWidth="1"/>
    <col min="15371" max="15371" width="54.5703125" style="52" bestFit="1" customWidth="1"/>
    <col min="15372" max="15610" width="9.140625" style="52"/>
    <col min="15611" max="15611" width="2.85546875" style="52" customWidth="1"/>
    <col min="15612" max="15612" width="5" style="52" customWidth="1"/>
    <col min="15613" max="15613" width="62" style="52" customWidth="1"/>
    <col min="15614" max="15614" width="12.7109375" style="52" bestFit="1" customWidth="1"/>
    <col min="15615" max="15615" width="1.7109375" style="52" customWidth="1"/>
    <col min="15616" max="15618" width="15.7109375" style="52" customWidth="1"/>
    <col min="15619" max="15619" width="17.85546875" style="52" bestFit="1" customWidth="1"/>
    <col min="15620" max="15620" width="18.5703125" style="52" bestFit="1" customWidth="1"/>
    <col min="15621" max="15623" width="15.7109375" style="52" customWidth="1"/>
    <col min="15624" max="15624" width="20" style="52" customWidth="1"/>
    <col min="15625" max="15625" width="18.5703125" style="52" bestFit="1" customWidth="1"/>
    <col min="15626" max="15626" width="13.7109375" style="52" customWidth="1"/>
    <col min="15627" max="15627" width="54.5703125" style="52" bestFit="1" customWidth="1"/>
    <col min="15628" max="15866" width="9.140625" style="52"/>
    <col min="15867" max="15867" width="2.85546875" style="52" customWidth="1"/>
    <col min="15868" max="15868" width="5" style="52" customWidth="1"/>
    <col min="15869" max="15869" width="62" style="52" customWidth="1"/>
    <col min="15870" max="15870" width="12.7109375" style="52" bestFit="1" customWidth="1"/>
    <col min="15871" max="15871" width="1.7109375" style="52" customWidth="1"/>
    <col min="15872" max="15874" width="15.7109375" style="52" customWidth="1"/>
    <col min="15875" max="15875" width="17.85546875" style="52" bestFit="1" customWidth="1"/>
    <col min="15876" max="15876" width="18.5703125" style="52" bestFit="1" customWidth="1"/>
    <col min="15877" max="15879" width="15.7109375" style="52" customWidth="1"/>
    <col min="15880" max="15880" width="20" style="52" customWidth="1"/>
    <col min="15881" max="15881" width="18.5703125" style="52" bestFit="1" customWidth="1"/>
    <col min="15882" max="15882" width="13.7109375" style="52" customWidth="1"/>
    <col min="15883" max="15883" width="54.5703125" style="52" bestFit="1" customWidth="1"/>
    <col min="15884" max="16122" width="9.140625" style="52"/>
    <col min="16123" max="16123" width="2.85546875" style="52" customWidth="1"/>
    <col min="16124" max="16124" width="5" style="52" customWidth="1"/>
    <col min="16125" max="16125" width="62" style="52" customWidth="1"/>
    <col min="16126" max="16126" width="12.7109375" style="52" bestFit="1" customWidth="1"/>
    <col min="16127" max="16127" width="1.7109375" style="52" customWidth="1"/>
    <col min="16128" max="16130" width="15.7109375" style="52" customWidth="1"/>
    <col min="16131" max="16131" width="17.85546875" style="52" bestFit="1" customWidth="1"/>
    <col min="16132" max="16132" width="18.5703125" style="52" bestFit="1" customWidth="1"/>
    <col min="16133" max="16135" width="15.7109375" style="52" customWidth="1"/>
    <col min="16136" max="16136" width="20" style="52" customWidth="1"/>
    <col min="16137" max="16137" width="18.5703125" style="52" bestFit="1" customWidth="1"/>
    <col min="16138" max="16138" width="13.7109375" style="52" customWidth="1"/>
    <col min="16139" max="16139" width="54.5703125" style="52" bestFit="1" customWidth="1"/>
    <col min="16140" max="16384" width="9.140625" style="52"/>
  </cols>
  <sheetData>
    <row r="1" spans="1:11" x14ac:dyDescent="0.2">
      <c r="E1" s="155"/>
      <c r="F1" s="152" t="s">
        <v>301</v>
      </c>
      <c r="G1" s="61" t="str">
        <f>EBNUMBER</f>
        <v>EB-2016-0066</v>
      </c>
      <c r="H1" s="152"/>
    </row>
    <row r="2" spans="1:11" x14ac:dyDescent="0.2">
      <c r="E2" s="155"/>
      <c r="F2" s="152" t="s">
        <v>302</v>
      </c>
      <c r="G2" s="51"/>
      <c r="H2" s="152"/>
    </row>
    <row r="3" spans="1:11" x14ac:dyDescent="0.2">
      <c r="E3" s="155"/>
      <c r="F3" s="152" t="s">
        <v>303</v>
      </c>
      <c r="G3" s="51"/>
      <c r="H3" s="152"/>
    </row>
    <row r="4" spans="1:11" x14ac:dyDescent="0.2">
      <c r="E4" s="155"/>
      <c r="F4" s="152" t="s">
        <v>304</v>
      </c>
      <c r="G4" s="51"/>
      <c r="H4" s="152"/>
    </row>
    <row r="5" spans="1:11" x14ac:dyDescent="0.2">
      <c r="E5" s="155"/>
      <c r="F5" s="152" t="s">
        <v>305</v>
      </c>
      <c r="G5" s="1093"/>
      <c r="H5" s="152"/>
    </row>
    <row r="6" spans="1:11" x14ac:dyDescent="0.2">
      <c r="E6" s="155"/>
      <c r="F6" s="152"/>
      <c r="G6" s="1092"/>
      <c r="H6" s="152"/>
    </row>
    <row r="7" spans="1:11" x14ac:dyDescent="0.2">
      <c r="E7" s="155"/>
      <c r="F7" s="152" t="s">
        <v>306</v>
      </c>
      <c r="G7" s="1093"/>
      <c r="H7" s="152"/>
    </row>
    <row r="8" spans="1:11" ht="8.25" customHeight="1" x14ac:dyDescent="0.2"/>
    <row r="9" spans="1:11" ht="20.25" customHeight="1" x14ac:dyDescent="0.2">
      <c r="A9" s="1679" t="s">
        <v>1447</v>
      </c>
      <c r="B9" s="1679"/>
      <c r="C9" s="1679"/>
      <c r="D9" s="1679"/>
      <c r="E9" s="1679"/>
      <c r="F9" s="1679"/>
      <c r="G9" s="1679"/>
      <c r="H9" s="1679"/>
      <c r="I9" s="1070"/>
      <c r="J9" s="1070"/>
      <c r="K9" s="1070"/>
    </row>
    <row r="10" spans="1:11" ht="19.5" customHeight="1" x14ac:dyDescent="0.2">
      <c r="A10" s="1679" t="s">
        <v>426</v>
      </c>
      <c r="B10" s="1679"/>
      <c r="C10" s="1679"/>
      <c r="D10" s="1679"/>
      <c r="E10" s="1679"/>
      <c r="F10" s="1679"/>
      <c r="G10" s="1679"/>
      <c r="H10" s="1679"/>
      <c r="I10" s="1071"/>
      <c r="J10" s="1071"/>
      <c r="K10" s="1071"/>
    </row>
    <row r="12" spans="1:11" ht="30" customHeight="1" x14ac:dyDescent="0.2">
      <c r="A12" s="1610" t="s">
        <v>907</v>
      </c>
      <c r="B12" s="1610"/>
      <c r="C12" s="1610"/>
      <c r="D12" s="1610"/>
      <c r="E12" s="1610"/>
      <c r="F12" s="1610"/>
      <c r="G12" s="59"/>
      <c r="H12" s="59"/>
      <c r="I12" s="1071"/>
      <c r="J12" s="1071"/>
      <c r="K12" s="1071"/>
    </row>
    <row r="13" spans="1:11" ht="13.5" thickBot="1" x14ac:dyDescent="0.25">
      <c r="B13" s="334"/>
      <c r="C13" s="334"/>
      <c r="D13" s="334"/>
      <c r="E13" s="334"/>
      <c r="F13" s="334"/>
      <c r="G13" s="334"/>
      <c r="H13" s="334"/>
    </row>
    <row r="14" spans="1:11" x14ac:dyDescent="0.2">
      <c r="A14" s="1712" t="s">
        <v>901</v>
      </c>
      <c r="B14" s="1017"/>
      <c r="C14" s="1017"/>
      <c r="D14" s="1017"/>
      <c r="E14" s="1017"/>
      <c r="F14" s="1017"/>
    </row>
    <row r="15" spans="1:11" ht="12" customHeight="1" x14ac:dyDescent="0.2">
      <c r="A15" s="1713"/>
      <c r="B15" s="335">
        <f>F15-4</f>
        <v>2013</v>
      </c>
      <c r="C15" s="335">
        <f>F15-3</f>
        <v>2014</v>
      </c>
      <c r="D15" s="335">
        <f>F15-2</f>
        <v>2015</v>
      </c>
      <c r="E15" s="335">
        <f>F15-1</f>
        <v>2016</v>
      </c>
      <c r="F15" s="335">
        <f>TestYear</f>
        <v>2017</v>
      </c>
    </row>
    <row r="16" spans="1:11" x14ac:dyDescent="0.2">
      <c r="A16" s="1714"/>
      <c r="B16" s="336" t="s">
        <v>938</v>
      </c>
      <c r="C16" s="336" t="s">
        <v>938</v>
      </c>
      <c r="D16" s="336" t="s">
        <v>938</v>
      </c>
      <c r="E16" s="337" t="s">
        <v>313</v>
      </c>
      <c r="F16" s="337" t="s">
        <v>314</v>
      </c>
    </row>
    <row r="17" spans="1:8" x14ac:dyDescent="0.2">
      <c r="A17" s="1091"/>
      <c r="B17" s="338"/>
      <c r="C17" s="338"/>
      <c r="D17" s="338"/>
      <c r="E17" s="338"/>
      <c r="F17" s="338"/>
    </row>
    <row r="18" spans="1:8" x14ac:dyDescent="0.2">
      <c r="A18" s="1091"/>
      <c r="B18" s="339"/>
      <c r="C18" s="339"/>
      <c r="D18" s="339"/>
      <c r="E18" s="339"/>
      <c r="F18" s="339"/>
    </row>
    <row r="19" spans="1:8" x14ac:dyDescent="0.2">
      <c r="A19" s="1091"/>
      <c r="B19" s="339"/>
      <c r="C19" s="339"/>
      <c r="D19" s="339"/>
      <c r="E19" s="339"/>
      <c r="F19" s="339"/>
    </row>
    <row r="20" spans="1:8" ht="24.95" customHeight="1" x14ac:dyDescent="0.2">
      <c r="A20" s="1091"/>
      <c r="B20" s="339"/>
      <c r="C20" s="339"/>
      <c r="D20" s="339"/>
      <c r="E20" s="339"/>
      <c r="F20" s="339"/>
    </row>
    <row r="21" spans="1:8" ht="24.95" customHeight="1" x14ac:dyDescent="0.2">
      <c r="A21" s="1091"/>
      <c r="B21" s="339"/>
      <c r="C21" s="339"/>
      <c r="D21" s="339"/>
      <c r="E21" s="339"/>
      <c r="F21" s="339"/>
    </row>
    <row r="22" spans="1:8" x14ac:dyDescent="0.2">
      <c r="A22" s="1091"/>
      <c r="B22" s="339"/>
      <c r="C22" s="339"/>
      <c r="D22" s="339"/>
      <c r="E22" s="339"/>
      <c r="F22" s="339"/>
    </row>
    <row r="23" spans="1:8" ht="13.5" customHeight="1" x14ac:dyDescent="0.2">
      <c r="A23" s="1091"/>
      <c r="B23" s="339"/>
      <c r="C23" s="339"/>
      <c r="D23" s="339"/>
      <c r="E23" s="339"/>
      <c r="F23" s="339"/>
    </row>
    <row r="24" spans="1:8" ht="13.5" customHeight="1" x14ac:dyDescent="0.2">
      <c r="A24" s="1091"/>
      <c r="B24" s="339"/>
      <c r="C24" s="339"/>
      <c r="D24" s="339"/>
      <c r="E24" s="339"/>
      <c r="F24" s="339"/>
    </row>
    <row r="25" spans="1:8" ht="27" customHeight="1" x14ac:dyDescent="0.2">
      <c r="A25" s="340"/>
      <c r="B25" s="339"/>
      <c r="C25" s="339"/>
      <c r="D25" s="339"/>
      <c r="E25" s="339"/>
      <c r="F25" s="339"/>
    </row>
    <row r="26" spans="1:8" ht="13.5" thickBot="1" x14ac:dyDescent="0.25">
      <c r="A26" s="340"/>
      <c r="B26" s="341"/>
      <c r="C26" s="341"/>
      <c r="D26" s="341"/>
      <c r="E26" s="341"/>
      <c r="F26" s="341"/>
    </row>
    <row r="27" spans="1:8" ht="14.25" customHeight="1" thickTop="1" thickBot="1" x14ac:dyDescent="0.25">
      <c r="A27" s="342" t="s">
        <v>905</v>
      </c>
      <c r="B27" s="343">
        <f>SUM(B17:B26)</f>
        <v>0</v>
      </c>
      <c r="C27" s="343">
        <f>SUM(C17:C26)</f>
        <v>0</v>
      </c>
      <c r="D27" s="343">
        <f>SUM(D17:D26)</f>
        <v>0</v>
      </c>
      <c r="E27" s="343">
        <f>SUM(E17:E26)</f>
        <v>0</v>
      </c>
      <c r="F27" s="343">
        <f>SUM(F17:F26)</f>
        <v>0</v>
      </c>
    </row>
    <row r="28" spans="1:8" ht="14.25" customHeight="1" x14ac:dyDescent="0.2">
      <c r="A28" s="344"/>
      <c r="B28" s="345"/>
      <c r="C28" s="345"/>
      <c r="D28" s="345"/>
      <c r="E28" s="345"/>
      <c r="F28" s="345"/>
    </row>
    <row r="29" spans="1:8" s="194" customFormat="1" ht="31.5" customHeight="1" x14ac:dyDescent="0.2">
      <c r="A29" s="1721" t="s">
        <v>908</v>
      </c>
      <c r="B29" s="1721"/>
      <c r="C29" s="1721"/>
      <c r="D29" s="1721"/>
      <c r="E29" s="1721"/>
      <c r="F29" s="1721"/>
      <c r="G29" s="346"/>
      <c r="H29" s="347"/>
    </row>
    <row r="30" spans="1:8" s="194" customFormat="1" ht="14.25" customHeight="1" thickBot="1" x14ac:dyDescent="0.25">
      <c r="A30" s="348"/>
      <c r="B30" s="346"/>
      <c r="C30" s="346"/>
      <c r="D30" s="346"/>
      <c r="E30" s="346"/>
      <c r="F30" s="346"/>
      <c r="G30" s="346"/>
      <c r="H30" s="347"/>
    </row>
    <row r="31" spans="1:8" x14ac:dyDescent="0.2">
      <c r="A31" s="1715" t="s">
        <v>900</v>
      </c>
      <c r="B31" s="1417"/>
      <c r="C31" s="349"/>
      <c r="D31" s="1427"/>
      <c r="E31" s="349"/>
      <c r="F31" s="1427"/>
      <c r="G31" s="349" t="s">
        <v>397</v>
      </c>
      <c r="H31" s="1718" t="s">
        <v>903</v>
      </c>
    </row>
    <row r="32" spans="1:8" x14ac:dyDescent="0.2">
      <c r="A32" s="1716"/>
      <c r="B32" s="335">
        <f>F32-4</f>
        <v>2013</v>
      </c>
      <c r="C32" s="335">
        <f>F32-3</f>
        <v>2014</v>
      </c>
      <c r="D32" s="335">
        <f>F32-2</f>
        <v>2015</v>
      </c>
      <c r="E32" s="335">
        <f>F32-1</f>
        <v>2016</v>
      </c>
      <c r="F32" s="335">
        <f>TestYear</f>
        <v>2017</v>
      </c>
      <c r="G32" s="350" t="s">
        <v>398</v>
      </c>
      <c r="H32" s="1719"/>
    </row>
    <row r="33" spans="1:8" x14ac:dyDescent="0.2">
      <c r="A33" s="1717"/>
      <c r="B33" s="336" t="s">
        <v>938</v>
      </c>
      <c r="C33" s="336" t="s">
        <v>938</v>
      </c>
      <c r="D33" s="336" t="s">
        <v>938</v>
      </c>
      <c r="E33" s="351" t="s">
        <v>313</v>
      </c>
      <c r="F33" s="352" t="s">
        <v>314</v>
      </c>
      <c r="G33" s="353" t="s">
        <v>1288</v>
      </c>
      <c r="H33" s="1720"/>
    </row>
    <row r="34" spans="1:8" x14ac:dyDescent="0.2">
      <c r="A34" s="354" t="s">
        <v>399</v>
      </c>
      <c r="B34" s="355"/>
      <c r="C34" s="355"/>
      <c r="D34" s="355"/>
      <c r="E34" s="355"/>
      <c r="F34" s="355"/>
      <c r="G34" s="356"/>
      <c r="H34" s="357"/>
    </row>
    <row r="35" spans="1:8" x14ac:dyDescent="0.2">
      <c r="A35" s="358" t="s">
        <v>400</v>
      </c>
      <c r="B35" s="355"/>
      <c r="C35" s="355"/>
      <c r="D35" s="355"/>
      <c r="E35" s="355"/>
      <c r="F35" s="355"/>
      <c r="G35" s="356"/>
      <c r="H35" s="357"/>
    </row>
    <row r="36" spans="1:8" x14ac:dyDescent="0.2">
      <c r="A36" s="354" t="s">
        <v>401</v>
      </c>
      <c r="B36" s="355"/>
      <c r="C36" s="355"/>
      <c r="D36" s="355"/>
      <c r="E36" s="355"/>
      <c r="F36" s="355"/>
      <c r="G36" s="356"/>
      <c r="H36" s="357"/>
    </row>
    <row r="37" spans="1:8" x14ac:dyDescent="0.2">
      <c r="A37" s="359" t="s">
        <v>402</v>
      </c>
      <c r="B37" s="355"/>
      <c r="C37" s="355"/>
      <c r="D37" s="355"/>
      <c r="E37" s="355"/>
      <c r="F37" s="355"/>
      <c r="G37" s="356"/>
      <c r="H37" s="357"/>
    </row>
    <row r="38" spans="1:8" x14ac:dyDescent="0.2">
      <c r="A38" s="358" t="s">
        <v>403</v>
      </c>
      <c r="B38" s="355"/>
      <c r="C38" s="355"/>
      <c r="D38" s="355"/>
      <c r="E38" s="355"/>
      <c r="F38" s="355"/>
      <c r="G38" s="356"/>
      <c r="H38" s="357"/>
    </row>
    <row r="39" spans="1:8" x14ac:dyDescent="0.2">
      <c r="A39" s="358"/>
      <c r="B39" s="355"/>
      <c r="C39" s="355"/>
      <c r="D39" s="355"/>
      <c r="E39" s="355"/>
      <c r="F39" s="355"/>
      <c r="G39" s="356"/>
      <c r="H39" s="357"/>
    </row>
    <row r="40" spans="1:8" x14ac:dyDescent="0.2">
      <c r="A40" s="354" t="s">
        <v>404</v>
      </c>
      <c r="B40" s="355"/>
      <c r="C40" s="355"/>
      <c r="D40" s="355"/>
      <c r="E40" s="355"/>
      <c r="F40" s="355"/>
      <c r="G40" s="356"/>
      <c r="H40" s="357"/>
    </row>
    <row r="41" spans="1:8" ht="25.5" x14ac:dyDescent="0.2">
      <c r="A41" s="359" t="s">
        <v>405</v>
      </c>
      <c r="B41" s="360"/>
      <c r="C41" s="360"/>
      <c r="D41" s="360"/>
      <c r="E41" s="360"/>
      <c r="F41" s="360"/>
      <c r="G41" s="356"/>
      <c r="H41" s="357"/>
    </row>
    <row r="42" spans="1:8" ht="25.5" x14ac:dyDescent="0.2">
      <c r="A42" s="359" t="s">
        <v>406</v>
      </c>
      <c r="B42" s="360"/>
      <c r="C42" s="360"/>
      <c r="D42" s="360"/>
      <c r="E42" s="360"/>
      <c r="F42" s="360"/>
      <c r="G42" s="356"/>
      <c r="H42" s="357"/>
    </row>
    <row r="43" spans="1:8" x14ac:dyDescent="0.2">
      <c r="A43" s="358" t="s">
        <v>407</v>
      </c>
      <c r="B43" s="360"/>
      <c r="C43" s="360"/>
      <c r="D43" s="360"/>
      <c r="E43" s="360"/>
      <c r="F43" s="360"/>
      <c r="G43" s="361"/>
      <c r="H43" s="357"/>
    </row>
    <row r="44" spans="1:8" x14ac:dyDescent="0.2">
      <c r="A44" s="362"/>
      <c r="B44" s="360"/>
      <c r="C44" s="360"/>
      <c r="D44" s="360"/>
      <c r="E44" s="360"/>
      <c r="F44" s="360"/>
      <c r="G44" s="356"/>
      <c r="H44" s="357"/>
    </row>
    <row r="45" spans="1:8" x14ac:dyDescent="0.2">
      <c r="A45" s="363" t="s">
        <v>902</v>
      </c>
      <c r="B45" s="360"/>
      <c r="C45" s="360"/>
      <c r="D45" s="360"/>
      <c r="E45" s="360"/>
      <c r="F45" s="360"/>
      <c r="G45" s="356"/>
      <c r="H45" s="357"/>
    </row>
    <row r="46" spans="1:8" ht="13.5" thickBot="1" x14ac:dyDescent="0.25">
      <c r="A46" s="364"/>
      <c r="B46" s="365"/>
      <c r="C46" s="365"/>
      <c r="D46" s="365"/>
      <c r="E46" s="365"/>
      <c r="F46" s="365"/>
      <c r="G46" s="356"/>
      <c r="H46" s="366"/>
    </row>
    <row r="47" spans="1:8" ht="14.25" thickTop="1" thickBot="1" x14ac:dyDescent="0.25">
      <c r="A47" s="367" t="s">
        <v>904</v>
      </c>
      <c r="B47" s="368">
        <f>SUM(B34:B46)</f>
        <v>0</v>
      </c>
      <c r="C47" s="368">
        <f>SUM(C34:C46)</f>
        <v>0</v>
      </c>
      <c r="D47" s="368">
        <f>SUM(D34:D46)</f>
        <v>0</v>
      </c>
      <c r="E47" s="368">
        <f>SUM(E34:E46)</f>
        <v>0</v>
      </c>
      <c r="F47" s="368">
        <f>SUM(F34:F46)</f>
        <v>0</v>
      </c>
      <c r="G47" s="369"/>
      <c r="H47" s="370"/>
    </row>
    <row r="48" spans="1:8" s="194" customFormat="1" ht="13.5" thickBot="1" x14ac:dyDescent="0.25">
      <c r="A48" s="348"/>
      <c r="B48" s="346"/>
      <c r="C48" s="346"/>
      <c r="D48" s="346"/>
      <c r="E48" s="346"/>
      <c r="F48" s="346"/>
      <c r="G48" s="346"/>
      <c r="H48" s="346"/>
    </row>
    <row r="49" spans="1:9" ht="13.5" thickBot="1" x14ac:dyDescent="0.25">
      <c r="A49" s="371" t="s">
        <v>906</v>
      </c>
      <c r="B49" s="372" t="str">
        <f>IF(ISERROR(B47/B27),"0%",B47/B27)</f>
        <v>0%</v>
      </c>
      <c r="C49" s="372" t="str">
        <f>IF(ISERROR(C47/C27),"0%",C47/C27)</f>
        <v>0%</v>
      </c>
      <c r="D49" s="372" t="str">
        <f>IF(ISERROR(D47/D27),"0%",D47/D27)</f>
        <v>0%</v>
      </c>
      <c r="E49" s="372" t="str">
        <f>IF(ISERROR(E47/E27),"0%",E47/E27)</f>
        <v>0%</v>
      </c>
      <c r="F49" s="372" t="str">
        <f>IF(ISERROR(F47/F27),"0%",F47/F27)</f>
        <v>0%</v>
      </c>
      <c r="G49" s="373"/>
      <c r="H49" s="374"/>
    </row>
    <row r="50" spans="1:9" ht="13.5" customHeight="1" x14ac:dyDescent="0.2">
      <c r="A50" s="1722"/>
      <c r="B50" s="1723"/>
      <c r="C50" s="1068"/>
      <c r="D50" s="1068"/>
      <c r="E50" s="1047"/>
    </row>
    <row r="51" spans="1:9" x14ac:dyDescent="0.2">
      <c r="A51" s="1722"/>
      <c r="B51" s="1723"/>
      <c r="C51" s="1068"/>
      <c r="D51" s="1068"/>
      <c r="E51" s="1089"/>
    </row>
    <row r="52" spans="1:9" x14ac:dyDescent="0.2">
      <c r="A52" s="147"/>
      <c r="B52" s="56"/>
      <c r="C52" s="56"/>
      <c r="D52" s="56"/>
    </row>
    <row r="53" spans="1:9" x14ac:dyDescent="0.2">
      <c r="A53" s="1722"/>
      <c r="B53" s="1049"/>
      <c r="C53" s="1049"/>
      <c r="D53" s="1049"/>
      <c r="E53" s="204"/>
    </row>
    <row r="54" spans="1:9" x14ac:dyDescent="0.2">
      <c r="A54" s="1722"/>
      <c r="B54" s="197"/>
      <c r="C54" s="197"/>
      <c r="D54" s="197"/>
    </row>
    <row r="55" spans="1:9" x14ac:dyDescent="0.2">
      <c r="A55" s="334"/>
      <c r="B55" s="197"/>
      <c r="C55" s="197"/>
      <c r="D55" s="197"/>
    </row>
    <row r="56" spans="1:9" ht="12.75" customHeight="1" x14ac:dyDescent="0.2">
      <c r="A56" s="1722"/>
      <c r="B56" s="197"/>
      <c r="C56" s="197"/>
      <c r="D56" s="197"/>
      <c r="E56" s="1089"/>
      <c r="F56" s="1089"/>
      <c r="G56" s="1089"/>
      <c r="H56" s="1089"/>
      <c r="I56" s="1089"/>
    </row>
    <row r="57" spans="1:9" x14ac:dyDescent="0.2">
      <c r="A57" s="1722"/>
      <c r="B57" s="197"/>
      <c r="C57" s="197"/>
      <c r="D57" s="197"/>
      <c r="E57" s="1089"/>
      <c r="F57" s="1089"/>
      <c r="G57" s="1089"/>
      <c r="H57" s="1089"/>
      <c r="I57" s="1089"/>
    </row>
    <row r="58" spans="1:9" ht="12.75" customHeight="1" x14ac:dyDescent="0.2">
      <c r="A58" s="334"/>
      <c r="B58" s="197"/>
      <c r="C58" s="197"/>
      <c r="D58" s="197"/>
      <c r="E58" s="1089"/>
      <c r="F58" s="1089"/>
      <c r="G58" s="1089"/>
      <c r="H58" s="1089"/>
      <c r="I58" s="1089"/>
    </row>
    <row r="59" spans="1:9" x14ac:dyDescent="0.2">
      <c r="A59" s="1724"/>
      <c r="B59" s="197"/>
      <c r="C59" s="197"/>
      <c r="D59" s="197"/>
      <c r="E59" s="1089"/>
      <c r="F59" s="1089"/>
      <c r="G59" s="1089"/>
      <c r="H59" s="1089"/>
      <c r="I59" s="1089"/>
    </row>
    <row r="60" spans="1:9" x14ac:dyDescent="0.2">
      <c r="A60" s="1724"/>
      <c r="B60" s="197"/>
      <c r="C60" s="197"/>
      <c r="D60" s="197"/>
      <c r="E60" s="1089"/>
      <c r="F60" s="1089"/>
      <c r="G60" s="1089"/>
      <c r="H60" s="1089"/>
      <c r="I60" s="1089"/>
    </row>
    <row r="61" spans="1:9" x14ac:dyDescent="0.2">
      <c r="A61" s="1724"/>
      <c r="B61" s="197"/>
      <c r="C61" s="197"/>
      <c r="D61" s="197"/>
      <c r="E61" s="1089"/>
      <c r="F61" s="1089"/>
      <c r="G61" s="1089"/>
      <c r="H61" s="1089"/>
      <c r="I61" s="1089"/>
    </row>
    <row r="62" spans="1:9" x14ac:dyDescent="0.2">
      <c r="A62" s="1724"/>
      <c r="B62" s="197"/>
      <c r="C62" s="197"/>
      <c r="D62" s="197"/>
      <c r="E62" s="1089"/>
      <c r="F62" s="1089"/>
      <c r="G62" s="1089"/>
      <c r="H62" s="1089"/>
      <c r="I62" s="1089"/>
    </row>
    <row r="63" spans="1:9" x14ac:dyDescent="0.2">
      <c r="A63" s="334"/>
      <c r="B63" s="197"/>
      <c r="C63" s="197"/>
      <c r="D63" s="197"/>
    </row>
    <row r="64" spans="1:9" ht="12.75" customHeight="1" x14ac:dyDescent="0.2">
      <c r="A64" s="1722"/>
      <c r="B64" s="197"/>
      <c r="C64" s="197"/>
      <c r="D64" s="197"/>
      <c r="E64" s="1089"/>
      <c r="F64" s="1089"/>
      <c r="G64" s="1089"/>
      <c r="H64" s="1089"/>
      <c r="I64" s="1089"/>
    </row>
    <row r="65" spans="1:9" x14ac:dyDescent="0.2">
      <c r="A65" s="1722"/>
      <c r="B65" s="197"/>
      <c r="C65" s="197"/>
      <c r="D65" s="197"/>
      <c r="E65" s="1089"/>
      <c r="F65" s="1089"/>
      <c r="G65" s="1089"/>
      <c r="H65" s="1089"/>
      <c r="I65" s="1089"/>
    </row>
    <row r="66" spans="1:9" ht="12.75" customHeight="1" x14ac:dyDescent="0.2">
      <c r="B66" s="197"/>
      <c r="C66" s="197"/>
      <c r="D66" s="197"/>
    </row>
    <row r="67" spans="1:9" ht="12.75" customHeight="1" x14ac:dyDescent="0.2">
      <c r="B67" s="197"/>
      <c r="C67" s="197"/>
      <c r="D67" s="197"/>
    </row>
    <row r="68" spans="1:9" ht="12.75" customHeight="1" x14ac:dyDescent="0.2"/>
    <row r="69" spans="1:9" ht="12.75" customHeight="1" x14ac:dyDescent="0.2"/>
    <row r="70" spans="1:9" ht="12.75" customHeight="1" x14ac:dyDescent="0.2"/>
    <row r="72" spans="1:9" ht="12.75" customHeight="1" x14ac:dyDescent="0.2"/>
    <row r="73" spans="1:9" ht="12.75" customHeight="1" x14ac:dyDescent="0.2"/>
    <row r="74" spans="1:9" ht="12.75" customHeight="1" x14ac:dyDescent="0.2"/>
    <row r="75" spans="1:9" ht="12.75" customHeight="1" x14ac:dyDescent="0.2"/>
    <row r="76" spans="1:9" x14ac:dyDescent="0.2">
      <c r="A76" s="197"/>
    </row>
  </sheetData>
  <mergeCells count="13">
    <mergeCell ref="A64:A65"/>
    <mergeCell ref="A50:A51"/>
    <mergeCell ref="B50:B51"/>
    <mergeCell ref="A53:A54"/>
    <mergeCell ref="A56:A57"/>
    <mergeCell ref="A59:A62"/>
    <mergeCell ref="A9:H9"/>
    <mergeCell ref="A10:H10"/>
    <mergeCell ref="A14:A16"/>
    <mergeCell ref="A31:A33"/>
    <mergeCell ref="H31:H33"/>
    <mergeCell ref="A12:F12"/>
    <mergeCell ref="A29:F29"/>
  </mergeCells>
  <dataValidations count="2">
    <dataValidation allowBlank="1" showInputMessage="1" showErrorMessage="1" promptTitle="Date Format" prompt="E.g:  &quot;August 1, 2011&quot;" sqref="WVP983037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JD65533 SZ65533 ACV65533 AMR65533 AWN65533 BGJ65533 BQF65533 CAB65533 CJX65533 CTT65533 DDP65533 DNL65533 DXH65533 EHD65533 EQZ65533 FAV65533 FKR65533 FUN65533 GEJ65533 GOF65533 GYB65533 HHX65533 HRT65533 IBP65533 ILL65533 IVH65533 JFD65533 JOZ65533 JYV65533 KIR65533 KSN65533 LCJ65533 LMF65533 LWB65533 MFX65533 MPT65533 MZP65533 NJL65533 NTH65533 ODD65533 OMZ65533 OWV65533 PGR65533 PQN65533 QAJ65533 QKF65533 QUB65533 RDX65533 RNT65533 RXP65533 SHL65533 SRH65533 TBD65533 TKZ65533 TUV65533 UER65533 UON65533 UYJ65533 VIF65533 VSB65533 WBX65533 WLT65533 WVP65533 JD131069 SZ131069 ACV131069 AMR131069 AWN131069 BGJ131069 BQF131069 CAB131069 CJX131069 CTT131069 DDP131069 DNL131069 DXH131069 EHD131069 EQZ131069 FAV131069 FKR131069 FUN131069 GEJ131069 GOF131069 GYB131069 HHX131069 HRT131069 IBP131069 ILL131069 IVH131069 JFD131069 JOZ131069 JYV131069 KIR131069 KSN131069 LCJ131069 LMF131069 LWB131069 MFX131069 MPT131069 MZP131069 NJL131069 NTH131069 ODD131069 OMZ131069 OWV131069 PGR131069 PQN131069 QAJ131069 QKF131069 QUB131069 RDX131069 RNT131069 RXP131069 SHL131069 SRH131069 TBD131069 TKZ131069 TUV131069 UER131069 UON131069 UYJ131069 VIF131069 VSB131069 WBX131069 WLT131069 WVP131069 JD196605 SZ196605 ACV196605 AMR196605 AWN196605 BGJ196605 BQF196605 CAB196605 CJX196605 CTT196605 DDP196605 DNL196605 DXH196605 EHD196605 EQZ196605 FAV196605 FKR196605 FUN196605 GEJ196605 GOF196605 GYB196605 HHX196605 HRT196605 IBP196605 ILL196605 IVH196605 JFD196605 JOZ196605 JYV196605 KIR196605 KSN196605 LCJ196605 LMF196605 LWB196605 MFX196605 MPT196605 MZP196605 NJL196605 NTH196605 ODD196605 OMZ196605 OWV196605 PGR196605 PQN196605 QAJ196605 QKF196605 QUB196605 RDX196605 RNT196605 RXP196605 SHL196605 SRH196605 TBD196605 TKZ196605 TUV196605 UER196605 UON196605 UYJ196605 VIF196605 VSB196605 WBX196605 WLT196605 WVP196605 JD262141 SZ262141 ACV262141 AMR262141 AWN262141 BGJ262141 BQF262141 CAB262141 CJX262141 CTT262141 DDP262141 DNL262141 DXH262141 EHD262141 EQZ262141 FAV262141 FKR262141 FUN262141 GEJ262141 GOF262141 GYB262141 HHX262141 HRT262141 IBP262141 ILL262141 IVH262141 JFD262141 JOZ262141 JYV262141 KIR262141 KSN262141 LCJ262141 LMF262141 LWB262141 MFX262141 MPT262141 MZP262141 NJL262141 NTH262141 ODD262141 OMZ262141 OWV262141 PGR262141 PQN262141 QAJ262141 QKF262141 QUB262141 RDX262141 RNT262141 RXP262141 SHL262141 SRH262141 TBD262141 TKZ262141 TUV262141 UER262141 UON262141 UYJ262141 VIF262141 VSB262141 WBX262141 WLT262141 WVP262141 JD327677 SZ327677 ACV327677 AMR327677 AWN327677 BGJ327677 BQF327677 CAB327677 CJX327677 CTT327677 DDP327677 DNL327677 DXH327677 EHD327677 EQZ327677 FAV327677 FKR327677 FUN327677 GEJ327677 GOF327677 GYB327677 HHX327677 HRT327677 IBP327677 ILL327677 IVH327677 JFD327677 JOZ327677 JYV327677 KIR327677 KSN327677 LCJ327677 LMF327677 LWB327677 MFX327677 MPT327677 MZP327677 NJL327677 NTH327677 ODD327677 OMZ327677 OWV327677 PGR327677 PQN327677 QAJ327677 QKF327677 QUB327677 RDX327677 RNT327677 RXP327677 SHL327677 SRH327677 TBD327677 TKZ327677 TUV327677 UER327677 UON327677 UYJ327677 VIF327677 VSB327677 WBX327677 WLT327677 WVP327677 JD393213 SZ393213 ACV393213 AMR393213 AWN393213 BGJ393213 BQF393213 CAB393213 CJX393213 CTT393213 DDP393213 DNL393213 DXH393213 EHD393213 EQZ393213 FAV393213 FKR393213 FUN393213 GEJ393213 GOF393213 GYB393213 HHX393213 HRT393213 IBP393213 ILL393213 IVH393213 JFD393213 JOZ393213 JYV393213 KIR393213 KSN393213 LCJ393213 LMF393213 LWB393213 MFX393213 MPT393213 MZP393213 NJL393213 NTH393213 ODD393213 OMZ393213 OWV393213 PGR393213 PQN393213 QAJ393213 QKF393213 QUB393213 RDX393213 RNT393213 RXP393213 SHL393213 SRH393213 TBD393213 TKZ393213 TUV393213 UER393213 UON393213 UYJ393213 VIF393213 VSB393213 WBX393213 WLT393213 WVP393213 JD458749 SZ458749 ACV458749 AMR458749 AWN458749 BGJ458749 BQF458749 CAB458749 CJX458749 CTT458749 DDP458749 DNL458749 DXH458749 EHD458749 EQZ458749 FAV458749 FKR458749 FUN458749 GEJ458749 GOF458749 GYB458749 HHX458749 HRT458749 IBP458749 ILL458749 IVH458749 JFD458749 JOZ458749 JYV458749 KIR458749 KSN458749 LCJ458749 LMF458749 LWB458749 MFX458749 MPT458749 MZP458749 NJL458749 NTH458749 ODD458749 OMZ458749 OWV458749 PGR458749 PQN458749 QAJ458749 QKF458749 QUB458749 RDX458749 RNT458749 RXP458749 SHL458749 SRH458749 TBD458749 TKZ458749 TUV458749 UER458749 UON458749 UYJ458749 VIF458749 VSB458749 WBX458749 WLT458749 WVP458749 JD524285 SZ524285 ACV524285 AMR524285 AWN524285 BGJ524285 BQF524285 CAB524285 CJX524285 CTT524285 DDP524285 DNL524285 DXH524285 EHD524285 EQZ524285 FAV524285 FKR524285 FUN524285 GEJ524285 GOF524285 GYB524285 HHX524285 HRT524285 IBP524285 ILL524285 IVH524285 JFD524285 JOZ524285 JYV524285 KIR524285 KSN524285 LCJ524285 LMF524285 LWB524285 MFX524285 MPT524285 MZP524285 NJL524285 NTH524285 ODD524285 OMZ524285 OWV524285 PGR524285 PQN524285 QAJ524285 QKF524285 QUB524285 RDX524285 RNT524285 RXP524285 SHL524285 SRH524285 TBD524285 TKZ524285 TUV524285 UER524285 UON524285 UYJ524285 VIF524285 VSB524285 WBX524285 WLT524285 WVP524285 JD589821 SZ589821 ACV589821 AMR589821 AWN589821 BGJ589821 BQF589821 CAB589821 CJX589821 CTT589821 DDP589821 DNL589821 DXH589821 EHD589821 EQZ589821 FAV589821 FKR589821 FUN589821 GEJ589821 GOF589821 GYB589821 HHX589821 HRT589821 IBP589821 ILL589821 IVH589821 JFD589821 JOZ589821 JYV589821 KIR589821 KSN589821 LCJ589821 LMF589821 LWB589821 MFX589821 MPT589821 MZP589821 NJL589821 NTH589821 ODD589821 OMZ589821 OWV589821 PGR589821 PQN589821 QAJ589821 QKF589821 QUB589821 RDX589821 RNT589821 RXP589821 SHL589821 SRH589821 TBD589821 TKZ589821 TUV589821 UER589821 UON589821 UYJ589821 VIF589821 VSB589821 WBX589821 WLT589821 WVP589821 JD655357 SZ655357 ACV655357 AMR655357 AWN655357 BGJ655357 BQF655357 CAB655357 CJX655357 CTT655357 DDP655357 DNL655357 DXH655357 EHD655357 EQZ655357 FAV655357 FKR655357 FUN655357 GEJ655357 GOF655357 GYB655357 HHX655357 HRT655357 IBP655357 ILL655357 IVH655357 JFD655357 JOZ655357 JYV655357 KIR655357 KSN655357 LCJ655357 LMF655357 LWB655357 MFX655357 MPT655357 MZP655357 NJL655357 NTH655357 ODD655357 OMZ655357 OWV655357 PGR655357 PQN655357 QAJ655357 QKF655357 QUB655357 RDX655357 RNT655357 RXP655357 SHL655357 SRH655357 TBD655357 TKZ655357 TUV655357 UER655357 UON655357 UYJ655357 VIF655357 VSB655357 WBX655357 WLT655357 WVP655357 JD720893 SZ720893 ACV720893 AMR720893 AWN720893 BGJ720893 BQF720893 CAB720893 CJX720893 CTT720893 DDP720893 DNL720893 DXH720893 EHD720893 EQZ720893 FAV720893 FKR720893 FUN720893 GEJ720893 GOF720893 GYB720893 HHX720893 HRT720893 IBP720893 ILL720893 IVH720893 JFD720893 JOZ720893 JYV720893 KIR720893 KSN720893 LCJ720893 LMF720893 LWB720893 MFX720893 MPT720893 MZP720893 NJL720893 NTH720893 ODD720893 OMZ720893 OWV720893 PGR720893 PQN720893 QAJ720893 QKF720893 QUB720893 RDX720893 RNT720893 RXP720893 SHL720893 SRH720893 TBD720893 TKZ720893 TUV720893 UER720893 UON720893 UYJ720893 VIF720893 VSB720893 WBX720893 WLT720893 WVP720893 JD786429 SZ786429 ACV786429 AMR786429 AWN786429 BGJ786429 BQF786429 CAB786429 CJX786429 CTT786429 DDP786429 DNL786429 DXH786429 EHD786429 EQZ786429 FAV786429 FKR786429 FUN786429 GEJ786429 GOF786429 GYB786429 HHX786429 HRT786429 IBP786429 ILL786429 IVH786429 JFD786429 JOZ786429 JYV786429 KIR786429 KSN786429 LCJ786429 LMF786429 LWB786429 MFX786429 MPT786429 MZP786429 NJL786429 NTH786429 ODD786429 OMZ786429 OWV786429 PGR786429 PQN786429 QAJ786429 QKF786429 QUB786429 RDX786429 RNT786429 RXP786429 SHL786429 SRH786429 TBD786429 TKZ786429 TUV786429 UER786429 UON786429 UYJ786429 VIF786429 VSB786429 WBX786429 WLT786429 WVP786429 JD851965 SZ851965 ACV851965 AMR851965 AWN851965 BGJ851965 BQF851965 CAB851965 CJX851965 CTT851965 DDP851965 DNL851965 DXH851965 EHD851965 EQZ851965 FAV851965 FKR851965 FUN851965 GEJ851965 GOF851965 GYB851965 HHX851965 HRT851965 IBP851965 ILL851965 IVH851965 JFD851965 JOZ851965 JYV851965 KIR851965 KSN851965 LCJ851965 LMF851965 LWB851965 MFX851965 MPT851965 MZP851965 NJL851965 NTH851965 ODD851965 OMZ851965 OWV851965 PGR851965 PQN851965 QAJ851965 QKF851965 QUB851965 RDX851965 RNT851965 RXP851965 SHL851965 SRH851965 TBD851965 TKZ851965 TUV851965 UER851965 UON851965 UYJ851965 VIF851965 VSB851965 WBX851965 WLT851965 WVP851965 JD917501 SZ917501 ACV917501 AMR917501 AWN917501 BGJ917501 BQF917501 CAB917501 CJX917501 CTT917501 DDP917501 DNL917501 DXH917501 EHD917501 EQZ917501 FAV917501 FKR917501 FUN917501 GEJ917501 GOF917501 GYB917501 HHX917501 HRT917501 IBP917501 ILL917501 IVH917501 JFD917501 JOZ917501 JYV917501 KIR917501 KSN917501 LCJ917501 LMF917501 LWB917501 MFX917501 MPT917501 MZP917501 NJL917501 NTH917501 ODD917501 OMZ917501 OWV917501 PGR917501 PQN917501 QAJ917501 QKF917501 QUB917501 RDX917501 RNT917501 RXP917501 SHL917501 SRH917501 TBD917501 TKZ917501 TUV917501 UER917501 UON917501 UYJ917501 VIF917501 VSB917501 WBX917501 WLT917501 WVP917501 JD983037 SZ983037 ACV983037 AMR983037 AWN983037 BGJ983037 BQF983037 CAB983037 CJX983037 CTT983037 DDP983037 DNL983037 DXH983037 EHD983037 EQZ983037 FAV983037 FKR983037 FUN983037 GEJ983037 GOF983037 GYB983037 HHX983037 HRT983037 IBP983037 ILL983037 IVH983037 JFD983037 JOZ983037 JYV983037 KIR983037 KSN983037 LCJ983037 LMF983037 LWB983037 MFX983037 MPT983037 MZP983037 NJL983037 NTH983037 ODD983037 OMZ983037 OWV983037 PGR983037 PQN983037 QAJ983037 QKF983037 QUB983037 RDX983037 RNT983037 RXP983037 SHL983037 SRH983037 TBD983037 TKZ983037 TUV983037 UER983037 UON983037 UYJ983037 VIF983037 VSB983037 WBX983037 WLT983037"/>
    <dataValidation type="list" allowBlank="1" showInputMessage="1" showErrorMessage="1" sqref="G34:G46">
      <formula1>"Yes, No"</formula1>
    </dataValidation>
  </dataValidations>
  <pageMargins left="0.75" right="0.75" top="1" bottom="1" header="0.5" footer="0.5"/>
  <pageSetup scale="61" orientation="landscape"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FFC000"/>
    <pageSetUpPr fitToPage="1"/>
  </sheetPr>
  <dimension ref="A1:L54"/>
  <sheetViews>
    <sheetView showGridLines="0" zoomScaleNormal="100" workbookViewId="0">
      <selection activeCell="A9" sqref="A9:I9"/>
    </sheetView>
  </sheetViews>
  <sheetFormatPr defaultRowHeight="15" x14ac:dyDescent="0.25"/>
  <cols>
    <col min="1" max="1" width="51.7109375" style="375" customWidth="1"/>
    <col min="2" max="2" width="10.85546875" style="375" customWidth="1"/>
    <col min="3" max="5" width="13.7109375" style="375" customWidth="1"/>
    <col min="6" max="6" width="13.85546875" style="375" customWidth="1"/>
    <col min="7" max="7" width="10.28515625" style="375" bestFit="1" customWidth="1"/>
    <col min="8" max="8" width="15.42578125" style="375" customWidth="1"/>
    <col min="9" max="9" width="11" style="375" bestFit="1" customWidth="1"/>
    <col min="10" max="10" width="9.28515625" style="375" bestFit="1" customWidth="1"/>
    <col min="11" max="256" width="9.140625" style="375"/>
    <col min="257" max="257" width="51.7109375" style="375" customWidth="1"/>
    <col min="258" max="263" width="9.140625" style="375"/>
    <col min="264" max="264" width="10.85546875" style="375" customWidth="1"/>
    <col min="265" max="512" width="9.140625" style="375"/>
    <col min="513" max="513" width="51.7109375" style="375" customWidth="1"/>
    <col min="514" max="519" width="9.140625" style="375"/>
    <col min="520" max="520" width="10.85546875" style="375" customWidth="1"/>
    <col min="521" max="768" width="9.140625" style="375"/>
    <col min="769" max="769" width="51.7109375" style="375" customWidth="1"/>
    <col min="770" max="775" width="9.140625" style="375"/>
    <col min="776" max="776" width="10.85546875" style="375" customWidth="1"/>
    <col min="777" max="1024" width="9.140625" style="375"/>
    <col min="1025" max="1025" width="51.7109375" style="375" customWidth="1"/>
    <col min="1026" max="1031" width="9.140625" style="375"/>
    <col min="1032" max="1032" width="10.85546875" style="375" customWidth="1"/>
    <col min="1033" max="1280" width="9.140625" style="375"/>
    <col min="1281" max="1281" width="51.7109375" style="375" customWidth="1"/>
    <col min="1282" max="1287" width="9.140625" style="375"/>
    <col min="1288" max="1288" width="10.85546875" style="375" customWidth="1"/>
    <col min="1289" max="1536" width="9.140625" style="375"/>
    <col min="1537" max="1537" width="51.7109375" style="375" customWidth="1"/>
    <col min="1538" max="1543" width="9.140625" style="375"/>
    <col min="1544" max="1544" width="10.85546875" style="375" customWidth="1"/>
    <col min="1545" max="1792" width="9.140625" style="375"/>
    <col min="1793" max="1793" width="51.7109375" style="375" customWidth="1"/>
    <col min="1794" max="1799" width="9.140625" style="375"/>
    <col min="1800" max="1800" width="10.85546875" style="375" customWidth="1"/>
    <col min="1801" max="2048" width="9.140625" style="375"/>
    <col min="2049" max="2049" width="51.7109375" style="375" customWidth="1"/>
    <col min="2050" max="2055" width="9.140625" style="375"/>
    <col min="2056" max="2056" width="10.85546875" style="375" customWidth="1"/>
    <col min="2057" max="2304" width="9.140625" style="375"/>
    <col min="2305" max="2305" width="51.7109375" style="375" customWidth="1"/>
    <col min="2306" max="2311" width="9.140625" style="375"/>
    <col min="2312" max="2312" width="10.85546875" style="375" customWidth="1"/>
    <col min="2313" max="2560" width="9.140625" style="375"/>
    <col min="2561" max="2561" width="51.7109375" style="375" customWidth="1"/>
    <col min="2562" max="2567" width="9.140625" style="375"/>
    <col min="2568" max="2568" width="10.85546875" style="375" customWidth="1"/>
    <col min="2569" max="2816" width="9.140625" style="375"/>
    <col min="2817" max="2817" width="51.7109375" style="375" customWidth="1"/>
    <col min="2818" max="2823" width="9.140625" style="375"/>
    <col min="2824" max="2824" width="10.85546875" style="375" customWidth="1"/>
    <col min="2825" max="3072" width="9.140625" style="375"/>
    <col min="3073" max="3073" width="51.7109375" style="375" customWidth="1"/>
    <col min="3074" max="3079" width="9.140625" style="375"/>
    <col min="3080" max="3080" width="10.85546875" style="375" customWidth="1"/>
    <col min="3081" max="3328" width="9.140625" style="375"/>
    <col min="3329" max="3329" width="51.7109375" style="375" customWidth="1"/>
    <col min="3330" max="3335" width="9.140625" style="375"/>
    <col min="3336" max="3336" width="10.85546875" style="375" customWidth="1"/>
    <col min="3337" max="3584" width="9.140625" style="375"/>
    <col min="3585" max="3585" width="51.7109375" style="375" customWidth="1"/>
    <col min="3586" max="3591" width="9.140625" style="375"/>
    <col min="3592" max="3592" width="10.85546875" style="375" customWidth="1"/>
    <col min="3593" max="3840" width="9.140625" style="375"/>
    <col min="3841" max="3841" width="51.7109375" style="375" customWidth="1"/>
    <col min="3842" max="3847" width="9.140625" style="375"/>
    <col min="3848" max="3848" width="10.85546875" style="375" customWidth="1"/>
    <col min="3849" max="4096" width="9.140625" style="375"/>
    <col min="4097" max="4097" width="51.7109375" style="375" customWidth="1"/>
    <col min="4098" max="4103" width="9.140625" style="375"/>
    <col min="4104" max="4104" width="10.85546875" style="375" customWidth="1"/>
    <col min="4105" max="4352" width="9.140625" style="375"/>
    <col min="4353" max="4353" width="51.7109375" style="375" customWidth="1"/>
    <col min="4354" max="4359" width="9.140625" style="375"/>
    <col min="4360" max="4360" width="10.85546875" style="375" customWidth="1"/>
    <col min="4361" max="4608" width="9.140625" style="375"/>
    <col min="4609" max="4609" width="51.7109375" style="375" customWidth="1"/>
    <col min="4610" max="4615" width="9.140625" style="375"/>
    <col min="4616" max="4616" width="10.85546875" style="375" customWidth="1"/>
    <col min="4617" max="4864" width="9.140625" style="375"/>
    <col min="4865" max="4865" width="51.7109375" style="375" customWidth="1"/>
    <col min="4866" max="4871" width="9.140625" style="375"/>
    <col min="4872" max="4872" width="10.85546875" style="375" customWidth="1"/>
    <col min="4873" max="5120" width="9.140625" style="375"/>
    <col min="5121" max="5121" width="51.7109375" style="375" customWidth="1"/>
    <col min="5122" max="5127" width="9.140625" style="375"/>
    <col min="5128" max="5128" width="10.85546875" style="375" customWidth="1"/>
    <col min="5129" max="5376" width="9.140625" style="375"/>
    <col min="5377" max="5377" width="51.7109375" style="375" customWidth="1"/>
    <col min="5378" max="5383" width="9.140625" style="375"/>
    <col min="5384" max="5384" width="10.85546875" style="375" customWidth="1"/>
    <col min="5385" max="5632" width="9.140625" style="375"/>
    <col min="5633" max="5633" width="51.7109375" style="375" customWidth="1"/>
    <col min="5634" max="5639" width="9.140625" style="375"/>
    <col min="5640" max="5640" width="10.85546875" style="375" customWidth="1"/>
    <col min="5641" max="5888" width="9.140625" style="375"/>
    <col min="5889" max="5889" width="51.7109375" style="375" customWidth="1"/>
    <col min="5890" max="5895" width="9.140625" style="375"/>
    <col min="5896" max="5896" width="10.85546875" style="375" customWidth="1"/>
    <col min="5897" max="6144" width="9.140625" style="375"/>
    <col min="6145" max="6145" width="51.7109375" style="375" customWidth="1"/>
    <col min="6146" max="6151" width="9.140625" style="375"/>
    <col min="6152" max="6152" width="10.85546875" style="375" customWidth="1"/>
    <col min="6153" max="6400" width="9.140625" style="375"/>
    <col min="6401" max="6401" width="51.7109375" style="375" customWidth="1"/>
    <col min="6402" max="6407" width="9.140625" style="375"/>
    <col min="6408" max="6408" width="10.85546875" style="375" customWidth="1"/>
    <col min="6409" max="6656" width="9.140625" style="375"/>
    <col min="6657" max="6657" width="51.7109375" style="375" customWidth="1"/>
    <col min="6658" max="6663" width="9.140625" style="375"/>
    <col min="6664" max="6664" width="10.85546875" style="375" customWidth="1"/>
    <col min="6665" max="6912" width="9.140625" style="375"/>
    <col min="6913" max="6913" width="51.7109375" style="375" customWidth="1"/>
    <col min="6914" max="6919" width="9.140625" style="375"/>
    <col min="6920" max="6920" width="10.85546875" style="375" customWidth="1"/>
    <col min="6921" max="7168" width="9.140625" style="375"/>
    <col min="7169" max="7169" width="51.7109375" style="375" customWidth="1"/>
    <col min="7170" max="7175" width="9.140625" style="375"/>
    <col min="7176" max="7176" width="10.85546875" style="375" customWidth="1"/>
    <col min="7177" max="7424" width="9.140625" style="375"/>
    <col min="7425" max="7425" width="51.7109375" style="375" customWidth="1"/>
    <col min="7426" max="7431" width="9.140625" style="375"/>
    <col min="7432" max="7432" width="10.85546875" style="375" customWidth="1"/>
    <col min="7433" max="7680" width="9.140625" style="375"/>
    <col min="7681" max="7681" width="51.7109375" style="375" customWidth="1"/>
    <col min="7682" max="7687" width="9.140625" style="375"/>
    <col min="7688" max="7688" width="10.85546875" style="375" customWidth="1"/>
    <col min="7689" max="7936" width="9.140625" style="375"/>
    <col min="7937" max="7937" width="51.7109375" style="375" customWidth="1"/>
    <col min="7938" max="7943" width="9.140625" style="375"/>
    <col min="7944" max="7944" width="10.85546875" style="375" customWidth="1"/>
    <col min="7945" max="8192" width="9.140625" style="375"/>
    <col min="8193" max="8193" width="51.7109375" style="375" customWidth="1"/>
    <col min="8194" max="8199" width="9.140625" style="375"/>
    <col min="8200" max="8200" width="10.85546875" style="375" customWidth="1"/>
    <col min="8201" max="8448" width="9.140625" style="375"/>
    <col min="8449" max="8449" width="51.7109375" style="375" customWidth="1"/>
    <col min="8450" max="8455" width="9.140625" style="375"/>
    <col min="8456" max="8456" width="10.85546875" style="375" customWidth="1"/>
    <col min="8457" max="8704" width="9.140625" style="375"/>
    <col min="8705" max="8705" width="51.7109375" style="375" customWidth="1"/>
    <col min="8706" max="8711" width="9.140625" style="375"/>
    <col min="8712" max="8712" width="10.85546875" style="375" customWidth="1"/>
    <col min="8713" max="8960" width="9.140625" style="375"/>
    <col min="8961" max="8961" width="51.7109375" style="375" customWidth="1"/>
    <col min="8962" max="8967" width="9.140625" style="375"/>
    <col min="8968" max="8968" width="10.85546875" style="375" customWidth="1"/>
    <col min="8969" max="9216" width="9.140625" style="375"/>
    <col min="9217" max="9217" width="51.7109375" style="375" customWidth="1"/>
    <col min="9218" max="9223" width="9.140625" style="375"/>
    <col min="9224" max="9224" width="10.85546875" style="375" customWidth="1"/>
    <col min="9225" max="9472" width="9.140625" style="375"/>
    <col min="9473" max="9473" width="51.7109375" style="375" customWidth="1"/>
    <col min="9474" max="9479" width="9.140625" style="375"/>
    <col min="9480" max="9480" width="10.85546875" style="375" customWidth="1"/>
    <col min="9481" max="9728" width="9.140625" style="375"/>
    <col min="9729" max="9729" width="51.7109375" style="375" customWidth="1"/>
    <col min="9730" max="9735" width="9.140625" style="375"/>
    <col min="9736" max="9736" width="10.85546875" style="375" customWidth="1"/>
    <col min="9737" max="9984" width="9.140625" style="375"/>
    <col min="9985" max="9985" width="51.7109375" style="375" customWidth="1"/>
    <col min="9986" max="9991" width="9.140625" style="375"/>
    <col min="9992" max="9992" width="10.85546875" style="375" customWidth="1"/>
    <col min="9993" max="10240" width="9.140625" style="375"/>
    <col min="10241" max="10241" width="51.7109375" style="375" customWidth="1"/>
    <col min="10242" max="10247" width="9.140625" style="375"/>
    <col min="10248" max="10248" width="10.85546875" style="375" customWidth="1"/>
    <col min="10249" max="10496" width="9.140625" style="375"/>
    <col min="10497" max="10497" width="51.7109375" style="375" customWidth="1"/>
    <col min="10498" max="10503" width="9.140625" style="375"/>
    <col min="10504" max="10504" width="10.85546875" style="375" customWidth="1"/>
    <col min="10505" max="10752" width="9.140625" style="375"/>
    <col min="10753" max="10753" width="51.7109375" style="375" customWidth="1"/>
    <col min="10754" max="10759" width="9.140625" style="375"/>
    <col min="10760" max="10760" width="10.85546875" style="375" customWidth="1"/>
    <col min="10761" max="11008" width="9.140625" style="375"/>
    <col min="11009" max="11009" width="51.7109375" style="375" customWidth="1"/>
    <col min="11010" max="11015" width="9.140625" style="375"/>
    <col min="11016" max="11016" width="10.85546875" style="375" customWidth="1"/>
    <col min="11017" max="11264" width="9.140625" style="375"/>
    <col min="11265" max="11265" width="51.7109375" style="375" customWidth="1"/>
    <col min="11266" max="11271" width="9.140625" style="375"/>
    <col min="11272" max="11272" width="10.85546875" style="375" customWidth="1"/>
    <col min="11273" max="11520" width="9.140625" style="375"/>
    <col min="11521" max="11521" width="51.7109375" style="375" customWidth="1"/>
    <col min="11522" max="11527" width="9.140625" style="375"/>
    <col min="11528" max="11528" width="10.85546875" style="375" customWidth="1"/>
    <col min="11529" max="11776" width="9.140625" style="375"/>
    <col min="11777" max="11777" width="51.7109375" style="375" customWidth="1"/>
    <col min="11778" max="11783" width="9.140625" style="375"/>
    <col min="11784" max="11784" width="10.85546875" style="375" customWidth="1"/>
    <col min="11785" max="12032" width="9.140625" style="375"/>
    <col min="12033" max="12033" width="51.7109375" style="375" customWidth="1"/>
    <col min="12034" max="12039" width="9.140625" style="375"/>
    <col min="12040" max="12040" width="10.85546875" style="375" customWidth="1"/>
    <col min="12041" max="12288" width="9.140625" style="375"/>
    <col min="12289" max="12289" width="51.7109375" style="375" customWidth="1"/>
    <col min="12290" max="12295" width="9.140625" style="375"/>
    <col min="12296" max="12296" width="10.85546875" style="375" customWidth="1"/>
    <col min="12297" max="12544" width="9.140625" style="375"/>
    <col min="12545" max="12545" width="51.7109375" style="375" customWidth="1"/>
    <col min="12546" max="12551" width="9.140625" style="375"/>
    <col min="12552" max="12552" width="10.85546875" style="375" customWidth="1"/>
    <col min="12553" max="12800" width="9.140625" style="375"/>
    <col min="12801" max="12801" width="51.7109375" style="375" customWidth="1"/>
    <col min="12802" max="12807" width="9.140625" style="375"/>
    <col min="12808" max="12808" width="10.85546875" style="375" customWidth="1"/>
    <col min="12809" max="13056" width="9.140625" style="375"/>
    <col min="13057" max="13057" width="51.7109375" style="375" customWidth="1"/>
    <col min="13058" max="13063" width="9.140625" style="375"/>
    <col min="13064" max="13064" width="10.85546875" style="375" customWidth="1"/>
    <col min="13065" max="13312" width="9.140625" style="375"/>
    <col min="13313" max="13313" width="51.7109375" style="375" customWidth="1"/>
    <col min="13314" max="13319" width="9.140625" style="375"/>
    <col min="13320" max="13320" width="10.85546875" style="375" customWidth="1"/>
    <col min="13321" max="13568" width="9.140625" style="375"/>
    <col min="13569" max="13569" width="51.7109375" style="375" customWidth="1"/>
    <col min="13570" max="13575" width="9.140625" style="375"/>
    <col min="13576" max="13576" width="10.85546875" style="375" customWidth="1"/>
    <col min="13577" max="13824" width="9.140625" style="375"/>
    <col min="13825" max="13825" width="51.7109375" style="375" customWidth="1"/>
    <col min="13826" max="13831" width="9.140625" style="375"/>
    <col min="13832" max="13832" width="10.85546875" style="375" customWidth="1"/>
    <col min="13833" max="14080" width="9.140625" style="375"/>
    <col min="14081" max="14081" width="51.7109375" style="375" customWidth="1"/>
    <col min="14082" max="14087" width="9.140625" style="375"/>
    <col min="14088" max="14088" width="10.85546875" style="375" customWidth="1"/>
    <col min="14089" max="14336" width="9.140625" style="375"/>
    <col min="14337" max="14337" width="51.7109375" style="375" customWidth="1"/>
    <col min="14338" max="14343" width="9.140625" style="375"/>
    <col min="14344" max="14344" width="10.85546875" style="375" customWidth="1"/>
    <col min="14345" max="14592" width="9.140625" style="375"/>
    <col min="14593" max="14593" width="51.7109375" style="375" customWidth="1"/>
    <col min="14594" max="14599" width="9.140625" style="375"/>
    <col min="14600" max="14600" width="10.85546875" style="375" customWidth="1"/>
    <col min="14601" max="14848" width="9.140625" style="375"/>
    <col min="14849" max="14849" width="51.7109375" style="375" customWidth="1"/>
    <col min="14850" max="14855" width="9.140625" style="375"/>
    <col min="14856" max="14856" width="10.85546875" style="375" customWidth="1"/>
    <col min="14857" max="15104" width="9.140625" style="375"/>
    <col min="15105" max="15105" width="51.7109375" style="375" customWidth="1"/>
    <col min="15106" max="15111" width="9.140625" style="375"/>
    <col min="15112" max="15112" width="10.85546875" style="375" customWidth="1"/>
    <col min="15113" max="15360" width="9.140625" style="375"/>
    <col min="15361" max="15361" width="51.7109375" style="375" customWidth="1"/>
    <col min="15362" max="15367" width="9.140625" style="375"/>
    <col min="15368" max="15368" width="10.85546875" style="375" customWidth="1"/>
    <col min="15369" max="15616" width="9.140625" style="375"/>
    <col min="15617" max="15617" width="51.7109375" style="375" customWidth="1"/>
    <col min="15618" max="15623" width="9.140625" style="375"/>
    <col min="15624" max="15624" width="10.85546875" style="375" customWidth="1"/>
    <col min="15625" max="15872" width="9.140625" style="375"/>
    <col min="15873" max="15873" width="51.7109375" style="375" customWidth="1"/>
    <col min="15874" max="15879" width="9.140625" style="375"/>
    <col min="15880" max="15880" width="10.85546875" style="375" customWidth="1"/>
    <col min="15881" max="16128" width="9.140625" style="375"/>
    <col min="16129" max="16129" width="51.7109375" style="375" customWidth="1"/>
    <col min="16130" max="16135" width="9.140625" style="375"/>
    <col min="16136" max="16136" width="10.85546875" style="375" customWidth="1"/>
    <col min="16137" max="16384" width="9.140625" style="375"/>
  </cols>
  <sheetData>
    <row r="1" spans="1:12" x14ac:dyDescent="0.25">
      <c r="A1" s="52"/>
      <c r="B1" s="52"/>
      <c r="C1" s="52"/>
      <c r="D1" s="52"/>
      <c r="E1" s="52"/>
      <c r="F1" s="52"/>
      <c r="G1" s="52"/>
      <c r="H1" s="152" t="s">
        <v>301</v>
      </c>
      <c r="I1" s="1092" t="str">
        <f>EBNUMBER</f>
        <v>EB-2016-0066</v>
      </c>
    </row>
    <row r="2" spans="1:12" x14ac:dyDescent="0.25">
      <c r="A2" s="52"/>
      <c r="B2" s="52"/>
      <c r="C2" s="52"/>
      <c r="D2" s="52"/>
      <c r="E2" s="52"/>
      <c r="F2" s="52"/>
      <c r="G2" s="52"/>
      <c r="H2" s="152" t="s">
        <v>302</v>
      </c>
      <c r="I2" s="51"/>
    </row>
    <row r="3" spans="1:12" x14ac:dyDescent="0.25">
      <c r="A3" s="52"/>
      <c r="B3" s="52"/>
      <c r="C3" s="52"/>
      <c r="D3" s="52"/>
      <c r="E3" s="52"/>
      <c r="F3" s="52"/>
      <c r="G3" s="52"/>
      <c r="H3" s="152" t="s">
        <v>303</v>
      </c>
      <c r="I3" s="51"/>
    </row>
    <row r="4" spans="1:12" x14ac:dyDescent="0.25">
      <c r="A4" s="52"/>
      <c r="B4" s="52"/>
      <c r="C4" s="52"/>
      <c r="D4" s="52"/>
      <c r="E4" s="52"/>
      <c r="F4" s="52"/>
      <c r="G4" s="52"/>
      <c r="H4" s="152" t="s">
        <v>304</v>
      </c>
      <c r="I4" s="51"/>
    </row>
    <row r="5" spans="1:12" x14ac:dyDescent="0.25">
      <c r="A5" s="52"/>
      <c r="B5" s="52"/>
      <c r="C5" s="52"/>
      <c r="D5" s="52"/>
      <c r="E5" s="52"/>
      <c r="F5" s="52"/>
      <c r="G5" s="52"/>
      <c r="H5" s="152" t="s">
        <v>305</v>
      </c>
      <c r="I5" s="1093"/>
    </row>
    <row r="6" spans="1:12" x14ac:dyDescent="0.25">
      <c r="A6" s="52"/>
      <c r="B6" s="52"/>
      <c r="C6" s="52"/>
      <c r="D6" s="52"/>
      <c r="E6" s="52"/>
      <c r="F6" s="52"/>
      <c r="G6" s="52"/>
      <c r="H6" s="152"/>
      <c r="I6" s="1092"/>
    </row>
    <row r="7" spans="1:12" x14ac:dyDescent="0.25">
      <c r="A7" s="52"/>
      <c r="B7" s="52"/>
      <c r="C7" s="52"/>
      <c r="D7" s="52"/>
      <c r="E7" s="52"/>
      <c r="F7" s="52"/>
      <c r="G7" s="52"/>
      <c r="H7" s="152" t="s">
        <v>306</v>
      </c>
      <c r="I7" s="1093"/>
    </row>
    <row r="8" spans="1:12" x14ac:dyDescent="0.25">
      <c r="A8" s="52"/>
      <c r="B8" s="52"/>
      <c r="C8" s="52"/>
      <c r="D8" s="52"/>
      <c r="E8" s="52"/>
      <c r="F8" s="52"/>
      <c r="G8" s="52"/>
      <c r="H8" s="52"/>
      <c r="I8" s="52"/>
    </row>
    <row r="9" spans="1:12" ht="18" x14ac:dyDescent="0.25">
      <c r="A9" s="1591" t="s">
        <v>1448</v>
      </c>
      <c r="B9" s="1728"/>
      <c r="C9" s="1728"/>
      <c r="D9" s="1728"/>
      <c r="E9" s="1728"/>
      <c r="F9" s="1728"/>
      <c r="G9" s="1728"/>
      <c r="H9" s="1728"/>
      <c r="I9" s="1728"/>
    </row>
    <row r="10" spans="1:12" ht="18" x14ac:dyDescent="0.25">
      <c r="A10" s="1591" t="s">
        <v>419</v>
      </c>
      <c r="B10" s="1729"/>
      <c r="C10" s="1729"/>
      <c r="D10" s="1729"/>
      <c r="E10" s="1729"/>
      <c r="F10" s="1729"/>
      <c r="G10" s="1729"/>
      <c r="H10" s="1729"/>
      <c r="I10" s="1729"/>
    </row>
    <row r="11" spans="1:12" ht="18" x14ac:dyDescent="0.25">
      <c r="A11" s="1591" t="s">
        <v>896</v>
      </c>
      <c r="B11" s="1729"/>
      <c r="C11" s="1729"/>
      <c r="D11" s="1729"/>
      <c r="E11" s="1729"/>
      <c r="F11" s="1729"/>
      <c r="G11" s="1729"/>
      <c r="H11" s="1729"/>
      <c r="I11" s="1729"/>
    </row>
    <row r="12" spans="1:12" x14ac:dyDescent="0.25">
      <c r="A12" s="52"/>
      <c r="B12" s="52"/>
      <c r="C12" s="52"/>
      <c r="D12" s="52"/>
      <c r="E12" s="52"/>
      <c r="F12" s="52"/>
      <c r="G12" s="52"/>
      <c r="H12" s="52"/>
      <c r="I12" s="52"/>
    </row>
    <row r="13" spans="1:12" s="376" customFormat="1" x14ac:dyDescent="0.25">
      <c r="A13" s="1730" t="s">
        <v>1016</v>
      </c>
      <c r="B13" s="1730"/>
      <c r="C13" s="1730"/>
      <c r="D13" s="1730"/>
      <c r="E13" s="1730"/>
      <c r="F13" s="1730"/>
      <c r="G13" s="1730"/>
      <c r="H13" s="1730"/>
      <c r="I13" s="1730"/>
      <c r="J13" s="333"/>
      <c r="K13" s="333"/>
      <c r="L13" s="333"/>
    </row>
    <row r="14" spans="1:12" x14ac:dyDescent="0.25">
      <c r="A14" s="377"/>
      <c r="B14" s="377"/>
      <c r="C14" s="377"/>
      <c r="D14" s="377"/>
      <c r="E14" s="377"/>
      <c r="F14" s="377"/>
      <c r="G14" s="377"/>
      <c r="H14" s="377"/>
      <c r="I14" s="377"/>
      <c r="J14" s="378"/>
      <c r="K14" s="378"/>
    </row>
    <row r="15" spans="1:12" x14ac:dyDescent="0.25">
      <c r="A15" s="1730"/>
      <c r="B15" s="1730"/>
      <c r="C15" s="1730"/>
      <c r="D15" s="1730"/>
      <c r="E15" s="1730"/>
      <c r="F15" s="1730"/>
      <c r="G15" s="1730"/>
      <c r="H15" s="1730"/>
      <c r="I15" s="1730"/>
      <c r="J15" s="378"/>
      <c r="K15" s="378"/>
    </row>
    <row r="16" spans="1:12" x14ac:dyDescent="0.25">
      <c r="A16" s="377"/>
      <c r="B16" s="377"/>
      <c r="C16" s="377"/>
      <c r="D16" s="377"/>
      <c r="E16" s="377"/>
      <c r="F16" s="377"/>
      <c r="G16" s="377"/>
      <c r="H16" s="377"/>
      <c r="I16" s="377"/>
      <c r="J16" s="378"/>
      <c r="K16" s="378"/>
    </row>
    <row r="17" spans="1:7" ht="39" x14ac:dyDescent="0.25">
      <c r="A17" s="377"/>
      <c r="B17" s="379" t="str">
        <f>RebaseYear &amp;" Rebasing Year"</f>
        <v>2012 Rebasing Year</v>
      </c>
      <c r="C17" s="379">
        <f>TestYear-3</f>
        <v>2014</v>
      </c>
      <c r="D17" s="379">
        <f>TestYear-2</f>
        <v>2015</v>
      </c>
      <c r="E17" s="379" t="str">
        <f>CONCATENATE(TestYear-1," Bridge Year")</f>
        <v>2016 Bridge Year</v>
      </c>
      <c r="F17" s="379" t="str">
        <f>CONCATENATE(TestYear," Rebasing Year")</f>
        <v>2017 Rebasing Year</v>
      </c>
      <c r="G17" s="378"/>
    </row>
    <row r="18" spans="1:7" x14ac:dyDescent="0.25">
      <c r="A18" s="380" t="s">
        <v>103</v>
      </c>
      <c r="B18" s="381" t="s">
        <v>104</v>
      </c>
      <c r="C18" s="381" t="s">
        <v>104</v>
      </c>
      <c r="D18" s="381" t="s">
        <v>104</v>
      </c>
      <c r="E18" s="382" t="s">
        <v>105</v>
      </c>
      <c r="F18" s="382" t="s">
        <v>105</v>
      </c>
      <c r="G18" s="378"/>
    </row>
    <row r="19" spans="1:7" x14ac:dyDescent="0.25">
      <c r="A19" s="380"/>
      <c r="B19" s="381" t="s">
        <v>86</v>
      </c>
      <c r="C19" s="381" t="s">
        <v>413</v>
      </c>
      <c r="D19" s="381" t="s">
        <v>413</v>
      </c>
      <c r="E19" s="381" t="s">
        <v>86</v>
      </c>
      <c r="F19" s="381" t="s">
        <v>86</v>
      </c>
      <c r="G19" s="378"/>
    </row>
    <row r="20" spans="1:7" x14ac:dyDescent="0.25">
      <c r="A20" s="377"/>
      <c r="B20" s="383"/>
      <c r="C20" s="384"/>
      <c r="D20" s="384" t="s">
        <v>170</v>
      </c>
      <c r="E20" s="384" t="s">
        <v>170</v>
      </c>
      <c r="F20" s="384"/>
      <c r="G20" s="378"/>
    </row>
    <row r="21" spans="1:7" x14ac:dyDescent="0.25">
      <c r="A21" s="380" t="s">
        <v>414</v>
      </c>
      <c r="B21" s="1725"/>
      <c r="C21" s="1726"/>
      <c r="D21" s="1726"/>
      <c r="E21" s="1726"/>
      <c r="F21" s="1727"/>
      <c r="G21" s="378"/>
    </row>
    <row r="22" spans="1:7" x14ac:dyDescent="0.25">
      <c r="A22" s="383" t="s">
        <v>415</v>
      </c>
      <c r="B22" s="385"/>
      <c r="C22" s="386"/>
      <c r="D22" s="387">
        <f>+C25</f>
        <v>0</v>
      </c>
      <c r="E22" s="387">
        <f>+D25</f>
        <v>0</v>
      </c>
      <c r="F22" s="385"/>
      <c r="G22" s="378"/>
    </row>
    <row r="23" spans="1:7" x14ac:dyDescent="0.25">
      <c r="A23" s="383" t="s">
        <v>730</v>
      </c>
      <c r="B23" s="385"/>
      <c r="C23" s="386"/>
      <c r="D23" s="386"/>
      <c r="E23" s="386"/>
      <c r="F23" s="385"/>
      <c r="G23" s="378"/>
    </row>
    <row r="24" spans="1:7" x14ac:dyDescent="0.25">
      <c r="A24" s="383" t="s">
        <v>731</v>
      </c>
      <c r="B24" s="385"/>
      <c r="C24" s="386"/>
      <c r="D24" s="386"/>
      <c r="E24" s="386"/>
      <c r="F24" s="385"/>
      <c r="G24" s="378"/>
    </row>
    <row r="25" spans="1:7" x14ac:dyDescent="0.25">
      <c r="A25" s="388" t="s">
        <v>416</v>
      </c>
      <c r="B25" s="385"/>
      <c r="C25" s="389">
        <f>C22+C23+C24</f>
        <v>0</v>
      </c>
      <c r="D25" s="389">
        <f>SUM(D22:D24)</f>
        <v>0</v>
      </c>
      <c r="E25" s="389">
        <f>SUM(E22:E24)</f>
        <v>0</v>
      </c>
      <c r="F25" s="385"/>
      <c r="G25" s="378"/>
    </row>
    <row r="26" spans="1:7" x14ac:dyDescent="0.25">
      <c r="A26" s="377"/>
      <c r="B26" s="1733"/>
      <c r="C26" s="1734"/>
      <c r="D26" s="1734"/>
      <c r="E26" s="1734"/>
      <c r="F26" s="1735"/>
      <c r="G26" s="378"/>
    </row>
    <row r="27" spans="1:7" ht="26.25" x14ac:dyDescent="0.25">
      <c r="A27" s="390" t="s">
        <v>932</v>
      </c>
      <c r="B27" s="1736"/>
      <c r="C27" s="1737"/>
      <c r="D27" s="1737"/>
      <c r="E27" s="1737"/>
      <c r="F27" s="1738"/>
      <c r="G27" s="378"/>
    </row>
    <row r="28" spans="1:7" x14ac:dyDescent="0.25">
      <c r="A28" s="383" t="s">
        <v>417</v>
      </c>
      <c r="B28" s="385"/>
      <c r="C28" s="391"/>
      <c r="D28" s="387">
        <f>+C31</f>
        <v>0</v>
      </c>
      <c r="E28" s="387">
        <f>+D31</f>
        <v>0</v>
      </c>
      <c r="F28" s="385"/>
      <c r="G28" s="378"/>
    </row>
    <row r="29" spans="1:7" x14ac:dyDescent="0.25">
      <c r="A29" s="383" t="s">
        <v>730</v>
      </c>
      <c r="B29" s="385"/>
      <c r="C29" s="391"/>
      <c r="D29" s="391"/>
      <c r="E29" s="386"/>
      <c r="F29" s="385"/>
      <c r="G29" s="378"/>
    </row>
    <row r="30" spans="1:7" x14ac:dyDescent="0.25">
      <c r="A30" s="383" t="s">
        <v>731</v>
      </c>
      <c r="B30" s="385"/>
      <c r="C30" s="391"/>
      <c r="D30" s="391"/>
      <c r="E30" s="386"/>
      <c r="F30" s="385"/>
      <c r="G30" s="378"/>
    </row>
    <row r="31" spans="1:7" x14ac:dyDescent="0.25">
      <c r="A31" s="388" t="s">
        <v>418</v>
      </c>
      <c r="B31" s="385"/>
      <c r="C31" s="389">
        <f>SUM(C28:C30)</f>
        <v>0</v>
      </c>
      <c r="D31" s="389">
        <f>SUM(D28:D30)</f>
        <v>0</v>
      </c>
      <c r="E31" s="389">
        <f>SUM(E28:E30)</f>
        <v>0</v>
      </c>
      <c r="F31" s="385"/>
      <c r="G31" s="378"/>
    </row>
    <row r="32" spans="1:7" x14ac:dyDescent="0.25">
      <c r="A32" s="377"/>
      <c r="B32" s="1725"/>
      <c r="C32" s="1726"/>
      <c r="D32" s="1726"/>
      <c r="E32" s="1726"/>
      <c r="F32" s="1727"/>
      <c r="G32" s="378"/>
    </row>
    <row r="33" spans="1:11" ht="26.25" x14ac:dyDescent="0.25">
      <c r="A33" s="392" t="s">
        <v>737</v>
      </c>
      <c r="B33" s="385"/>
      <c r="C33" s="393">
        <f>C25-C31</f>
        <v>0</v>
      </c>
      <c r="D33" s="393">
        <f>D25-D31</f>
        <v>0</v>
      </c>
      <c r="E33" s="393">
        <f>E25-E31</f>
        <v>0</v>
      </c>
      <c r="F33" s="385"/>
      <c r="G33" s="378"/>
    </row>
    <row r="34" spans="1:11" x14ac:dyDescent="0.25">
      <c r="A34" s="380"/>
      <c r="B34" s="377"/>
      <c r="C34" s="394"/>
      <c r="D34" s="394"/>
      <c r="E34" s="394"/>
      <c r="F34" s="394"/>
      <c r="G34" s="394"/>
      <c r="H34" s="394"/>
      <c r="I34" s="377"/>
      <c r="J34" s="378"/>
      <c r="K34" s="378"/>
    </row>
    <row r="35" spans="1:11" x14ac:dyDescent="0.25">
      <c r="A35" s="380"/>
      <c r="B35" s="377"/>
      <c r="C35" s="394"/>
      <c r="D35" s="394"/>
      <c r="E35" s="394"/>
      <c r="F35" s="394"/>
      <c r="G35" s="394"/>
      <c r="H35" s="394"/>
      <c r="I35" s="377"/>
      <c r="J35" s="378"/>
      <c r="K35" s="378"/>
    </row>
    <row r="36" spans="1:11" x14ac:dyDescent="0.25">
      <c r="A36" s="380" t="s">
        <v>732</v>
      </c>
      <c r="B36" s="377"/>
      <c r="C36" s="394"/>
      <c r="D36" s="394"/>
      <c r="E36" s="394"/>
      <c r="F36" s="394"/>
      <c r="G36" s="394"/>
      <c r="H36" s="394"/>
      <c r="I36" s="377"/>
      <c r="J36" s="378"/>
      <c r="K36" s="378"/>
    </row>
    <row r="37" spans="1:11" s="400" customFormat="1" x14ac:dyDescent="0.25">
      <c r="A37" s="395" t="s">
        <v>738</v>
      </c>
      <c r="B37" s="396"/>
      <c r="C37" s="396"/>
      <c r="D37" s="396"/>
      <c r="E37" s="396"/>
      <c r="F37" s="397">
        <f>IF(ISERROR(E33), 0, E33)</f>
        <v>0</v>
      </c>
      <c r="G37" s="377"/>
      <c r="H37" s="398" t="s">
        <v>420</v>
      </c>
      <c r="I37" s="399"/>
      <c r="J37" s="378"/>
      <c r="K37" s="378"/>
    </row>
    <row r="38" spans="1:11" s="400" customFormat="1" ht="26.25" x14ac:dyDescent="0.25">
      <c r="A38" s="395" t="s">
        <v>739</v>
      </c>
      <c r="B38" s="396"/>
      <c r="C38" s="396"/>
      <c r="D38" s="396"/>
      <c r="E38" s="396"/>
      <c r="F38" s="397">
        <f>E33*I37*I38</f>
        <v>0</v>
      </c>
      <c r="G38" s="1739" t="s">
        <v>733</v>
      </c>
      <c r="H38" s="1739"/>
      <c r="I38" s="1740"/>
      <c r="J38" s="401"/>
      <c r="K38" s="378"/>
    </row>
    <row r="39" spans="1:11" x14ac:dyDescent="0.25">
      <c r="A39" s="402" t="s">
        <v>734</v>
      </c>
      <c r="B39" s="403"/>
      <c r="C39" s="403"/>
      <c r="D39" s="403"/>
      <c r="E39" s="403"/>
      <c r="F39" s="404">
        <f>F37+F38</f>
        <v>0</v>
      </c>
      <c r="G39" s="1739"/>
      <c r="H39" s="1739"/>
      <c r="I39" s="1741"/>
      <c r="J39" s="378"/>
      <c r="K39" s="378"/>
    </row>
    <row r="40" spans="1:11" x14ac:dyDescent="0.25">
      <c r="A40" s="380"/>
      <c r="B40" s="377"/>
      <c r="C40" s="377"/>
      <c r="D40" s="377"/>
      <c r="E40" s="377"/>
      <c r="F40" s="377"/>
      <c r="G40" s="377"/>
      <c r="H40" s="377"/>
      <c r="I40" s="377"/>
      <c r="J40" s="378"/>
      <c r="K40" s="378"/>
    </row>
    <row r="41" spans="1:11" x14ac:dyDescent="0.25">
      <c r="A41" s="380" t="s">
        <v>11</v>
      </c>
      <c r="B41" s="377"/>
      <c r="C41" s="377"/>
      <c r="D41" s="377"/>
      <c r="E41" s="377"/>
      <c r="F41" s="377"/>
      <c r="G41" s="377"/>
      <c r="H41" s="377"/>
      <c r="I41" s="377"/>
      <c r="J41" s="378"/>
      <c r="K41" s="378"/>
    </row>
    <row r="42" spans="1:11" x14ac:dyDescent="0.25">
      <c r="A42" s="377" t="s">
        <v>1017</v>
      </c>
      <c r="B42" s="405"/>
      <c r="C42" s="405"/>
      <c r="D42" s="405"/>
      <c r="E42" s="405"/>
      <c r="F42" s="405"/>
      <c r="G42" s="405"/>
      <c r="H42" s="405"/>
      <c r="I42" s="405"/>
      <c r="J42" s="405"/>
      <c r="K42" s="378"/>
    </row>
    <row r="43" spans="1:11" x14ac:dyDescent="0.25">
      <c r="A43" s="377" t="s">
        <v>735</v>
      </c>
      <c r="B43" s="377"/>
      <c r="C43" s="377"/>
      <c r="D43" s="377"/>
      <c r="E43" s="377"/>
      <c r="F43" s="377"/>
      <c r="G43" s="377"/>
      <c r="H43" s="377"/>
      <c r="I43" s="377"/>
      <c r="J43" s="378"/>
      <c r="K43" s="378"/>
    </row>
    <row r="44" spans="1:11" x14ac:dyDescent="0.25">
      <c r="A44" s="377" t="s">
        <v>1092</v>
      </c>
      <c r="B44" s="377"/>
      <c r="C44" s="377"/>
      <c r="D44" s="377"/>
      <c r="E44" s="377"/>
      <c r="F44" s="377"/>
      <c r="G44" s="377"/>
      <c r="H44" s="377"/>
      <c r="I44" s="377"/>
      <c r="J44" s="378"/>
      <c r="K44" s="378"/>
    </row>
    <row r="45" spans="1:11" x14ac:dyDescent="0.25">
      <c r="A45" s="377" t="s">
        <v>421</v>
      </c>
      <c r="B45" s="377"/>
      <c r="C45" s="377"/>
      <c r="D45" s="377"/>
      <c r="E45" s="377"/>
      <c r="F45" s="377"/>
      <c r="G45" s="377"/>
      <c r="H45" s="377"/>
      <c r="I45" s="377"/>
      <c r="J45" s="378"/>
      <c r="K45" s="378"/>
    </row>
    <row r="46" spans="1:11" ht="20.25" customHeight="1" x14ac:dyDescent="0.25">
      <c r="A46" s="406" t="s">
        <v>736</v>
      </c>
      <c r="B46" s="407"/>
      <c r="C46" s="407"/>
      <c r="D46" s="407"/>
      <c r="E46" s="407"/>
      <c r="F46" s="407"/>
      <c r="G46" s="407"/>
      <c r="H46" s="407"/>
      <c r="I46" s="377"/>
      <c r="J46" s="378"/>
      <c r="K46" s="378"/>
    </row>
    <row r="47" spans="1:11" ht="15.75" customHeight="1" x14ac:dyDescent="0.25">
      <c r="A47" s="377" t="s">
        <v>866</v>
      </c>
      <c r="B47" s="378"/>
      <c r="C47" s="378"/>
      <c r="D47" s="378"/>
      <c r="E47" s="378"/>
      <c r="F47" s="378"/>
      <c r="G47" s="378"/>
      <c r="H47" s="378"/>
      <c r="I47" s="1069"/>
      <c r="J47" s="378"/>
      <c r="K47" s="378"/>
    </row>
    <row r="48" spans="1:11" x14ac:dyDescent="0.25">
      <c r="A48" s="1731"/>
      <c r="B48" s="1731"/>
      <c r="C48" s="1731"/>
      <c r="D48" s="1731"/>
      <c r="E48" s="1731"/>
      <c r="F48" s="1731"/>
      <c r="G48" s="1731"/>
      <c r="H48" s="1731"/>
      <c r="I48" s="1731"/>
      <c r="J48" s="1731"/>
      <c r="K48" s="378"/>
    </row>
    <row r="49" spans="1:11" x14ac:dyDescent="0.25">
      <c r="A49" s="377"/>
      <c r="B49" s="377"/>
      <c r="C49" s="377"/>
      <c r="D49" s="377"/>
      <c r="E49" s="377"/>
      <c r="F49" s="377"/>
      <c r="G49" s="377"/>
      <c r="H49" s="377"/>
      <c r="I49" s="377"/>
      <c r="J49" s="378"/>
      <c r="K49" s="378"/>
    </row>
    <row r="50" spans="1:11" x14ac:dyDescent="0.25">
      <c r="A50" s="377"/>
      <c r="B50" s="377"/>
      <c r="C50" s="377"/>
      <c r="D50" s="377"/>
      <c r="E50" s="377"/>
      <c r="F50" s="377"/>
      <c r="G50" s="377"/>
      <c r="H50" s="377"/>
      <c r="I50" s="377"/>
      <c r="J50" s="378"/>
      <c r="K50" s="378"/>
    </row>
    <row r="51" spans="1:11" x14ac:dyDescent="0.25">
      <c r="A51" s="377"/>
      <c r="B51" s="377"/>
      <c r="C51" s="377"/>
      <c r="D51" s="377"/>
      <c r="E51" s="377"/>
      <c r="F51" s="377"/>
      <c r="G51" s="377"/>
      <c r="H51" s="377"/>
      <c r="I51" s="377"/>
      <c r="J51" s="378"/>
      <c r="K51" s="378"/>
    </row>
    <row r="52" spans="1:11" x14ac:dyDescent="0.25">
      <c r="A52" s="377"/>
      <c r="B52" s="377"/>
      <c r="C52" s="377"/>
      <c r="D52" s="377"/>
      <c r="E52" s="377"/>
      <c r="F52" s="377"/>
      <c r="G52" s="377"/>
      <c r="H52" s="377"/>
      <c r="I52" s="377"/>
      <c r="J52" s="378"/>
      <c r="K52" s="378"/>
    </row>
    <row r="53" spans="1:11" ht="24.75" customHeight="1" x14ac:dyDescent="0.25">
      <c r="A53" s="1732"/>
      <c r="B53" s="1732"/>
      <c r="C53" s="1732"/>
      <c r="D53" s="1732"/>
      <c r="E53" s="1732"/>
      <c r="F53" s="1732"/>
      <c r="G53" s="1732"/>
      <c r="H53" s="1732"/>
      <c r="I53" s="1732"/>
      <c r="J53" s="378"/>
      <c r="K53" s="378"/>
    </row>
    <row r="54" spans="1:11" ht="24.75" customHeight="1" x14ac:dyDescent="0.25">
      <c r="A54" s="1732"/>
      <c r="B54" s="1732"/>
      <c r="C54" s="1732"/>
      <c r="D54" s="1732"/>
      <c r="E54" s="1732"/>
      <c r="F54" s="1732"/>
      <c r="G54" s="1732"/>
      <c r="H54" s="1732"/>
      <c r="I54" s="1732"/>
    </row>
  </sheetData>
  <mergeCells count="12">
    <mergeCell ref="A48:J48"/>
    <mergeCell ref="A53:I54"/>
    <mergeCell ref="B26:F27"/>
    <mergeCell ref="B32:F32"/>
    <mergeCell ref="G38:H39"/>
    <mergeCell ref="I38:I39"/>
    <mergeCell ref="B21:F21"/>
    <mergeCell ref="A9:I9"/>
    <mergeCell ref="A10:I10"/>
    <mergeCell ref="A11:I11"/>
    <mergeCell ref="A13:I13"/>
    <mergeCell ref="A15:I15"/>
  </mergeCells>
  <dataValidations count="1">
    <dataValidation allowBlank="1" showInputMessage="1" showErrorMessage="1" promptTitle="Date Format" prompt="E.g:  &quot;August 1, 2011&quot;" sqref="WVM983042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E65538 JA65538 SW65538 ACS65538 AMO65538 AWK65538 BGG65538 BQC65538 BZY65538 CJU65538 CTQ65538 DDM65538 DNI65538 DXE65538 EHA65538 EQW65538 FAS65538 FKO65538 FUK65538 GEG65538 GOC65538 GXY65538 HHU65538 HRQ65538 IBM65538 ILI65538 IVE65538 JFA65538 JOW65538 JYS65538 KIO65538 KSK65538 LCG65538 LMC65538 LVY65538 MFU65538 MPQ65538 MZM65538 NJI65538 NTE65538 ODA65538 OMW65538 OWS65538 PGO65538 PQK65538 QAG65538 QKC65538 QTY65538 RDU65538 RNQ65538 RXM65538 SHI65538 SRE65538 TBA65538 TKW65538 TUS65538 UEO65538 UOK65538 UYG65538 VIC65538 VRY65538 WBU65538 WLQ65538 WVM65538 E131074 JA131074 SW131074 ACS131074 AMO131074 AWK131074 BGG131074 BQC131074 BZY131074 CJU131074 CTQ131074 DDM131074 DNI131074 DXE131074 EHA131074 EQW131074 FAS131074 FKO131074 FUK131074 GEG131074 GOC131074 GXY131074 HHU131074 HRQ131074 IBM131074 ILI131074 IVE131074 JFA131074 JOW131074 JYS131074 KIO131074 KSK131074 LCG131074 LMC131074 LVY131074 MFU131074 MPQ131074 MZM131074 NJI131074 NTE131074 ODA131074 OMW131074 OWS131074 PGO131074 PQK131074 QAG131074 QKC131074 QTY131074 RDU131074 RNQ131074 RXM131074 SHI131074 SRE131074 TBA131074 TKW131074 TUS131074 UEO131074 UOK131074 UYG131074 VIC131074 VRY131074 WBU131074 WLQ131074 WVM131074 E196610 JA196610 SW196610 ACS196610 AMO196610 AWK196610 BGG196610 BQC196610 BZY196610 CJU196610 CTQ196610 DDM196610 DNI196610 DXE196610 EHA196610 EQW196610 FAS196610 FKO196610 FUK196610 GEG196610 GOC196610 GXY196610 HHU196610 HRQ196610 IBM196610 ILI196610 IVE196610 JFA196610 JOW196610 JYS196610 KIO196610 KSK196610 LCG196610 LMC196610 LVY196610 MFU196610 MPQ196610 MZM196610 NJI196610 NTE196610 ODA196610 OMW196610 OWS196610 PGO196610 PQK196610 QAG196610 QKC196610 QTY196610 RDU196610 RNQ196610 RXM196610 SHI196610 SRE196610 TBA196610 TKW196610 TUS196610 UEO196610 UOK196610 UYG196610 VIC196610 VRY196610 WBU196610 WLQ196610 WVM196610 E262146 JA262146 SW262146 ACS262146 AMO262146 AWK262146 BGG262146 BQC262146 BZY262146 CJU262146 CTQ262146 DDM262146 DNI262146 DXE262146 EHA262146 EQW262146 FAS262146 FKO262146 FUK262146 GEG262146 GOC262146 GXY262146 HHU262146 HRQ262146 IBM262146 ILI262146 IVE262146 JFA262146 JOW262146 JYS262146 KIO262146 KSK262146 LCG262146 LMC262146 LVY262146 MFU262146 MPQ262146 MZM262146 NJI262146 NTE262146 ODA262146 OMW262146 OWS262146 PGO262146 PQK262146 QAG262146 QKC262146 QTY262146 RDU262146 RNQ262146 RXM262146 SHI262146 SRE262146 TBA262146 TKW262146 TUS262146 UEO262146 UOK262146 UYG262146 VIC262146 VRY262146 WBU262146 WLQ262146 WVM262146 E327682 JA327682 SW327682 ACS327682 AMO327682 AWK327682 BGG327682 BQC327682 BZY327682 CJU327682 CTQ327682 DDM327682 DNI327682 DXE327682 EHA327682 EQW327682 FAS327682 FKO327682 FUK327682 GEG327682 GOC327682 GXY327682 HHU327682 HRQ327682 IBM327682 ILI327682 IVE327682 JFA327682 JOW327682 JYS327682 KIO327682 KSK327682 LCG327682 LMC327682 LVY327682 MFU327682 MPQ327682 MZM327682 NJI327682 NTE327682 ODA327682 OMW327682 OWS327682 PGO327682 PQK327682 QAG327682 QKC327682 QTY327682 RDU327682 RNQ327682 RXM327682 SHI327682 SRE327682 TBA327682 TKW327682 TUS327682 UEO327682 UOK327682 UYG327682 VIC327682 VRY327682 WBU327682 WLQ327682 WVM327682 E393218 JA393218 SW393218 ACS393218 AMO393218 AWK393218 BGG393218 BQC393218 BZY393218 CJU393218 CTQ393218 DDM393218 DNI393218 DXE393218 EHA393218 EQW393218 FAS393218 FKO393218 FUK393218 GEG393218 GOC393218 GXY393218 HHU393218 HRQ393218 IBM393218 ILI393218 IVE393218 JFA393218 JOW393218 JYS393218 KIO393218 KSK393218 LCG393218 LMC393218 LVY393218 MFU393218 MPQ393218 MZM393218 NJI393218 NTE393218 ODA393218 OMW393218 OWS393218 PGO393218 PQK393218 QAG393218 QKC393218 QTY393218 RDU393218 RNQ393218 RXM393218 SHI393218 SRE393218 TBA393218 TKW393218 TUS393218 UEO393218 UOK393218 UYG393218 VIC393218 VRY393218 WBU393218 WLQ393218 WVM393218 E458754 JA458754 SW458754 ACS458754 AMO458754 AWK458754 BGG458754 BQC458754 BZY458754 CJU458754 CTQ458754 DDM458754 DNI458754 DXE458754 EHA458754 EQW458754 FAS458754 FKO458754 FUK458754 GEG458754 GOC458754 GXY458754 HHU458754 HRQ458754 IBM458754 ILI458754 IVE458754 JFA458754 JOW458754 JYS458754 KIO458754 KSK458754 LCG458754 LMC458754 LVY458754 MFU458754 MPQ458754 MZM458754 NJI458754 NTE458754 ODA458754 OMW458754 OWS458754 PGO458754 PQK458754 QAG458754 QKC458754 QTY458754 RDU458754 RNQ458754 RXM458754 SHI458754 SRE458754 TBA458754 TKW458754 TUS458754 UEO458754 UOK458754 UYG458754 VIC458754 VRY458754 WBU458754 WLQ458754 WVM458754 E524290 JA524290 SW524290 ACS524290 AMO524290 AWK524290 BGG524290 BQC524290 BZY524290 CJU524290 CTQ524290 DDM524290 DNI524290 DXE524290 EHA524290 EQW524290 FAS524290 FKO524290 FUK524290 GEG524290 GOC524290 GXY524290 HHU524290 HRQ524290 IBM524290 ILI524290 IVE524290 JFA524290 JOW524290 JYS524290 KIO524290 KSK524290 LCG524290 LMC524290 LVY524290 MFU524290 MPQ524290 MZM524290 NJI524290 NTE524290 ODA524290 OMW524290 OWS524290 PGO524290 PQK524290 QAG524290 QKC524290 QTY524290 RDU524290 RNQ524290 RXM524290 SHI524290 SRE524290 TBA524290 TKW524290 TUS524290 UEO524290 UOK524290 UYG524290 VIC524290 VRY524290 WBU524290 WLQ524290 WVM524290 E589826 JA589826 SW589826 ACS589826 AMO589826 AWK589826 BGG589826 BQC589826 BZY589826 CJU589826 CTQ589826 DDM589826 DNI589826 DXE589826 EHA589826 EQW589826 FAS589826 FKO589826 FUK589826 GEG589826 GOC589826 GXY589826 HHU589826 HRQ589826 IBM589826 ILI589826 IVE589826 JFA589826 JOW589826 JYS589826 KIO589826 KSK589826 LCG589826 LMC589826 LVY589826 MFU589826 MPQ589826 MZM589826 NJI589826 NTE589826 ODA589826 OMW589826 OWS589826 PGO589826 PQK589826 QAG589826 QKC589826 QTY589826 RDU589826 RNQ589826 RXM589826 SHI589826 SRE589826 TBA589826 TKW589826 TUS589826 UEO589826 UOK589826 UYG589826 VIC589826 VRY589826 WBU589826 WLQ589826 WVM589826 E655362 JA655362 SW655362 ACS655362 AMO655362 AWK655362 BGG655362 BQC655362 BZY655362 CJU655362 CTQ655362 DDM655362 DNI655362 DXE655362 EHA655362 EQW655362 FAS655362 FKO655362 FUK655362 GEG655362 GOC655362 GXY655362 HHU655362 HRQ655362 IBM655362 ILI655362 IVE655362 JFA655362 JOW655362 JYS655362 KIO655362 KSK655362 LCG655362 LMC655362 LVY655362 MFU655362 MPQ655362 MZM655362 NJI655362 NTE655362 ODA655362 OMW655362 OWS655362 PGO655362 PQK655362 QAG655362 QKC655362 QTY655362 RDU655362 RNQ655362 RXM655362 SHI655362 SRE655362 TBA655362 TKW655362 TUS655362 UEO655362 UOK655362 UYG655362 VIC655362 VRY655362 WBU655362 WLQ655362 WVM655362 E720898 JA720898 SW720898 ACS720898 AMO720898 AWK720898 BGG720898 BQC720898 BZY720898 CJU720898 CTQ720898 DDM720898 DNI720898 DXE720898 EHA720898 EQW720898 FAS720898 FKO720898 FUK720898 GEG720898 GOC720898 GXY720898 HHU720898 HRQ720898 IBM720898 ILI720898 IVE720898 JFA720898 JOW720898 JYS720898 KIO720898 KSK720898 LCG720898 LMC720898 LVY720898 MFU720898 MPQ720898 MZM720898 NJI720898 NTE720898 ODA720898 OMW720898 OWS720898 PGO720898 PQK720898 QAG720898 QKC720898 QTY720898 RDU720898 RNQ720898 RXM720898 SHI720898 SRE720898 TBA720898 TKW720898 TUS720898 UEO720898 UOK720898 UYG720898 VIC720898 VRY720898 WBU720898 WLQ720898 WVM720898 E786434 JA786434 SW786434 ACS786434 AMO786434 AWK786434 BGG786434 BQC786434 BZY786434 CJU786434 CTQ786434 DDM786434 DNI786434 DXE786434 EHA786434 EQW786434 FAS786434 FKO786434 FUK786434 GEG786434 GOC786434 GXY786434 HHU786434 HRQ786434 IBM786434 ILI786434 IVE786434 JFA786434 JOW786434 JYS786434 KIO786434 KSK786434 LCG786434 LMC786434 LVY786434 MFU786434 MPQ786434 MZM786434 NJI786434 NTE786434 ODA786434 OMW786434 OWS786434 PGO786434 PQK786434 QAG786434 QKC786434 QTY786434 RDU786434 RNQ786434 RXM786434 SHI786434 SRE786434 TBA786434 TKW786434 TUS786434 UEO786434 UOK786434 UYG786434 VIC786434 VRY786434 WBU786434 WLQ786434 WVM786434 E851970 JA851970 SW851970 ACS851970 AMO851970 AWK851970 BGG851970 BQC851970 BZY851970 CJU851970 CTQ851970 DDM851970 DNI851970 DXE851970 EHA851970 EQW851970 FAS851970 FKO851970 FUK851970 GEG851970 GOC851970 GXY851970 HHU851970 HRQ851970 IBM851970 ILI851970 IVE851970 JFA851970 JOW851970 JYS851970 KIO851970 KSK851970 LCG851970 LMC851970 LVY851970 MFU851970 MPQ851970 MZM851970 NJI851970 NTE851970 ODA851970 OMW851970 OWS851970 PGO851970 PQK851970 QAG851970 QKC851970 QTY851970 RDU851970 RNQ851970 RXM851970 SHI851970 SRE851970 TBA851970 TKW851970 TUS851970 UEO851970 UOK851970 UYG851970 VIC851970 VRY851970 WBU851970 WLQ851970 WVM851970 E917506 JA917506 SW917506 ACS917506 AMO917506 AWK917506 BGG917506 BQC917506 BZY917506 CJU917506 CTQ917506 DDM917506 DNI917506 DXE917506 EHA917506 EQW917506 FAS917506 FKO917506 FUK917506 GEG917506 GOC917506 GXY917506 HHU917506 HRQ917506 IBM917506 ILI917506 IVE917506 JFA917506 JOW917506 JYS917506 KIO917506 KSK917506 LCG917506 LMC917506 LVY917506 MFU917506 MPQ917506 MZM917506 NJI917506 NTE917506 ODA917506 OMW917506 OWS917506 PGO917506 PQK917506 QAG917506 QKC917506 QTY917506 RDU917506 RNQ917506 RXM917506 SHI917506 SRE917506 TBA917506 TKW917506 TUS917506 UEO917506 UOK917506 UYG917506 VIC917506 VRY917506 WBU917506 WLQ917506 WVM917506 E983042 JA983042 SW983042 ACS983042 AMO983042 AWK983042 BGG983042 BQC983042 BZY983042 CJU983042 CTQ983042 DDM983042 DNI983042 DXE983042 EHA983042 EQW983042 FAS983042 FKO983042 FUK983042 GEG983042 GOC983042 GXY983042 HHU983042 HRQ983042 IBM983042 ILI983042 IVE983042 JFA983042 JOW983042 JYS983042 KIO983042 KSK983042 LCG983042 LMC983042 LVY983042 MFU983042 MPQ983042 MZM983042 NJI983042 NTE983042 ODA983042 OMW983042 OWS983042 PGO983042 PQK983042 QAG983042 QKC983042 QTY983042 RDU983042 RNQ983042 RXM983042 SHI983042 SRE983042 TBA983042 TKW983042 TUS983042 UEO983042 UOK983042 UYG983042 VIC983042 VRY983042 WBU983042 WLQ983042"/>
  </dataValidations>
  <pageMargins left="0.7" right="0.7" top="0.75" bottom="0.75" header="0.3" footer="0.3"/>
  <pageSetup scale="5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FFC000"/>
    <pageSetUpPr fitToPage="1"/>
  </sheetPr>
  <dimension ref="A1:N55"/>
  <sheetViews>
    <sheetView showGridLines="0" zoomScaleNormal="100" workbookViewId="0">
      <selection activeCell="A9" sqref="A9:K9"/>
    </sheetView>
  </sheetViews>
  <sheetFormatPr defaultRowHeight="15" x14ac:dyDescent="0.25"/>
  <cols>
    <col min="1" max="1" width="51.7109375" style="375" customWidth="1"/>
    <col min="2" max="2" width="11" style="375" customWidth="1"/>
    <col min="3" max="7" width="13.7109375" style="375" customWidth="1"/>
    <col min="8" max="8" width="12.7109375" style="375" customWidth="1"/>
    <col min="9" max="9" width="8.5703125" style="375" customWidth="1"/>
    <col min="10" max="10" width="13" style="375" customWidth="1"/>
    <col min="11" max="11" width="11.5703125" style="375" customWidth="1"/>
    <col min="12" max="12" width="9.28515625" style="375" bestFit="1" customWidth="1"/>
    <col min="13" max="258" width="9.140625" style="375"/>
    <col min="259" max="259" width="51.7109375" style="375" customWidth="1"/>
    <col min="260" max="265" width="9.140625" style="375"/>
    <col min="266" max="266" width="11.28515625" style="375" customWidth="1"/>
    <col min="267" max="514" width="9.140625" style="375"/>
    <col min="515" max="515" width="51.7109375" style="375" customWidth="1"/>
    <col min="516" max="521" width="9.140625" style="375"/>
    <col min="522" max="522" width="11.28515625" style="375" customWidth="1"/>
    <col min="523" max="770" width="9.140625" style="375"/>
    <col min="771" max="771" width="51.7109375" style="375" customWidth="1"/>
    <col min="772" max="777" width="9.140625" style="375"/>
    <col min="778" max="778" width="11.28515625" style="375" customWidth="1"/>
    <col min="779" max="1026" width="9.140625" style="375"/>
    <col min="1027" max="1027" width="51.7109375" style="375" customWidth="1"/>
    <col min="1028" max="1033" width="9.140625" style="375"/>
    <col min="1034" max="1034" width="11.28515625" style="375" customWidth="1"/>
    <col min="1035" max="1282" width="9.140625" style="375"/>
    <col min="1283" max="1283" width="51.7109375" style="375" customWidth="1"/>
    <col min="1284" max="1289" width="9.140625" style="375"/>
    <col min="1290" max="1290" width="11.28515625" style="375" customWidth="1"/>
    <col min="1291" max="1538" width="9.140625" style="375"/>
    <col min="1539" max="1539" width="51.7109375" style="375" customWidth="1"/>
    <col min="1540" max="1545" width="9.140625" style="375"/>
    <col min="1546" max="1546" width="11.28515625" style="375" customWidth="1"/>
    <col min="1547" max="1794" width="9.140625" style="375"/>
    <col min="1795" max="1795" width="51.7109375" style="375" customWidth="1"/>
    <col min="1796" max="1801" width="9.140625" style="375"/>
    <col min="1802" max="1802" width="11.28515625" style="375" customWidth="1"/>
    <col min="1803" max="2050" width="9.140625" style="375"/>
    <col min="2051" max="2051" width="51.7109375" style="375" customWidth="1"/>
    <col min="2052" max="2057" width="9.140625" style="375"/>
    <col min="2058" max="2058" width="11.28515625" style="375" customWidth="1"/>
    <col min="2059" max="2306" width="9.140625" style="375"/>
    <col min="2307" max="2307" width="51.7109375" style="375" customWidth="1"/>
    <col min="2308" max="2313" width="9.140625" style="375"/>
    <col min="2314" max="2314" width="11.28515625" style="375" customWidth="1"/>
    <col min="2315" max="2562" width="9.140625" style="375"/>
    <col min="2563" max="2563" width="51.7109375" style="375" customWidth="1"/>
    <col min="2564" max="2569" width="9.140625" style="375"/>
    <col min="2570" max="2570" width="11.28515625" style="375" customWidth="1"/>
    <col min="2571" max="2818" width="9.140625" style="375"/>
    <col min="2819" max="2819" width="51.7109375" style="375" customWidth="1"/>
    <col min="2820" max="2825" width="9.140625" style="375"/>
    <col min="2826" max="2826" width="11.28515625" style="375" customWidth="1"/>
    <col min="2827" max="3074" width="9.140625" style="375"/>
    <col min="3075" max="3075" width="51.7109375" style="375" customWidth="1"/>
    <col min="3076" max="3081" width="9.140625" style="375"/>
    <col min="3082" max="3082" width="11.28515625" style="375" customWidth="1"/>
    <col min="3083" max="3330" width="9.140625" style="375"/>
    <col min="3331" max="3331" width="51.7109375" style="375" customWidth="1"/>
    <col min="3332" max="3337" width="9.140625" style="375"/>
    <col min="3338" max="3338" width="11.28515625" style="375" customWidth="1"/>
    <col min="3339" max="3586" width="9.140625" style="375"/>
    <col min="3587" max="3587" width="51.7109375" style="375" customWidth="1"/>
    <col min="3588" max="3593" width="9.140625" style="375"/>
    <col min="3594" max="3594" width="11.28515625" style="375" customWidth="1"/>
    <col min="3595" max="3842" width="9.140625" style="375"/>
    <col min="3843" max="3843" width="51.7109375" style="375" customWidth="1"/>
    <col min="3844" max="3849" width="9.140625" style="375"/>
    <col min="3850" max="3850" width="11.28515625" style="375" customWidth="1"/>
    <col min="3851" max="4098" width="9.140625" style="375"/>
    <col min="4099" max="4099" width="51.7109375" style="375" customWidth="1"/>
    <col min="4100" max="4105" width="9.140625" style="375"/>
    <col min="4106" max="4106" width="11.28515625" style="375" customWidth="1"/>
    <col min="4107" max="4354" width="9.140625" style="375"/>
    <col min="4355" max="4355" width="51.7109375" style="375" customWidth="1"/>
    <col min="4356" max="4361" width="9.140625" style="375"/>
    <col min="4362" max="4362" width="11.28515625" style="375" customWidth="1"/>
    <col min="4363" max="4610" width="9.140625" style="375"/>
    <col min="4611" max="4611" width="51.7109375" style="375" customWidth="1"/>
    <col min="4612" max="4617" width="9.140625" style="375"/>
    <col min="4618" max="4618" width="11.28515625" style="375" customWidth="1"/>
    <col min="4619" max="4866" width="9.140625" style="375"/>
    <col min="4867" max="4867" width="51.7109375" style="375" customWidth="1"/>
    <col min="4868" max="4873" width="9.140625" style="375"/>
    <col min="4874" max="4874" width="11.28515625" style="375" customWidth="1"/>
    <col min="4875" max="5122" width="9.140625" style="375"/>
    <col min="5123" max="5123" width="51.7109375" style="375" customWidth="1"/>
    <col min="5124" max="5129" width="9.140625" style="375"/>
    <col min="5130" max="5130" width="11.28515625" style="375" customWidth="1"/>
    <col min="5131" max="5378" width="9.140625" style="375"/>
    <col min="5379" max="5379" width="51.7109375" style="375" customWidth="1"/>
    <col min="5380" max="5385" width="9.140625" style="375"/>
    <col min="5386" max="5386" width="11.28515625" style="375" customWidth="1"/>
    <col min="5387" max="5634" width="9.140625" style="375"/>
    <col min="5635" max="5635" width="51.7109375" style="375" customWidth="1"/>
    <col min="5636" max="5641" width="9.140625" style="375"/>
    <col min="5642" max="5642" width="11.28515625" style="375" customWidth="1"/>
    <col min="5643" max="5890" width="9.140625" style="375"/>
    <col min="5891" max="5891" width="51.7109375" style="375" customWidth="1"/>
    <col min="5892" max="5897" width="9.140625" style="375"/>
    <col min="5898" max="5898" width="11.28515625" style="375" customWidth="1"/>
    <col min="5899" max="6146" width="9.140625" style="375"/>
    <col min="6147" max="6147" width="51.7109375" style="375" customWidth="1"/>
    <col min="6148" max="6153" width="9.140625" style="375"/>
    <col min="6154" max="6154" width="11.28515625" style="375" customWidth="1"/>
    <col min="6155" max="6402" width="9.140625" style="375"/>
    <col min="6403" max="6403" width="51.7109375" style="375" customWidth="1"/>
    <col min="6404" max="6409" width="9.140625" style="375"/>
    <col min="6410" max="6410" width="11.28515625" style="375" customWidth="1"/>
    <col min="6411" max="6658" width="9.140625" style="375"/>
    <col min="6659" max="6659" width="51.7109375" style="375" customWidth="1"/>
    <col min="6660" max="6665" width="9.140625" style="375"/>
    <col min="6666" max="6666" width="11.28515625" style="375" customWidth="1"/>
    <col min="6667" max="6914" width="9.140625" style="375"/>
    <col min="6915" max="6915" width="51.7109375" style="375" customWidth="1"/>
    <col min="6916" max="6921" width="9.140625" style="375"/>
    <col min="6922" max="6922" width="11.28515625" style="375" customWidth="1"/>
    <col min="6923" max="7170" width="9.140625" style="375"/>
    <col min="7171" max="7171" width="51.7109375" style="375" customWidth="1"/>
    <col min="7172" max="7177" width="9.140625" style="375"/>
    <col min="7178" max="7178" width="11.28515625" style="375" customWidth="1"/>
    <col min="7179" max="7426" width="9.140625" style="375"/>
    <col min="7427" max="7427" width="51.7109375" style="375" customWidth="1"/>
    <col min="7428" max="7433" width="9.140625" style="375"/>
    <col min="7434" max="7434" width="11.28515625" style="375" customWidth="1"/>
    <col min="7435" max="7682" width="9.140625" style="375"/>
    <col min="7683" max="7683" width="51.7109375" style="375" customWidth="1"/>
    <col min="7684" max="7689" width="9.140625" style="375"/>
    <col min="7690" max="7690" width="11.28515625" style="375" customWidth="1"/>
    <col min="7691" max="7938" width="9.140625" style="375"/>
    <col min="7939" max="7939" width="51.7109375" style="375" customWidth="1"/>
    <col min="7940" max="7945" width="9.140625" style="375"/>
    <col min="7946" max="7946" width="11.28515625" style="375" customWidth="1"/>
    <col min="7947" max="8194" width="9.140625" style="375"/>
    <col min="8195" max="8195" width="51.7109375" style="375" customWidth="1"/>
    <col min="8196" max="8201" width="9.140625" style="375"/>
    <col min="8202" max="8202" width="11.28515625" style="375" customWidth="1"/>
    <col min="8203" max="8450" width="9.140625" style="375"/>
    <col min="8451" max="8451" width="51.7109375" style="375" customWidth="1"/>
    <col min="8452" max="8457" width="9.140625" style="375"/>
    <col min="8458" max="8458" width="11.28515625" style="375" customWidth="1"/>
    <col min="8459" max="8706" width="9.140625" style="375"/>
    <col min="8707" max="8707" width="51.7109375" style="375" customWidth="1"/>
    <col min="8708" max="8713" width="9.140625" style="375"/>
    <col min="8714" max="8714" width="11.28515625" style="375" customWidth="1"/>
    <col min="8715" max="8962" width="9.140625" style="375"/>
    <col min="8963" max="8963" width="51.7109375" style="375" customWidth="1"/>
    <col min="8964" max="8969" width="9.140625" style="375"/>
    <col min="8970" max="8970" width="11.28515625" style="375" customWidth="1"/>
    <col min="8971" max="9218" width="9.140625" style="375"/>
    <col min="9219" max="9219" width="51.7109375" style="375" customWidth="1"/>
    <col min="9220" max="9225" width="9.140625" style="375"/>
    <col min="9226" max="9226" width="11.28515625" style="375" customWidth="1"/>
    <col min="9227" max="9474" width="9.140625" style="375"/>
    <col min="9475" max="9475" width="51.7109375" style="375" customWidth="1"/>
    <col min="9476" max="9481" width="9.140625" style="375"/>
    <col min="9482" max="9482" width="11.28515625" style="375" customWidth="1"/>
    <col min="9483" max="9730" width="9.140625" style="375"/>
    <col min="9731" max="9731" width="51.7109375" style="375" customWidth="1"/>
    <col min="9732" max="9737" width="9.140625" style="375"/>
    <col min="9738" max="9738" width="11.28515625" style="375" customWidth="1"/>
    <col min="9739" max="9986" width="9.140625" style="375"/>
    <col min="9987" max="9987" width="51.7109375" style="375" customWidth="1"/>
    <col min="9988" max="9993" width="9.140625" style="375"/>
    <col min="9994" max="9994" width="11.28515625" style="375" customWidth="1"/>
    <col min="9995" max="10242" width="9.140625" style="375"/>
    <col min="10243" max="10243" width="51.7109375" style="375" customWidth="1"/>
    <col min="10244" max="10249" width="9.140625" style="375"/>
    <col min="10250" max="10250" width="11.28515625" style="375" customWidth="1"/>
    <col min="10251" max="10498" width="9.140625" style="375"/>
    <col min="10499" max="10499" width="51.7109375" style="375" customWidth="1"/>
    <col min="10500" max="10505" width="9.140625" style="375"/>
    <col min="10506" max="10506" width="11.28515625" style="375" customWidth="1"/>
    <col min="10507" max="10754" width="9.140625" style="375"/>
    <col min="10755" max="10755" width="51.7109375" style="375" customWidth="1"/>
    <col min="10756" max="10761" width="9.140625" style="375"/>
    <col min="10762" max="10762" width="11.28515625" style="375" customWidth="1"/>
    <col min="10763" max="11010" width="9.140625" style="375"/>
    <col min="11011" max="11011" width="51.7109375" style="375" customWidth="1"/>
    <col min="11012" max="11017" width="9.140625" style="375"/>
    <col min="11018" max="11018" width="11.28515625" style="375" customWidth="1"/>
    <col min="11019" max="11266" width="9.140625" style="375"/>
    <col min="11267" max="11267" width="51.7109375" style="375" customWidth="1"/>
    <col min="11268" max="11273" width="9.140625" style="375"/>
    <col min="11274" max="11274" width="11.28515625" style="375" customWidth="1"/>
    <col min="11275" max="11522" width="9.140625" style="375"/>
    <col min="11523" max="11523" width="51.7109375" style="375" customWidth="1"/>
    <col min="11524" max="11529" width="9.140625" style="375"/>
    <col min="11530" max="11530" width="11.28515625" style="375" customWidth="1"/>
    <col min="11531" max="11778" width="9.140625" style="375"/>
    <col min="11779" max="11779" width="51.7109375" style="375" customWidth="1"/>
    <col min="11780" max="11785" width="9.140625" style="375"/>
    <col min="11786" max="11786" width="11.28515625" style="375" customWidth="1"/>
    <col min="11787" max="12034" width="9.140625" style="375"/>
    <col min="12035" max="12035" width="51.7109375" style="375" customWidth="1"/>
    <col min="12036" max="12041" width="9.140625" style="375"/>
    <col min="12042" max="12042" width="11.28515625" style="375" customWidth="1"/>
    <col min="12043" max="12290" width="9.140625" style="375"/>
    <col min="12291" max="12291" width="51.7109375" style="375" customWidth="1"/>
    <col min="12292" max="12297" width="9.140625" style="375"/>
    <col min="12298" max="12298" width="11.28515625" style="375" customWidth="1"/>
    <col min="12299" max="12546" width="9.140625" style="375"/>
    <col min="12547" max="12547" width="51.7109375" style="375" customWidth="1"/>
    <col min="12548" max="12553" width="9.140625" style="375"/>
    <col min="12554" max="12554" width="11.28515625" style="375" customWidth="1"/>
    <col min="12555" max="12802" width="9.140625" style="375"/>
    <col min="12803" max="12803" width="51.7109375" style="375" customWidth="1"/>
    <col min="12804" max="12809" width="9.140625" style="375"/>
    <col min="12810" max="12810" width="11.28515625" style="375" customWidth="1"/>
    <col min="12811" max="13058" width="9.140625" style="375"/>
    <col min="13059" max="13059" width="51.7109375" style="375" customWidth="1"/>
    <col min="13060" max="13065" width="9.140625" style="375"/>
    <col min="13066" max="13066" width="11.28515625" style="375" customWidth="1"/>
    <col min="13067" max="13314" width="9.140625" style="375"/>
    <col min="13315" max="13315" width="51.7109375" style="375" customWidth="1"/>
    <col min="13316" max="13321" width="9.140625" style="375"/>
    <col min="13322" max="13322" width="11.28515625" style="375" customWidth="1"/>
    <col min="13323" max="13570" width="9.140625" style="375"/>
    <col min="13571" max="13571" width="51.7109375" style="375" customWidth="1"/>
    <col min="13572" max="13577" width="9.140625" style="375"/>
    <col min="13578" max="13578" width="11.28515625" style="375" customWidth="1"/>
    <col min="13579" max="13826" width="9.140625" style="375"/>
    <col min="13827" max="13827" width="51.7109375" style="375" customWidth="1"/>
    <col min="13828" max="13833" width="9.140625" style="375"/>
    <col min="13834" max="13834" width="11.28515625" style="375" customWidth="1"/>
    <col min="13835" max="14082" width="9.140625" style="375"/>
    <col min="14083" max="14083" width="51.7109375" style="375" customWidth="1"/>
    <col min="14084" max="14089" width="9.140625" style="375"/>
    <col min="14090" max="14090" width="11.28515625" style="375" customWidth="1"/>
    <col min="14091" max="14338" width="9.140625" style="375"/>
    <col min="14339" max="14339" width="51.7109375" style="375" customWidth="1"/>
    <col min="14340" max="14345" width="9.140625" style="375"/>
    <col min="14346" max="14346" width="11.28515625" style="375" customWidth="1"/>
    <col min="14347" max="14594" width="9.140625" style="375"/>
    <col min="14595" max="14595" width="51.7109375" style="375" customWidth="1"/>
    <col min="14596" max="14601" width="9.140625" style="375"/>
    <col min="14602" max="14602" width="11.28515625" style="375" customWidth="1"/>
    <col min="14603" max="14850" width="9.140625" style="375"/>
    <col min="14851" max="14851" width="51.7109375" style="375" customWidth="1"/>
    <col min="14852" max="14857" width="9.140625" style="375"/>
    <col min="14858" max="14858" width="11.28515625" style="375" customWidth="1"/>
    <col min="14859" max="15106" width="9.140625" style="375"/>
    <col min="15107" max="15107" width="51.7109375" style="375" customWidth="1"/>
    <col min="15108" max="15113" width="9.140625" style="375"/>
    <col min="15114" max="15114" width="11.28515625" style="375" customWidth="1"/>
    <col min="15115" max="15362" width="9.140625" style="375"/>
    <col min="15363" max="15363" width="51.7109375" style="375" customWidth="1"/>
    <col min="15364" max="15369" width="9.140625" style="375"/>
    <col min="15370" max="15370" width="11.28515625" style="375" customWidth="1"/>
    <col min="15371" max="15618" width="9.140625" style="375"/>
    <col min="15619" max="15619" width="51.7109375" style="375" customWidth="1"/>
    <col min="15620" max="15625" width="9.140625" style="375"/>
    <col min="15626" max="15626" width="11.28515625" style="375" customWidth="1"/>
    <col min="15627" max="15874" width="9.140625" style="375"/>
    <col min="15875" max="15875" width="51.7109375" style="375" customWidth="1"/>
    <col min="15876" max="15881" width="9.140625" style="375"/>
    <col min="15882" max="15882" width="11.28515625" style="375" customWidth="1"/>
    <col min="15883" max="16130" width="9.140625" style="375"/>
    <col min="16131" max="16131" width="51.7109375" style="375" customWidth="1"/>
    <col min="16132" max="16137" width="9.140625" style="375"/>
    <col min="16138" max="16138" width="11.28515625" style="375" customWidth="1"/>
    <col min="16139" max="16384" width="9.140625" style="375"/>
  </cols>
  <sheetData>
    <row r="1" spans="1:14" x14ac:dyDescent="0.25">
      <c r="A1" s="52"/>
      <c r="B1" s="155"/>
      <c r="C1" s="155"/>
      <c r="D1" s="155"/>
      <c r="E1" s="155"/>
      <c r="F1" s="155"/>
      <c r="G1" s="155"/>
      <c r="H1" s="155"/>
      <c r="I1" s="52"/>
      <c r="J1" s="152" t="s">
        <v>301</v>
      </c>
      <c r="K1" s="1092" t="str">
        <f>EBNUMBER</f>
        <v>EB-2016-0066</v>
      </c>
    </row>
    <row r="2" spans="1:14" x14ac:dyDescent="0.25">
      <c r="A2" s="52"/>
      <c r="B2" s="155"/>
      <c r="C2" s="155"/>
      <c r="D2" s="155"/>
      <c r="E2" s="155"/>
      <c r="F2" s="155"/>
      <c r="G2" s="155"/>
      <c r="H2" s="155"/>
      <c r="I2" s="52"/>
      <c r="J2" s="152" t="s">
        <v>302</v>
      </c>
      <c r="K2" s="51"/>
    </row>
    <row r="3" spans="1:14" x14ac:dyDescent="0.25">
      <c r="A3" s="52"/>
      <c r="B3" s="155"/>
      <c r="C3" s="155"/>
      <c r="D3" s="155"/>
      <c r="E3" s="155"/>
      <c r="F3" s="155"/>
      <c r="G3" s="155"/>
      <c r="H3" s="155"/>
      <c r="I3" s="52"/>
      <c r="J3" s="152" t="s">
        <v>303</v>
      </c>
      <c r="K3" s="51"/>
    </row>
    <row r="4" spans="1:14" x14ac:dyDescent="0.25">
      <c r="A4" s="52"/>
      <c r="B4" s="155"/>
      <c r="C4" s="155"/>
      <c r="D4" s="155"/>
      <c r="E4" s="155"/>
      <c r="F4" s="155"/>
      <c r="G4" s="155"/>
      <c r="H4" s="155"/>
      <c r="I4" s="52"/>
      <c r="J4" s="152" t="s">
        <v>304</v>
      </c>
      <c r="K4" s="51"/>
    </row>
    <row r="5" spans="1:14" x14ac:dyDescent="0.25">
      <c r="A5" s="52"/>
      <c r="B5" s="155"/>
      <c r="C5" s="155"/>
      <c r="D5" s="155"/>
      <c r="E5" s="155"/>
      <c r="F5" s="155"/>
      <c r="G5" s="155"/>
      <c r="H5" s="155"/>
      <c r="I5" s="52"/>
      <c r="J5" s="152" t="s">
        <v>305</v>
      </c>
      <c r="K5" s="1093"/>
    </row>
    <row r="6" spans="1:14" x14ac:dyDescent="0.25">
      <c r="A6" s="52"/>
      <c r="B6" s="155"/>
      <c r="C6" s="155"/>
      <c r="D6" s="155"/>
      <c r="E6" s="155"/>
      <c r="F6" s="155"/>
      <c r="G6" s="155"/>
      <c r="H6" s="155"/>
      <c r="I6" s="52"/>
      <c r="J6" s="152"/>
      <c r="K6" s="1092"/>
    </row>
    <row r="7" spans="1:14" x14ac:dyDescent="0.25">
      <c r="A7" s="52"/>
      <c r="B7" s="155"/>
      <c r="C7" s="155"/>
      <c r="D7" s="155"/>
      <c r="E7" s="155"/>
      <c r="F7" s="155"/>
      <c r="G7" s="155"/>
      <c r="H7" s="155"/>
      <c r="I7" s="52"/>
      <c r="J7" s="152" t="s">
        <v>306</v>
      </c>
      <c r="K7" s="1093"/>
    </row>
    <row r="8" spans="1:14" x14ac:dyDescent="0.25">
      <c r="A8" s="52"/>
      <c r="B8" s="52"/>
      <c r="C8" s="52"/>
      <c r="D8" s="52"/>
      <c r="E8" s="52"/>
      <c r="F8" s="52"/>
      <c r="G8" s="52"/>
      <c r="H8" s="52"/>
      <c r="I8" s="52"/>
      <c r="J8" s="52"/>
      <c r="K8" s="52"/>
    </row>
    <row r="9" spans="1:14" ht="18" x14ac:dyDescent="0.25">
      <c r="A9" s="1591" t="s">
        <v>1449</v>
      </c>
      <c r="B9" s="1728"/>
      <c r="C9" s="1728"/>
      <c r="D9" s="1728"/>
      <c r="E9" s="1728"/>
      <c r="F9" s="1728"/>
      <c r="G9" s="1728"/>
      <c r="H9" s="1728"/>
      <c r="I9" s="1728"/>
      <c r="J9" s="1728"/>
      <c r="K9" s="1728"/>
    </row>
    <row r="10" spans="1:14" ht="18" x14ac:dyDescent="0.25">
      <c r="A10" s="1591" t="s">
        <v>512</v>
      </c>
      <c r="B10" s="1729"/>
      <c r="C10" s="1729"/>
      <c r="D10" s="1729"/>
      <c r="E10" s="1729"/>
      <c r="F10" s="1729"/>
      <c r="G10" s="1729"/>
      <c r="H10" s="1729"/>
      <c r="I10" s="1729"/>
      <c r="J10" s="1729"/>
      <c r="K10" s="1729"/>
    </row>
    <row r="11" spans="1:14" ht="18" x14ac:dyDescent="0.25">
      <c r="A11" s="1591" t="s">
        <v>513</v>
      </c>
      <c r="B11" s="1729"/>
      <c r="C11" s="1729"/>
      <c r="D11" s="1729"/>
      <c r="E11" s="1729"/>
      <c r="F11" s="1729"/>
      <c r="G11" s="1729"/>
      <c r="H11" s="1729"/>
      <c r="I11" s="1729"/>
      <c r="J11" s="1729"/>
      <c r="K11" s="1729"/>
    </row>
    <row r="12" spans="1:14" x14ac:dyDescent="0.25">
      <c r="A12" s="52"/>
      <c r="B12" s="52"/>
      <c r="C12" s="52"/>
      <c r="D12" s="52"/>
      <c r="E12" s="52"/>
      <c r="F12" s="52"/>
      <c r="G12" s="52"/>
      <c r="H12" s="52"/>
      <c r="I12" s="52"/>
      <c r="J12" s="52"/>
      <c r="K12" s="52"/>
    </row>
    <row r="13" spans="1:14" s="376" customFormat="1" x14ac:dyDescent="0.25">
      <c r="A13" s="1742" t="s">
        <v>1118</v>
      </c>
      <c r="B13" s="1742"/>
      <c r="C13" s="1742"/>
      <c r="D13" s="1742"/>
      <c r="E13" s="1742"/>
      <c r="F13" s="1742"/>
      <c r="G13" s="1742"/>
      <c r="H13" s="1742"/>
      <c r="I13" s="1742"/>
      <c r="J13" s="1742"/>
      <c r="K13" s="1742"/>
      <c r="L13" s="333"/>
      <c r="M13" s="333"/>
      <c r="N13" s="333"/>
    </row>
    <row r="14" spans="1:14" x14ac:dyDescent="0.25">
      <c r="A14" s="1742"/>
      <c r="B14" s="1742"/>
      <c r="C14" s="1742"/>
      <c r="D14" s="1742"/>
      <c r="E14" s="1742"/>
      <c r="F14" s="1742"/>
      <c r="G14" s="1742"/>
      <c r="H14" s="1742"/>
      <c r="I14" s="1742"/>
      <c r="J14" s="1742"/>
      <c r="K14" s="1742"/>
      <c r="L14" s="378"/>
      <c r="M14" s="378"/>
    </row>
    <row r="15" spans="1:14" x14ac:dyDescent="0.25">
      <c r="A15" s="1730"/>
      <c r="B15" s="1730"/>
      <c r="C15" s="1730"/>
      <c r="D15" s="1730"/>
      <c r="E15" s="1730"/>
      <c r="F15" s="1730"/>
      <c r="G15" s="1730"/>
      <c r="H15" s="1730"/>
      <c r="I15" s="1730"/>
      <c r="J15" s="1730"/>
      <c r="K15" s="1730"/>
      <c r="L15" s="378"/>
      <c r="M15" s="378"/>
    </row>
    <row r="16" spans="1:14" x14ac:dyDescent="0.25">
      <c r="A16" s="377"/>
      <c r="B16" s="377"/>
      <c r="C16" s="377"/>
      <c r="D16" s="377"/>
      <c r="E16" s="377"/>
      <c r="F16" s="377"/>
      <c r="G16" s="377"/>
      <c r="H16" s="377"/>
      <c r="I16" s="377"/>
      <c r="J16" s="377"/>
      <c r="K16" s="377"/>
      <c r="L16" s="378"/>
      <c r="M16" s="378"/>
    </row>
    <row r="17" spans="1:9" ht="39" x14ac:dyDescent="0.25">
      <c r="A17" s="377"/>
      <c r="B17" s="379" t="s">
        <v>1089</v>
      </c>
      <c r="C17" s="379">
        <v>2012</v>
      </c>
      <c r="D17" s="379">
        <v>2013</v>
      </c>
      <c r="E17" s="379">
        <v>2014</v>
      </c>
      <c r="F17" s="379">
        <v>2015</v>
      </c>
      <c r="G17" s="379">
        <v>2016</v>
      </c>
      <c r="H17" s="379" t="s">
        <v>1090</v>
      </c>
      <c r="I17" s="378"/>
    </row>
    <row r="18" spans="1:9" ht="25.5" x14ac:dyDescent="0.25">
      <c r="A18" s="380" t="s">
        <v>103</v>
      </c>
      <c r="B18" s="381" t="s">
        <v>104</v>
      </c>
      <c r="C18" s="381" t="s">
        <v>104</v>
      </c>
      <c r="D18" s="381" t="s">
        <v>104</v>
      </c>
      <c r="E18" s="381" t="s">
        <v>104</v>
      </c>
      <c r="F18" s="382" t="s">
        <v>1104</v>
      </c>
      <c r="G18" s="381" t="s">
        <v>105</v>
      </c>
      <c r="H18" s="382" t="s">
        <v>105</v>
      </c>
      <c r="I18" s="378"/>
    </row>
    <row r="19" spans="1:9" x14ac:dyDescent="0.25">
      <c r="A19" s="380"/>
      <c r="B19" s="381" t="s">
        <v>86</v>
      </c>
      <c r="C19" s="381" t="s">
        <v>413</v>
      </c>
      <c r="D19" s="381" t="s">
        <v>413</v>
      </c>
      <c r="E19" s="381" t="s">
        <v>413</v>
      </c>
      <c r="F19" s="381" t="s">
        <v>413</v>
      </c>
      <c r="G19" s="381" t="s">
        <v>86</v>
      </c>
      <c r="H19" s="381" t="s">
        <v>86</v>
      </c>
      <c r="I19" s="378"/>
    </row>
    <row r="20" spans="1:9" x14ac:dyDescent="0.25">
      <c r="A20" s="377"/>
      <c r="B20" s="408"/>
      <c r="C20" s="384" t="s">
        <v>170</v>
      </c>
      <c r="D20" s="384" t="s">
        <v>170</v>
      </c>
      <c r="E20" s="384" t="s">
        <v>170</v>
      </c>
      <c r="F20" s="384"/>
      <c r="G20" s="384" t="s">
        <v>170</v>
      </c>
      <c r="H20" s="384"/>
      <c r="I20" s="378"/>
    </row>
    <row r="21" spans="1:9" x14ac:dyDescent="0.25">
      <c r="A21" s="380" t="s">
        <v>514</v>
      </c>
      <c r="B21" s="1725"/>
      <c r="C21" s="1726"/>
      <c r="D21" s="1726"/>
      <c r="E21" s="1726"/>
      <c r="F21" s="1726"/>
      <c r="G21" s="1726"/>
      <c r="H21" s="1727"/>
      <c r="I21" s="378"/>
    </row>
    <row r="22" spans="1:9" x14ac:dyDescent="0.25">
      <c r="A22" s="383" t="s">
        <v>415</v>
      </c>
      <c r="B22" s="409"/>
      <c r="C22" s="386"/>
      <c r="D22" s="389">
        <f>+C25</f>
        <v>0</v>
      </c>
      <c r="E22" s="389">
        <f>+D25</f>
        <v>0</v>
      </c>
      <c r="F22" s="389">
        <f>+D25</f>
        <v>0</v>
      </c>
      <c r="G22" s="389">
        <f>+E25</f>
        <v>0</v>
      </c>
      <c r="H22" s="385"/>
      <c r="I22" s="378"/>
    </row>
    <row r="23" spans="1:9" x14ac:dyDescent="0.25">
      <c r="A23" s="383" t="s">
        <v>730</v>
      </c>
      <c r="B23" s="409"/>
      <c r="C23" s="386"/>
      <c r="D23" s="386"/>
      <c r="E23" s="386"/>
      <c r="F23" s="386"/>
      <c r="G23" s="410"/>
      <c r="H23" s="385"/>
      <c r="I23" s="378"/>
    </row>
    <row r="24" spans="1:9" x14ac:dyDescent="0.25">
      <c r="A24" s="383" t="s">
        <v>731</v>
      </c>
      <c r="B24" s="409"/>
      <c r="C24" s="386"/>
      <c r="D24" s="386"/>
      <c r="E24" s="386"/>
      <c r="F24" s="386"/>
      <c r="G24" s="410"/>
      <c r="H24" s="385"/>
      <c r="I24" s="378"/>
    </row>
    <row r="25" spans="1:9" x14ac:dyDescent="0.25">
      <c r="A25" s="388" t="s">
        <v>416</v>
      </c>
      <c r="B25" s="409"/>
      <c r="C25" s="389">
        <f>C22+C23+C24</f>
        <v>0</v>
      </c>
      <c r="D25" s="389">
        <f>D22+D23+D24</f>
        <v>0</v>
      </c>
      <c r="E25" s="389">
        <f>E22+E23+E24</f>
        <v>0</v>
      </c>
      <c r="F25" s="389">
        <f>F22+F23+F24</f>
        <v>0</v>
      </c>
      <c r="G25" s="389">
        <f>G22+G23+G24</f>
        <v>0</v>
      </c>
      <c r="H25" s="385"/>
      <c r="I25" s="378"/>
    </row>
    <row r="26" spans="1:9" x14ac:dyDescent="0.25">
      <c r="A26" s="377"/>
      <c r="B26" s="1733"/>
      <c r="C26" s="1734"/>
      <c r="D26" s="1734"/>
      <c r="E26" s="1734"/>
      <c r="F26" s="1734"/>
      <c r="G26" s="1734"/>
      <c r="H26" s="1735"/>
      <c r="I26" s="378"/>
    </row>
    <row r="27" spans="1:9" x14ac:dyDescent="0.25">
      <c r="A27" s="390" t="s">
        <v>515</v>
      </c>
      <c r="B27" s="1736"/>
      <c r="C27" s="1737"/>
      <c r="D27" s="1737"/>
      <c r="E27" s="1737"/>
      <c r="F27" s="1737"/>
      <c r="G27" s="1737"/>
      <c r="H27" s="1738"/>
      <c r="I27" s="378"/>
    </row>
    <row r="28" spans="1:9" x14ac:dyDescent="0.25">
      <c r="A28" s="383" t="s">
        <v>417</v>
      </c>
      <c r="B28" s="385"/>
      <c r="C28" s="391"/>
      <c r="D28" s="389">
        <f>+C31</f>
        <v>0</v>
      </c>
      <c r="E28" s="389">
        <f>+D31</f>
        <v>0</v>
      </c>
      <c r="F28" s="389">
        <f>+D31</f>
        <v>0</v>
      </c>
      <c r="G28" s="389">
        <f>+E31</f>
        <v>0</v>
      </c>
      <c r="H28" s="385"/>
      <c r="I28" s="378"/>
    </row>
    <row r="29" spans="1:9" x14ac:dyDescent="0.25">
      <c r="A29" s="383" t="s">
        <v>730</v>
      </c>
      <c r="B29" s="385"/>
      <c r="C29" s="391"/>
      <c r="D29" s="391"/>
      <c r="E29" s="391"/>
      <c r="F29" s="391"/>
      <c r="G29" s="410"/>
      <c r="H29" s="385"/>
      <c r="I29" s="378"/>
    </row>
    <row r="30" spans="1:9" x14ac:dyDescent="0.25">
      <c r="A30" s="383" t="s">
        <v>731</v>
      </c>
      <c r="B30" s="385"/>
      <c r="C30" s="391"/>
      <c r="D30" s="391"/>
      <c r="E30" s="391"/>
      <c r="F30" s="391"/>
      <c r="G30" s="410"/>
      <c r="H30" s="385"/>
      <c r="I30" s="378"/>
    </row>
    <row r="31" spans="1:9" x14ac:dyDescent="0.25">
      <c r="A31" s="388" t="s">
        <v>418</v>
      </c>
      <c r="B31" s="385"/>
      <c r="C31" s="389">
        <f>SUM(C28:C30)</f>
        <v>0</v>
      </c>
      <c r="D31" s="389">
        <f>SUM(D28:D30)</f>
        <v>0</v>
      </c>
      <c r="E31" s="389">
        <f>SUM(E28:E30)</f>
        <v>0</v>
      </c>
      <c r="F31" s="389">
        <f>SUM(F28:F30)</f>
        <v>0</v>
      </c>
      <c r="G31" s="389">
        <f>SUM(G28:G30)</f>
        <v>0</v>
      </c>
      <c r="H31" s="385"/>
      <c r="I31" s="378"/>
    </row>
    <row r="32" spans="1:9" x14ac:dyDescent="0.25">
      <c r="A32" s="377"/>
      <c r="B32" s="1725"/>
      <c r="C32" s="1726"/>
      <c r="D32" s="1726"/>
      <c r="E32" s="1726"/>
      <c r="F32" s="1726"/>
      <c r="G32" s="1726"/>
      <c r="H32" s="1727"/>
      <c r="I32" s="378"/>
    </row>
    <row r="33" spans="1:13" ht="26.25" x14ac:dyDescent="0.25">
      <c r="A33" s="392" t="s">
        <v>737</v>
      </c>
      <c r="B33" s="385"/>
      <c r="C33" s="393">
        <f>C25-C31</f>
        <v>0</v>
      </c>
      <c r="D33" s="393">
        <f>D25-D31</f>
        <v>0</v>
      </c>
      <c r="E33" s="393">
        <f>E25-E31</f>
        <v>0</v>
      </c>
      <c r="F33" s="393">
        <f>F25-F31</f>
        <v>0</v>
      </c>
      <c r="G33" s="393">
        <f>G25-G31</f>
        <v>0</v>
      </c>
      <c r="H33" s="385"/>
      <c r="I33" s="378"/>
    </row>
    <row r="34" spans="1:13" x14ac:dyDescent="0.25">
      <c r="A34" s="380"/>
      <c r="B34" s="377"/>
      <c r="C34" s="377"/>
      <c r="D34" s="394"/>
      <c r="E34" s="394"/>
      <c r="F34" s="394"/>
      <c r="G34" s="394"/>
      <c r="H34" s="394"/>
      <c r="I34" s="394"/>
      <c r="J34" s="394"/>
      <c r="K34" s="377"/>
      <c r="L34" s="378"/>
      <c r="M34" s="378"/>
    </row>
    <row r="35" spans="1:13" x14ac:dyDescent="0.25">
      <c r="A35" s="380"/>
      <c r="B35" s="377"/>
      <c r="C35" s="377"/>
      <c r="D35" s="394"/>
      <c r="E35" s="394"/>
      <c r="F35" s="394"/>
      <c r="G35" s="394"/>
      <c r="H35" s="394"/>
      <c r="I35" s="394"/>
      <c r="J35" s="394"/>
      <c r="K35" s="377"/>
      <c r="L35" s="378"/>
      <c r="M35" s="378"/>
    </row>
    <row r="36" spans="1:13" x14ac:dyDescent="0.25">
      <c r="A36" s="380" t="s">
        <v>732</v>
      </c>
      <c r="B36" s="377"/>
      <c r="C36" s="377"/>
      <c r="D36" s="394"/>
      <c r="E36" s="394"/>
      <c r="F36" s="394"/>
      <c r="G36" s="394"/>
      <c r="H36" s="394"/>
      <c r="I36" s="394"/>
      <c r="J36" s="394"/>
      <c r="K36" s="377"/>
      <c r="L36" s="378"/>
      <c r="M36" s="378"/>
    </row>
    <row r="37" spans="1:13" s="400" customFormat="1" x14ac:dyDescent="0.25">
      <c r="A37" s="395" t="s">
        <v>738</v>
      </c>
      <c r="B37" s="396"/>
      <c r="C37" s="396"/>
      <c r="D37" s="396"/>
      <c r="E37" s="396"/>
      <c r="F37" s="396"/>
      <c r="G37" s="396"/>
      <c r="H37" s="397">
        <f>IF(ISERROR(G33), 0, G33)</f>
        <v>0</v>
      </c>
      <c r="I37" s="377"/>
      <c r="J37" s="398" t="s">
        <v>420</v>
      </c>
      <c r="K37" s="399"/>
      <c r="L37" s="378"/>
      <c r="M37" s="378"/>
    </row>
    <row r="38" spans="1:13" s="400" customFormat="1" ht="26.25" x14ac:dyDescent="0.25">
      <c r="A38" s="395" t="s">
        <v>739</v>
      </c>
      <c r="B38" s="396"/>
      <c r="C38" s="396"/>
      <c r="D38" s="396"/>
      <c r="E38" s="396"/>
      <c r="F38" s="396"/>
      <c r="G38" s="396"/>
      <c r="H38" s="397">
        <f>G33*K37*K38</f>
        <v>0</v>
      </c>
      <c r="I38" s="1739" t="s">
        <v>733</v>
      </c>
      <c r="J38" s="1739"/>
      <c r="K38" s="1740"/>
      <c r="L38" s="401"/>
      <c r="M38" s="378"/>
    </row>
    <row r="39" spans="1:13" x14ac:dyDescent="0.25">
      <c r="A39" s="402" t="s">
        <v>734</v>
      </c>
      <c r="B39" s="403"/>
      <c r="C39" s="403"/>
      <c r="D39" s="403"/>
      <c r="E39" s="403"/>
      <c r="F39" s="403"/>
      <c r="G39" s="403"/>
      <c r="H39" s="404">
        <f>H37+H38</f>
        <v>0</v>
      </c>
      <c r="I39" s="1739"/>
      <c r="J39" s="1739"/>
      <c r="K39" s="1741"/>
      <c r="L39" s="378"/>
      <c r="M39" s="378"/>
    </row>
    <row r="40" spans="1:13" x14ac:dyDescent="0.25">
      <c r="A40" s="380"/>
      <c r="B40" s="377"/>
      <c r="C40" s="377"/>
      <c r="D40" s="377"/>
      <c r="E40" s="377"/>
      <c r="F40" s="377"/>
      <c r="G40" s="377"/>
      <c r="H40" s="411"/>
      <c r="I40" s="377"/>
      <c r="J40" s="377"/>
      <c r="K40" s="377"/>
      <c r="L40" s="378"/>
      <c r="M40" s="378"/>
    </row>
    <row r="41" spans="1:13" x14ac:dyDescent="0.25">
      <c r="A41" s="380" t="s">
        <v>11</v>
      </c>
      <c r="B41" s="377"/>
      <c r="C41" s="377"/>
      <c r="D41" s="377"/>
      <c r="E41" s="377"/>
      <c r="F41" s="377"/>
      <c r="G41" s="377"/>
      <c r="H41" s="377"/>
      <c r="I41" s="377"/>
      <c r="J41" s="377"/>
      <c r="K41" s="377"/>
      <c r="L41" s="378"/>
      <c r="M41" s="378"/>
    </row>
    <row r="42" spans="1:13" ht="27.75" customHeight="1" x14ac:dyDescent="0.25">
      <c r="A42" s="1743" t="s">
        <v>516</v>
      </c>
      <c r="B42" s="1743"/>
      <c r="C42" s="1743"/>
      <c r="D42" s="1743"/>
      <c r="E42" s="1743"/>
      <c r="F42" s="1743"/>
      <c r="G42" s="1743"/>
      <c r="H42" s="1743"/>
      <c r="I42" s="1743"/>
      <c r="J42" s="1743"/>
      <c r="K42" s="1743"/>
      <c r="L42" s="1743"/>
      <c r="M42" s="378"/>
    </row>
    <row r="43" spans="1:13" x14ac:dyDescent="0.25">
      <c r="A43" s="377" t="s">
        <v>740</v>
      </c>
      <c r="B43" s="377"/>
      <c r="C43" s="377"/>
      <c r="D43" s="377"/>
      <c r="E43" s="377"/>
      <c r="F43" s="377"/>
      <c r="G43" s="377"/>
      <c r="H43" s="377"/>
      <c r="I43" s="377"/>
      <c r="J43" s="377"/>
      <c r="K43" s="377"/>
      <c r="L43" s="378"/>
      <c r="M43" s="378"/>
    </row>
    <row r="44" spans="1:13" x14ac:dyDescent="0.25">
      <c r="A44" s="377" t="s">
        <v>1093</v>
      </c>
      <c r="B44" s="377"/>
      <c r="C44" s="377"/>
      <c r="D44" s="377"/>
      <c r="E44" s="377"/>
      <c r="F44" s="377"/>
      <c r="G44" s="377"/>
      <c r="H44" s="377"/>
      <c r="I44" s="377"/>
      <c r="J44" s="377"/>
      <c r="K44" s="377"/>
      <c r="L44" s="378"/>
      <c r="M44" s="378"/>
    </row>
    <row r="45" spans="1:13" x14ac:dyDescent="0.25">
      <c r="A45" s="377" t="s">
        <v>421</v>
      </c>
      <c r="B45" s="377"/>
      <c r="C45" s="377"/>
      <c r="D45" s="377"/>
      <c r="E45" s="377"/>
      <c r="F45" s="377"/>
      <c r="G45" s="377"/>
      <c r="H45" s="377"/>
      <c r="I45" s="377"/>
      <c r="J45" s="377"/>
      <c r="K45" s="377"/>
      <c r="L45" s="378"/>
      <c r="M45" s="378"/>
    </row>
    <row r="46" spans="1:13" x14ac:dyDescent="0.25">
      <c r="A46" s="1732" t="s">
        <v>741</v>
      </c>
      <c r="B46" s="1732"/>
      <c r="C46" s="1732"/>
      <c r="D46" s="1732"/>
      <c r="E46" s="1732"/>
      <c r="F46" s="1732"/>
      <c r="G46" s="1732"/>
      <c r="H46" s="1732"/>
      <c r="I46" s="1732"/>
      <c r="J46" s="1732"/>
      <c r="K46" s="377"/>
      <c r="L46" s="378"/>
      <c r="M46" s="378"/>
    </row>
    <row r="47" spans="1:13" x14ac:dyDescent="0.25">
      <c r="A47" s="377" t="s">
        <v>866</v>
      </c>
      <c r="B47" s="378"/>
      <c r="C47" s="378"/>
      <c r="D47" s="378"/>
      <c r="E47" s="378"/>
      <c r="F47" s="378"/>
      <c r="G47" s="378"/>
      <c r="H47" s="378"/>
      <c r="I47" s="378"/>
      <c r="J47" s="378"/>
      <c r="K47" s="377"/>
      <c r="L47" s="378"/>
      <c r="M47" s="378"/>
    </row>
    <row r="48" spans="1:13" x14ac:dyDescent="0.25">
      <c r="A48" s="377" t="s">
        <v>1106</v>
      </c>
      <c r="B48" s="377"/>
      <c r="C48" s="377"/>
      <c r="D48" s="377"/>
      <c r="E48" s="377"/>
      <c r="F48" s="377"/>
      <c r="G48" s="377"/>
      <c r="H48" s="377"/>
      <c r="I48" s="377"/>
      <c r="J48" s="377"/>
      <c r="K48" s="377"/>
      <c r="L48" s="378"/>
      <c r="M48" s="378"/>
    </row>
    <row r="49" spans="1:13" x14ac:dyDescent="0.25">
      <c r="A49" s="377"/>
      <c r="B49" s="377"/>
      <c r="C49" s="377"/>
      <c r="D49" s="377"/>
      <c r="E49" s="377"/>
      <c r="F49" s="377"/>
      <c r="G49" s="377"/>
      <c r="H49" s="377"/>
      <c r="I49" s="377"/>
      <c r="J49" s="377"/>
      <c r="K49" s="377"/>
      <c r="L49" s="378"/>
      <c r="M49" s="378"/>
    </row>
    <row r="50" spans="1:13" x14ac:dyDescent="0.25">
      <c r="A50" s="377"/>
      <c r="B50" s="377"/>
      <c r="C50" s="377"/>
      <c r="D50" s="377"/>
      <c r="E50" s="377"/>
      <c r="F50" s="377"/>
      <c r="G50" s="377"/>
      <c r="H50" s="377"/>
      <c r="I50" s="377"/>
      <c r="J50" s="377"/>
      <c r="K50" s="377"/>
      <c r="L50" s="378"/>
      <c r="M50" s="378"/>
    </row>
    <row r="51" spans="1:13" x14ac:dyDescent="0.25">
      <c r="A51" s="377"/>
      <c r="B51" s="377"/>
      <c r="C51" s="377"/>
      <c r="D51" s="377"/>
      <c r="E51" s="377"/>
      <c r="F51" s="377"/>
      <c r="G51" s="377"/>
      <c r="H51" s="377"/>
      <c r="I51" s="377"/>
      <c r="J51" s="377"/>
      <c r="K51" s="377"/>
      <c r="L51" s="378"/>
      <c r="M51" s="378"/>
    </row>
    <row r="52" spans="1:13" x14ac:dyDescent="0.25">
      <c r="A52" s="377"/>
      <c r="B52" s="377"/>
      <c r="C52" s="377"/>
      <c r="D52" s="377"/>
      <c r="E52" s="377"/>
      <c r="F52" s="377"/>
      <c r="G52" s="377"/>
      <c r="H52" s="377"/>
      <c r="I52" s="377"/>
      <c r="J52" s="377"/>
      <c r="K52" s="377"/>
      <c r="L52" s="378"/>
      <c r="M52" s="378"/>
    </row>
    <row r="53" spans="1:13" x14ac:dyDescent="0.25">
      <c r="A53" s="377"/>
      <c r="B53" s="377"/>
      <c r="C53" s="377"/>
      <c r="D53" s="377"/>
      <c r="E53" s="377"/>
      <c r="F53" s="377"/>
      <c r="G53" s="377"/>
      <c r="H53" s="377"/>
      <c r="I53" s="377"/>
      <c r="J53" s="377"/>
      <c r="K53" s="377"/>
      <c r="L53" s="378"/>
      <c r="M53" s="378"/>
    </row>
    <row r="54" spans="1:13" x14ac:dyDescent="0.25">
      <c r="A54" s="377"/>
      <c r="B54" s="377"/>
      <c r="C54" s="377"/>
      <c r="D54" s="377"/>
      <c r="E54" s="377"/>
      <c r="F54" s="377"/>
      <c r="G54" s="377"/>
      <c r="H54" s="377"/>
      <c r="I54" s="377"/>
      <c r="J54" s="377"/>
      <c r="K54" s="377"/>
      <c r="L54" s="378"/>
      <c r="M54" s="378"/>
    </row>
    <row r="55" spans="1:13" x14ac:dyDescent="0.25">
      <c r="A55" s="377"/>
      <c r="B55" s="378"/>
      <c r="C55" s="378"/>
      <c r="D55" s="378"/>
      <c r="E55" s="378"/>
      <c r="F55" s="378"/>
      <c r="G55" s="378"/>
      <c r="H55" s="378"/>
      <c r="I55" s="378"/>
      <c r="J55" s="378"/>
      <c r="K55" s="378"/>
      <c r="L55" s="378"/>
      <c r="M55" s="378"/>
    </row>
  </sheetData>
  <mergeCells count="12">
    <mergeCell ref="A46:J46"/>
    <mergeCell ref="A42:L42"/>
    <mergeCell ref="B32:H32"/>
    <mergeCell ref="B26:H27"/>
    <mergeCell ref="B21:H21"/>
    <mergeCell ref="I38:J39"/>
    <mergeCell ref="K38:K39"/>
    <mergeCell ref="A9:K9"/>
    <mergeCell ref="A10:K10"/>
    <mergeCell ref="A11:K11"/>
    <mergeCell ref="A15:K15"/>
    <mergeCell ref="A13:K14"/>
  </mergeCells>
  <dataValidations count="1">
    <dataValidation allowBlank="1" showInputMessage="1" showErrorMessage="1" promptTitle="Date Format" prompt="E.g:  &quot;August 1, 2011&quot;" sqref="WVO983044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0 JC65540 SY65540 ACU65540 AMQ65540 AWM65540 BGI65540 BQE65540 CAA65540 CJW65540 CTS65540 DDO65540 DNK65540 DXG65540 EHC65540 EQY65540 FAU65540 FKQ65540 FUM65540 GEI65540 GOE65540 GYA65540 HHW65540 HRS65540 IBO65540 ILK65540 IVG65540 JFC65540 JOY65540 JYU65540 KIQ65540 KSM65540 LCI65540 LME65540 LWA65540 MFW65540 MPS65540 MZO65540 NJK65540 NTG65540 ODC65540 OMY65540 OWU65540 PGQ65540 PQM65540 QAI65540 QKE65540 QUA65540 RDW65540 RNS65540 RXO65540 SHK65540 SRG65540 TBC65540 TKY65540 TUU65540 UEQ65540 UOM65540 UYI65540 VIE65540 VSA65540 WBW65540 WLS65540 WVO65540 G131076 JC131076 SY131076 ACU131076 AMQ131076 AWM131076 BGI131076 BQE131076 CAA131076 CJW131076 CTS131076 DDO131076 DNK131076 DXG131076 EHC131076 EQY131076 FAU131076 FKQ131076 FUM131076 GEI131076 GOE131076 GYA131076 HHW131076 HRS131076 IBO131076 ILK131076 IVG131076 JFC131076 JOY131076 JYU131076 KIQ131076 KSM131076 LCI131076 LME131076 LWA131076 MFW131076 MPS131076 MZO131076 NJK131076 NTG131076 ODC131076 OMY131076 OWU131076 PGQ131076 PQM131076 QAI131076 QKE131076 QUA131076 RDW131076 RNS131076 RXO131076 SHK131076 SRG131076 TBC131076 TKY131076 TUU131076 UEQ131076 UOM131076 UYI131076 VIE131076 VSA131076 WBW131076 WLS131076 WVO131076 G196612 JC196612 SY196612 ACU196612 AMQ196612 AWM196612 BGI196612 BQE196612 CAA196612 CJW196612 CTS196612 DDO196612 DNK196612 DXG196612 EHC196612 EQY196612 FAU196612 FKQ196612 FUM196612 GEI196612 GOE196612 GYA196612 HHW196612 HRS196612 IBO196612 ILK196612 IVG196612 JFC196612 JOY196612 JYU196612 KIQ196612 KSM196612 LCI196612 LME196612 LWA196612 MFW196612 MPS196612 MZO196612 NJK196612 NTG196612 ODC196612 OMY196612 OWU196612 PGQ196612 PQM196612 QAI196612 QKE196612 QUA196612 RDW196612 RNS196612 RXO196612 SHK196612 SRG196612 TBC196612 TKY196612 TUU196612 UEQ196612 UOM196612 UYI196612 VIE196612 VSA196612 WBW196612 WLS196612 WVO196612 G262148 JC262148 SY262148 ACU262148 AMQ262148 AWM262148 BGI262148 BQE262148 CAA262148 CJW262148 CTS262148 DDO262148 DNK262148 DXG262148 EHC262148 EQY262148 FAU262148 FKQ262148 FUM262148 GEI262148 GOE262148 GYA262148 HHW262148 HRS262148 IBO262148 ILK262148 IVG262148 JFC262148 JOY262148 JYU262148 KIQ262148 KSM262148 LCI262148 LME262148 LWA262148 MFW262148 MPS262148 MZO262148 NJK262148 NTG262148 ODC262148 OMY262148 OWU262148 PGQ262148 PQM262148 QAI262148 QKE262148 QUA262148 RDW262148 RNS262148 RXO262148 SHK262148 SRG262148 TBC262148 TKY262148 TUU262148 UEQ262148 UOM262148 UYI262148 VIE262148 VSA262148 WBW262148 WLS262148 WVO262148 G327684 JC327684 SY327684 ACU327684 AMQ327684 AWM327684 BGI327684 BQE327684 CAA327684 CJW327684 CTS327684 DDO327684 DNK327684 DXG327684 EHC327684 EQY327684 FAU327684 FKQ327684 FUM327684 GEI327684 GOE327684 GYA327684 HHW327684 HRS327684 IBO327684 ILK327684 IVG327684 JFC327684 JOY327684 JYU327684 KIQ327684 KSM327684 LCI327684 LME327684 LWA327684 MFW327684 MPS327684 MZO327684 NJK327684 NTG327684 ODC327684 OMY327684 OWU327684 PGQ327684 PQM327684 QAI327684 QKE327684 QUA327684 RDW327684 RNS327684 RXO327684 SHK327684 SRG327684 TBC327684 TKY327684 TUU327684 UEQ327684 UOM327684 UYI327684 VIE327684 VSA327684 WBW327684 WLS327684 WVO327684 G393220 JC393220 SY393220 ACU393220 AMQ393220 AWM393220 BGI393220 BQE393220 CAA393220 CJW393220 CTS393220 DDO393220 DNK393220 DXG393220 EHC393220 EQY393220 FAU393220 FKQ393220 FUM393220 GEI393220 GOE393220 GYA393220 HHW393220 HRS393220 IBO393220 ILK393220 IVG393220 JFC393220 JOY393220 JYU393220 KIQ393220 KSM393220 LCI393220 LME393220 LWA393220 MFW393220 MPS393220 MZO393220 NJK393220 NTG393220 ODC393220 OMY393220 OWU393220 PGQ393220 PQM393220 QAI393220 QKE393220 QUA393220 RDW393220 RNS393220 RXO393220 SHK393220 SRG393220 TBC393220 TKY393220 TUU393220 UEQ393220 UOM393220 UYI393220 VIE393220 VSA393220 WBW393220 WLS393220 WVO393220 G458756 JC458756 SY458756 ACU458756 AMQ458756 AWM458756 BGI458756 BQE458756 CAA458756 CJW458756 CTS458756 DDO458756 DNK458756 DXG458756 EHC458756 EQY458756 FAU458756 FKQ458756 FUM458756 GEI458756 GOE458756 GYA458756 HHW458756 HRS458756 IBO458756 ILK458756 IVG458756 JFC458756 JOY458756 JYU458756 KIQ458756 KSM458756 LCI458756 LME458756 LWA458756 MFW458756 MPS458756 MZO458756 NJK458756 NTG458756 ODC458756 OMY458756 OWU458756 PGQ458756 PQM458756 QAI458756 QKE458756 QUA458756 RDW458756 RNS458756 RXO458756 SHK458756 SRG458756 TBC458756 TKY458756 TUU458756 UEQ458756 UOM458756 UYI458756 VIE458756 VSA458756 WBW458756 WLS458756 WVO458756 G524292 JC524292 SY524292 ACU524292 AMQ524292 AWM524292 BGI524292 BQE524292 CAA524292 CJW524292 CTS524292 DDO524292 DNK524292 DXG524292 EHC524292 EQY524292 FAU524292 FKQ524292 FUM524292 GEI524292 GOE524292 GYA524292 HHW524292 HRS524292 IBO524292 ILK524292 IVG524292 JFC524292 JOY524292 JYU524292 KIQ524292 KSM524292 LCI524292 LME524292 LWA524292 MFW524292 MPS524292 MZO524292 NJK524292 NTG524292 ODC524292 OMY524292 OWU524292 PGQ524292 PQM524292 QAI524292 QKE524292 QUA524292 RDW524292 RNS524292 RXO524292 SHK524292 SRG524292 TBC524292 TKY524292 TUU524292 UEQ524292 UOM524292 UYI524292 VIE524292 VSA524292 WBW524292 WLS524292 WVO524292 G589828 JC589828 SY589828 ACU589828 AMQ589828 AWM589828 BGI589828 BQE589828 CAA589828 CJW589828 CTS589828 DDO589828 DNK589828 DXG589828 EHC589828 EQY589828 FAU589828 FKQ589828 FUM589828 GEI589828 GOE589828 GYA589828 HHW589828 HRS589828 IBO589828 ILK589828 IVG589828 JFC589828 JOY589828 JYU589828 KIQ589828 KSM589828 LCI589828 LME589828 LWA589828 MFW589828 MPS589828 MZO589828 NJK589828 NTG589828 ODC589828 OMY589828 OWU589828 PGQ589828 PQM589828 QAI589828 QKE589828 QUA589828 RDW589828 RNS589828 RXO589828 SHK589828 SRG589828 TBC589828 TKY589828 TUU589828 UEQ589828 UOM589828 UYI589828 VIE589828 VSA589828 WBW589828 WLS589828 WVO589828 G655364 JC655364 SY655364 ACU655364 AMQ655364 AWM655364 BGI655364 BQE655364 CAA655364 CJW655364 CTS655364 DDO655364 DNK655364 DXG655364 EHC655364 EQY655364 FAU655364 FKQ655364 FUM655364 GEI655364 GOE655364 GYA655364 HHW655364 HRS655364 IBO655364 ILK655364 IVG655364 JFC655364 JOY655364 JYU655364 KIQ655364 KSM655364 LCI655364 LME655364 LWA655364 MFW655364 MPS655364 MZO655364 NJK655364 NTG655364 ODC655364 OMY655364 OWU655364 PGQ655364 PQM655364 QAI655364 QKE655364 QUA655364 RDW655364 RNS655364 RXO655364 SHK655364 SRG655364 TBC655364 TKY655364 TUU655364 UEQ655364 UOM655364 UYI655364 VIE655364 VSA655364 WBW655364 WLS655364 WVO655364 G720900 JC720900 SY720900 ACU720900 AMQ720900 AWM720900 BGI720900 BQE720900 CAA720900 CJW720900 CTS720900 DDO720900 DNK720900 DXG720900 EHC720900 EQY720900 FAU720900 FKQ720900 FUM720900 GEI720900 GOE720900 GYA720900 HHW720900 HRS720900 IBO720900 ILK720900 IVG720900 JFC720900 JOY720900 JYU720900 KIQ720900 KSM720900 LCI720900 LME720900 LWA720900 MFW720900 MPS720900 MZO720900 NJK720900 NTG720900 ODC720900 OMY720900 OWU720900 PGQ720900 PQM720900 QAI720900 QKE720900 QUA720900 RDW720900 RNS720900 RXO720900 SHK720900 SRG720900 TBC720900 TKY720900 TUU720900 UEQ720900 UOM720900 UYI720900 VIE720900 VSA720900 WBW720900 WLS720900 WVO720900 G786436 JC786436 SY786436 ACU786436 AMQ786436 AWM786436 BGI786436 BQE786436 CAA786436 CJW786436 CTS786436 DDO786436 DNK786436 DXG786436 EHC786436 EQY786436 FAU786436 FKQ786436 FUM786436 GEI786436 GOE786436 GYA786436 HHW786436 HRS786436 IBO786436 ILK786436 IVG786436 JFC786436 JOY786436 JYU786436 KIQ786436 KSM786436 LCI786436 LME786436 LWA786436 MFW786436 MPS786436 MZO786436 NJK786436 NTG786436 ODC786436 OMY786436 OWU786436 PGQ786436 PQM786436 QAI786436 QKE786436 QUA786436 RDW786436 RNS786436 RXO786436 SHK786436 SRG786436 TBC786436 TKY786436 TUU786436 UEQ786436 UOM786436 UYI786436 VIE786436 VSA786436 WBW786436 WLS786436 WVO786436 G851972 JC851972 SY851972 ACU851972 AMQ851972 AWM851972 BGI851972 BQE851972 CAA851972 CJW851972 CTS851972 DDO851972 DNK851972 DXG851972 EHC851972 EQY851972 FAU851972 FKQ851972 FUM851972 GEI851972 GOE851972 GYA851972 HHW851972 HRS851972 IBO851972 ILK851972 IVG851972 JFC851972 JOY851972 JYU851972 KIQ851972 KSM851972 LCI851972 LME851972 LWA851972 MFW851972 MPS851972 MZO851972 NJK851972 NTG851972 ODC851972 OMY851972 OWU851972 PGQ851972 PQM851972 QAI851972 QKE851972 QUA851972 RDW851972 RNS851972 RXO851972 SHK851972 SRG851972 TBC851972 TKY851972 TUU851972 UEQ851972 UOM851972 UYI851972 VIE851972 VSA851972 WBW851972 WLS851972 WVO851972 G917508 JC917508 SY917508 ACU917508 AMQ917508 AWM917508 BGI917508 BQE917508 CAA917508 CJW917508 CTS917508 DDO917508 DNK917508 DXG917508 EHC917508 EQY917508 FAU917508 FKQ917508 FUM917508 GEI917508 GOE917508 GYA917508 HHW917508 HRS917508 IBO917508 ILK917508 IVG917508 JFC917508 JOY917508 JYU917508 KIQ917508 KSM917508 LCI917508 LME917508 LWA917508 MFW917508 MPS917508 MZO917508 NJK917508 NTG917508 ODC917508 OMY917508 OWU917508 PGQ917508 PQM917508 QAI917508 QKE917508 QUA917508 RDW917508 RNS917508 RXO917508 SHK917508 SRG917508 TBC917508 TKY917508 TUU917508 UEQ917508 UOM917508 UYI917508 VIE917508 VSA917508 WBW917508 WLS917508 WVO917508 G983044 JC983044 SY983044 ACU983044 AMQ983044 AWM983044 BGI983044 BQE983044 CAA983044 CJW983044 CTS983044 DDO983044 DNK983044 DXG983044 EHC983044 EQY983044 FAU983044 FKQ983044 FUM983044 GEI983044 GOE983044 GYA983044 HHW983044 HRS983044 IBO983044 ILK983044 IVG983044 JFC983044 JOY983044 JYU983044 KIQ983044 KSM983044 LCI983044 LME983044 LWA983044 MFW983044 MPS983044 MZO983044 NJK983044 NTG983044 ODC983044 OMY983044 OWU983044 PGQ983044 PQM983044 QAI983044 QKE983044 QUA983044 RDW983044 RNS983044 RXO983044 SHK983044 SRG983044 TBC983044 TKY983044 TUU983044 UEQ983044 UOM983044 UYI983044 VIE983044 VSA983044 WBW983044 WLS983044"/>
  </dataValidations>
  <pageMargins left="0.7" right="0.7" top="0.75" bottom="0.75" header="0.3" footer="0.3"/>
  <pageSetup scale="58" orientation="portrait" verticalDpi="2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rgb="FFFFC000"/>
    <pageSetUpPr fitToPage="1"/>
  </sheetPr>
  <dimension ref="A1:M55"/>
  <sheetViews>
    <sheetView showGridLines="0" zoomScaleNormal="100" workbookViewId="0">
      <selection activeCell="A9" sqref="A9:J9"/>
    </sheetView>
  </sheetViews>
  <sheetFormatPr defaultRowHeight="15" x14ac:dyDescent="0.25"/>
  <cols>
    <col min="1" max="1" width="51.7109375" style="375" customWidth="1"/>
    <col min="2" max="2" width="11" style="375" customWidth="1"/>
    <col min="3" max="6" width="13.7109375" style="375" customWidth="1"/>
    <col min="7" max="7" width="12.7109375" style="375" customWidth="1"/>
    <col min="8" max="8" width="9.42578125" style="375" customWidth="1"/>
    <col min="9" max="9" width="13.7109375" style="375" customWidth="1"/>
    <col min="10" max="10" width="12.42578125" style="375" customWidth="1"/>
    <col min="11" max="11" width="9.28515625" style="375" bestFit="1" customWidth="1"/>
    <col min="12" max="257" width="9.140625" style="375"/>
    <col min="258" max="258" width="51.7109375" style="375" customWidth="1"/>
    <col min="259" max="264" width="9.140625" style="375"/>
    <col min="265" max="265" width="11.28515625" style="375" customWidth="1"/>
    <col min="266" max="513" width="9.140625" style="375"/>
    <col min="514" max="514" width="51.7109375" style="375" customWidth="1"/>
    <col min="515" max="520" width="9.140625" style="375"/>
    <col min="521" max="521" width="11.28515625" style="375" customWidth="1"/>
    <col min="522" max="769" width="9.140625" style="375"/>
    <col min="770" max="770" width="51.7109375" style="375" customWidth="1"/>
    <col min="771" max="776" width="9.140625" style="375"/>
    <col min="777" max="777" width="11.28515625" style="375" customWidth="1"/>
    <col min="778" max="1025" width="9.140625" style="375"/>
    <col min="1026" max="1026" width="51.7109375" style="375" customWidth="1"/>
    <col min="1027" max="1032" width="9.140625" style="375"/>
    <col min="1033" max="1033" width="11.28515625" style="375" customWidth="1"/>
    <col min="1034" max="1281" width="9.140625" style="375"/>
    <col min="1282" max="1282" width="51.7109375" style="375" customWidth="1"/>
    <col min="1283" max="1288" width="9.140625" style="375"/>
    <col min="1289" max="1289" width="11.28515625" style="375" customWidth="1"/>
    <col min="1290" max="1537" width="9.140625" style="375"/>
    <col min="1538" max="1538" width="51.7109375" style="375" customWidth="1"/>
    <col min="1539" max="1544" width="9.140625" style="375"/>
    <col min="1545" max="1545" width="11.28515625" style="375" customWidth="1"/>
    <col min="1546" max="1793" width="9.140625" style="375"/>
    <col min="1794" max="1794" width="51.7109375" style="375" customWidth="1"/>
    <col min="1795" max="1800" width="9.140625" style="375"/>
    <col min="1801" max="1801" width="11.28515625" style="375" customWidth="1"/>
    <col min="1802" max="2049" width="9.140625" style="375"/>
    <col min="2050" max="2050" width="51.7109375" style="375" customWidth="1"/>
    <col min="2051" max="2056" width="9.140625" style="375"/>
    <col min="2057" max="2057" width="11.28515625" style="375" customWidth="1"/>
    <col min="2058" max="2305" width="9.140625" style="375"/>
    <col min="2306" max="2306" width="51.7109375" style="375" customWidth="1"/>
    <col min="2307" max="2312" width="9.140625" style="375"/>
    <col min="2313" max="2313" width="11.28515625" style="375" customWidth="1"/>
    <col min="2314" max="2561" width="9.140625" style="375"/>
    <col min="2562" max="2562" width="51.7109375" style="375" customWidth="1"/>
    <col min="2563" max="2568" width="9.140625" style="375"/>
    <col min="2569" max="2569" width="11.28515625" style="375" customWidth="1"/>
    <col min="2570" max="2817" width="9.140625" style="375"/>
    <col min="2818" max="2818" width="51.7109375" style="375" customWidth="1"/>
    <col min="2819" max="2824" width="9.140625" style="375"/>
    <col min="2825" max="2825" width="11.28515625" style="375" customWidth="1"/>
    <col min="2826" max="3073" width="9.140625" style="375"/>
    <col min="3074" max="3074" width="51.7109375" style="375" customWidth="1"/>
    <col min="3075" max="3080" width="9.140625" style="375"/>
    <col min="3081" max="3081" width="11.28515625" style="375" customWidth="1"/>
    <col min="3082" max="3329" width="9.140625" style="375"/>
    <col min="3330" max="3330" width="51.7109375" style="375" customWidth="1"/>
    <col min="3331" max="3336" width="9.140625" style="375"/>
    <col min="3337" max="3337" width="11.28515625" style="375" customWidth="1"/>
    <col min="3338" max="3585" width="9.140625" style="375"/>
    <col min="3586" max="3586" width="51.7109375" style="375" customWidth="1"/>
    <col min="3587" max="3592" width="9.140625" style="375"/>
    <col min="3593" max="3593" width="11.28515625" style="375" customWidth="1"/>
    <col min="3594" max="3841" width="9.140625" style="375"/>
    <col min="3842" max="3842" width="51.7109375" style="375" customWidth="1"/>
    <col min="3843" max="3848" width="9.140625" style="375"/>
    <col min="3849" max="3849" width="11.28515625" style="375" customWidth="1"/>
    <col min="3850" max="4097" width="9.140625" style="375"/>
    <col min="4098" max="4098" width="51.7109375" style="375" customWidth="1"/>
    <col min="4099" max="4104" width="9.140625" style="375"/>
    <col min="4105" max="4105" width="11.28515625" style="375" customWidth="1"/>
    <col min="4106" max="4353" width="9.140625" style="375"/>
    <col min="4354" max="4354" width="51.7109375" style="375" customWidth="1"/>
    <col min="4355" max="4360" width="9.140625" style="375"/>
    <col min="4361" max="4361" width="11.28515625" style="375" customWidth="1"/>
    <col min="4362" max="4609" width="9.140625" style="375"/>
    <col min="4610" max="4610" width="51.7109375" style="375" customWidth="1"/>
    <col min="4611" max="4616" width="9.140625" style="375"/>
    <col min="4617" max="4617" width="11.28515625" style="375" customWidth="1"/>
    <col min="4618" max="4865" width="9.140625" style="375"/>
    <col min="4866" max="4866" width="51.7109375" style="375" customWidth="1"/>
    <col min="4867" max="4872" width="9.140625" style="375"/>
    <col min="4873" max="4873" width="11.28515625" style="375" customWidth="1"/>
    <col min="4874" max="5121" width="9.140625" style="375"/>
    <col min="5122" max="5122" width="51.7109375" style="375" customWidth="1"/>
    <col min="5123" max="5128" width="9.140625" style="375"/>
    <col min="5129" max="5129" width="11.28515625" style="375" customWidth="1"/>
    <col min="5130" max="5377" width="9.140625" style="375"/>
    <col min="5378" max="5378" width="51.7109375" style="375" customWidth="1"/>
    <col min="5379" max="5384" width="9.140625" style="375"/>
    <col min="5385" max="5385" width="11.28515625" style="375" customWidth="1"/>
    <col min="5386" max="5633" width="9.140625" style="375"/>
    <col min="5634" max="5634" width="51.7109375" style="375" customWidth="1"/>
    <col min="5635" max="5640" width="9.140625" style="375"/>
    <col min="5641" max="5641" width="11.28515625" style="375" customWidth="1"/>
    <col min="5642" max="5889" width="9.140625" style="375"/>
    <col min="5890" max="5890" width="51.7109375" style="375" customWidth="1"/>
    <col min="5891" max="5896" width="9.140625" style="375"/>
    <col min="5897" max="5897" width="11.28515625" style="375" customWidth="1"/>
    <col min="5898" max="6145" width="9.140625" style="375"/>
    <col min="6146" max="6146" width="51.7109375" style="375" customWidth="1"/>
    <col min="6147" max="6152" width="9.140625" style="375"/>
    <col min="6153" max="6153" width="11.28515625" style="375" customWidth="1"/>
    <col min="6154" max="6401" width="9.140625" style="375"/>
    <col min="6402" max="6402" width="51.7109375" style="375" customWidth="1"/>
    <col min="6403" max="6408" width="9.140625" style="375"/>
    <col min="6409" max="6409" width="11.28515625" style="375" customWidth="1"/>
    <col min="6410" max="6657" width="9.140625" style="375"/>
    <col min="6658" max="6658" width="51.7109375" style="375" customWidth="1"/>
    <col min="6659" max="6664" width="9.140625" style="375"/>
    <col min="6665" max="6665" width="11.28515625" style="375" customWidth="1"/>
    <col min="6666" max="6913" width="9.140625" style="375"/>
    <col min="6914" max="6914" width="51.7109375" style="375" customWidth="1"/>
    <col min="6915" max="6920" width="9.140625" style="375"/>
    <col min="6921" max="6921" width="11.28515625" style="375" customWidth="1"/>
    <col min="6922" max="7169" width="9.140625" style="375"/>
    <col min="7170" max="7170" width="51.7109375" style="375" customWidth="1"/>
    <col min="7171" max="7176" width="9.140625" style="375"/>
    <col min="7177" max="7177" width="11.28515625" style="375" customWidth="1"/>
    <col min="7178" max="7425" width="9.140625" style="375"/>
    <col min="7426" max="7426" width="51.7109375" style="375" customWidth="1"/>
    <col min="7427" max="7432" width="9.140625" style="375"/>
    <col min="7433" max="7433" width="11.28515625" style="375" customWidth="1"/>
    <col min="7434" max="7681" width="9.140625" style="375"/>
    <col min="7682" max="7682" width="51.7109375" style="375" customWidth="1"/>
    <col min="7683" max="7688" width="9.140625" style="375"/>
    <col min="7689" max="7689" width="11.28515625" style="375" customWidth="1"/>
    <col min="7690" max="7937" width="9.140625" style="375"/>
    <col min="7938" max="7938" width="51.7109375" style="375" customWidth="1"/>
    <col min="7939" max="7944" width="9.140625" style="375"/>
    <col min="7945" max="7945" width="11.28515625" style="375" customWidth="1"/>
    <col min="7946" max="8193" width="9.140625" style="375"/>
    <col min="8194" max="8194" width="51.7109375" style="375" customWidth="1"/>
    <col min="8195" max="8200" width="9.140625" style="375"/>
    <col min="8201" max="8201" width="11.28515625" style="375" customWidth="1"/>
    <col min="8202" max="8449" width="9.140625" style="375"/>
    <col min="8450" max="8450" width="51.7109375" style="375" customWidth="1"/>
    <col min="8451" max="8456" width="9.140625" style="375"/>
    <col min="8457" max="8457" width="11.28515625" style="375" customWidth="1"/>
    <col min="8458" max="8705" width="9.140625" style="375"/>
    <col min="8706" max="8706" width="51.7109375" style="375" customWidth="1"/>
    <col min="8707" max="8712" width="9.140625" style="375"/>
    <col min="8713" max="8713" width="11.28515625" style="375" customWidth="1"/>
    <col min="8714" max="8961" width="9.140625" style="375"/>
    <col min="8962" max="8962" width="51.7109375" style="375" customWidth="1"/>
    <col min="8963" max="8968" width="9.140625" style="375"/>
    <col min="8969" max="8969" width="11.28515625" style="375" customWidth="1"/>
    <col min="8970" max="9217" width="9.140625" style="375"/>
    <col min="9218" max="9218" width="51.7109375" style="375" customWidth="1"/>
    <col min="9219" max="9224" width="9.140625" style="375"/>
    <col min="9225" max="9225" width="11.28515625" style="375" customWidth="1"/>
    <col min="9226" max="9473" width="9.140625" style="375"/>
    <col min="9474" max="9474" width="51.7109375" style="375" customWidth="1"/>
    <col min="9475" max="9480" width="9.140625" style="375"/>
    <col min="9481" max="9481" width="11.28515625" style="375" customWidth="1"/>
    <col min="9482" max="9729" width="9.140625" style="375"/>
    <col min="9730" max="9730" width="51.7109375" style="375" customWidth="1"/>
    <col min="9731" max="9736" width="9.140625" style="375"/>
    <col min="9737" max="9737" width="11.28515625" style="375" customWidth="1"/>
    <col min="9738" max="9985" width="9.140625" style="375"/>
    <col min="9986" max="9986" width="51.7109375" style="375" customWidth="1"/>
    <col min="9987" max="9992" width="9.140625" style="375"/>
    <col min="9993" max="9993" width="11.28515625" style="375" customWidth="1"/>
    <col min="9994" max="10241" width="9.140625" style="375"/>
    <col min="10242" max="10242" width="51.7109375" style="375" customWidth="1"/>
    <col min="10243" max="10248" width="9.140625" style="375"/>
    <col min="10249" max="10249" width="11.28515625" style="375" customWidth="1"/>
    <col min="10250" max="10497" width="9.140625" style="375"/>
    <col min="10498" max="10498" width="51.7109375" style="375" customWidth="1"/>
    <col min="10499" max="10504" width="9.140625" style="375"/>
    <col min="10505" max="10505" width="11.28515625" style="375" customWidth="1"/>
    <col min="10506" max="10753" width="9.140625" style="375"/>
    <col min="10754" max="10754" width="51.7109375" style="375" customWidth="1"/>
    <col min="10755" max="10760" width="9.140625" style="375"/>
    <col min="10761" max="10761" width="11.28515625" style="375" customWidth="1"/>
    <col min="10762" max="11009" width="9.140625" style="375"/>
    <col min="11010" max="11010" width="51.7109375" style="375" customWidth="1"/>
    <col min="11011" max="11016" width="9.140625" style="375"/>
    <col min="11017" max="11017" width="11.28515625" style="375" customWidth="1"/>
    <col min="11018" max="11265" width="9.140625" style="375"/>
    <col min="11266" max="11266" width="51.7109375" style="375" customWidth="1"/>
    <col min="11267" max="11272" width="9.140625" style="375"/>
    <col min="11273" max="11273" width="11.28515625" style="375" customWidth="1"/>
    <col min="11274" max="11521" width="9.140625" style="375"/>
    <col min="11522" max="11522" width="51.7109375" style="375" customWidth="1"/>
    <col min="11523" max="11528" width="9.140625" style="375"/>
    <col min="11529" max="11529" width="11.28515625" style="375" customWidth="1"/>
    <col min="11530" max="11777" width="9.140625" style="375"/>
    <col min="11778" max="11778" width="51.7109375" style="375" customWidth="1"/>
    <col min="11779" max="11784" width="9.140625" style="375"/>
    <col min="11785" max="11785" width="11.28515625" style="375" customWidth="1"/>
    <col min="11786" max="12033" width="9.140625" style="375"/>
    <col min="12034" max="12034" width="51.7109375" style="375" customWidth="1"/>
    <col min="12035" max="12040" width="9.140625" style="375"/>
    <col min="12041" max="12041" width="11.28515625" style="375" customWidth="1"/>
    <col min="12042" max="12289" width="9.140625" style="375"/>
    <col min="12290" max="12290" width="51.7109375" style="375" customWidth="1"/>
    <col min="12291" max="12296" width="9.140625" style="375"/>
    <col min="12297" max="12297" width="11.28515625" style="375" customWidth="1"/>
    <col min="12298" max="12545" width="9.140625" style="375"/>
    <col min="12546" max="12546" width="51.7109375" style="375" customWidth="1"/>
    <col min="12547" max="12552" width="9.140625" style="375"/>
    <col min="12553" max="12553" width="11.28515625" style="375" customWidth="1"/>
    <col min="12554" max="12801" width="9.140625" style="375"/>
    <col min="12802" max="12802" width="51.7109375" style="375" customWidth="1"/>
    <col min="12803" max="12808" width="9.140625" style="375"/>
    <col min="12809" max="12809" width="11.28515625" style="375" customWidth="1"/>
    <col min="12810" max="13057" width="9.140625" style="375"/>
    <col min="13058" max="13058" width="51.7109375" style="375" customWidth="1"/>
    <col min="13059" max="13064" width="9.140625" style="375"/>
    <col min="13065" max="13065" width="11.28515625" style="375" customWidth="1"/>
    <col min="13066" max="13313" width="9.140625" style="375"/>
    <col min="13314" max="13314" width="51.7109375" style="375" customWidth="1"/>
    <col min="13315" max="13320" width="9.140625" style="375"/>
    <col min="13321" max="13321" width="11.28515625" style="375" customWidth="1"/>
    <col min="13322" max="13569" width="9.140625" style="375"/>
    <col min="13570" max="13570" width="51.7109375" style="375" customWidth="1"/>
    <col min="13571" max="13576" width="9.140625" style="375"/>
    <col min="13577" max="13577" width="11.28515625" style="375" customWidth="1"/>
    <col min="13578" max="13825" width="9.140625" style="375"/>
    <col min="13826" max="13826" width="51.7109375" style="375" customWidth="1"/>
    <col min="13827" max="13832" width="9.140625" style="375"/>
    <col min="13833" max="13833" width="11.28515625" style="375" customWidth="1"/>
    <col min="13834" max="14081" width="9.140625" style="375"/>
    <col min="14082" max="14082" width="51.7109375" style="375" customWidth="1"/>
    <col min="14083" max="14088" width="9.140625" style="375"/>
    <col min="14089" max="14089" width="11.28515625" style="375" customWidth="1"/>
    <col min="14090" max="14337" width="9.140625" style="375"/>
    <col min="14338" max="14338" width="51.7109375" style="375" customWidth="1"/>
    <col min="14339" max="14344" width="9.140625" style="375"/>
    <col min="14345" max="14345" width="11.28515625" style="375" customWidth="1"/>
    <col min="14346" max="14593" width="9.140625" style="375"/>
    <col min="14594" max="14594" width="51.7109375" style="375" customWidth="1"/>
    <col min="14595" max="14600" width="9.140625" style="375"/>
    <col min="14601" max="14601" width="11.28515625" style="375" customWidth="1"/>
    <col min="14602" max="14849" width="9.140625" style="375"/>
    <col min="14850" max="14850" width="51.7109375" style="375" customWidth="1"/>
    <col min="14851" max="14856" width="9.140625" style="375"/>
    <col min="14857" max="14857" width="11.28515625" style="375" customWidth="1"/>
    <col min="14858" max="15105" width="9.140625" style="375"/>
    <col min="15106" max="15106" width="51.7109375" style="375" customWidth="1"/>
    <col min="15107" max="15112" width="9.140625" style="375"/>
    <col min="15113" max="15113" width="11.28515625" style="375" customWidth="1"/>
    <col min="15114" max="15361" width="9.140625" style="375"/>
    <col min="15362" max="15362" width="51.7109375" style="375" customWidth="1"/>
    <col min="15363" max="15368" width="9.140625" style="375"/>
    <col min="15369" max="15369" width="11.28515625" style="375" customWidth="1"/>
    <col min="15370" max="15617" width="9.140625" style="375"/>
    <col min="15618" max="15618" width="51.7109375" style="375" customWidth="1"/>
    <col min="15619" max="15624" width="9.140625" style="375"/>
    <col min="15625" max="15625" width="11.28515625" style="375" customWidth="1"/>
    <col min="15626" max="15873" width="9.140625" style="375"/>
    <col min="15874" max="15874" width="51.7109375" style="375" customWidth="1"/>
    <col min="15875" max="15880" width="9.140625" style="375"/>
    <col min="15881" max="15881" width="11.28515625" style="375" customWidth="1"/>
    <col min="15882" max="16129" width="9.140625" style="375"/>
    <col min="16130" max="16130" width="51.7109375" style="375" customWidth="1"/>
    <col min="16131" max="16136" width="9.140625" style="375"/>
    <col min="16137" max="16137" width="11.28515625" style="375" customWidth="1"/>
    <col min="16138" max="16384" width="9.140625" style="375"/>
  </cols>
  <sheetData>
    <row r="1" spans="1:13" x14ac:dyDescent="0.25">
      <c r="A1" s="52"/>
      <c r="B1" s="155"/>
      <c r="C1" s="155"/>
      <c r="D1" s="155"/>
      <c r="E1" s="155"/>
      <c r="F1" s="155"/>
      <c r="G1" s="155"/>
      <c r="H1" s="52"/>
      <c r="I1" s="152" t="s">
        <v>301</v>
      </c>
      <c r="J1" s="1092" t="str">
        <f>EBNUMBER</f>
        <v>EB-2016-0066</v>
      </c>
    </row>
    <row r="2" spans="1:13" x14ac:dyDescent="0.25">
      <c r="A2" s="52"/>
      <c r="B2" s="155"/>
      <c r="C2" s="155"/>
      <c r="D2" s="155"/>
      <c r="E2" s="155"/>
      <c r="F2" s="155"/>
      <c r="G2" s="155"/>
      <c r="H2" s="52"/>
      <c r="I2" s="152" t="s">
        <v>302</v>
      </c>
      <c r="J2" s="51"/>
    </row>
    <row r="3" spans="1:13" x14ac:dyDescent="0.25">
      <c r="A3" s="52"/>
      <c r="B3" s="155"/>
      <c r="C3" s="155"/>
      <c r="D3" s="155"/>
      <c r="E3" s="155"/>
      <c r="F3" s="155"/>
      <c r="G3" s="155"/>
      <c r="H3" s="52"/>
      <c r="I3" s="152" t="s">
        <v>303</v>
      </c>
      <c r="J3" s="51"/>
    </row>
    <row r="4" spans="1:13" x14ac:dyDescent="0.25">
      <c r="A4" s="52"/>
      <c r="B4" s="155"/>
      <c r="C4" s="155"/>
      <c r="D4" s="155"/>
      <c r="E4" s="155"/>
      <c r="F4" s="155"/>
      <c r="G4" s="155"/>
      <c r="H4" s="52"/>
      <c r="I4" s="152" t="s">
        <v>304</v>
      </c>
      <c r="J4" s="51"/>
    </row>
    <row r="5" spans="1:13" x14ac:dyDescent="0.25">
      <c r="A5" s="52"/>
      <c r="B5" s="155"/>
      <c r="C5" s="155"/>
      <c r="D5" s="155"/>
      <c r="E5" s="155"/>
      <c r="F5" s="155"/>
      <c r="G5" s="155"/>
      <c r="H5" s="52"/>
      <c r="I5" s="152" t="s">
        <v>305</v>
      </c>
      <c r="J5" s="1093"/>
    </row>
    <row r="6" spans="1:13" x14ac:dyDescent="0.25">
      <c r="A6" s="52"/>
      <c r="B6" s="155"/>
      <c r="C6" s="155"/>
      <c r="D6" s="155"/>
      <c r="E6" s="155"/>
      <c r="F6" s="155"/>
      <c r="G6" s="155"/>
      <c r="H6" s="52"/>
      <c r="I6" s="152"/>
      <c r="J6" s="1092"/>
    </row>
    <row r="7" spans="1:13" x14ac:dyDescent="0.25">
      <c r="A7" s="52"/>
      <c r="B7" s="155"/>
      <c r="C7" s="155"/>
      <c r="D7" s="155"/>
      <c r="E7" s="155"/>
      <c r="F7" s="155"/>
      <c r="G7" s="155"/>
      <c r="H7" s="52"/>
      <c r="I7" s="152" t="s">
        <v>306</v>
      </c>
      <c r="J7" s="1093"/>
    </row>
    <row r="8" spans="1:13" x14ac:dyDescent="0.25">
      <c r="A8" s="52"/>
      <c r="B8" s="52"/>
      <c r="C8" s="52"/>
      <c r="D8" s="52"/>
      <c r="E8" s="52"/>
      <c r="F8" s="52"/>
      <c r="G8" s="52"/>
      <c r="H8" s="52"/>
      <c r="I8" s="52"/>
      <c r="J8" s="52"/>
    </row>
    <row r="9" spans="1:13" ht="18" x14ac:dyDescent="0.25">
      <c r="A9" s="1591" t="s">
        <v>1450</v>
      </c>
      <c r="B9" s="1728"/>
      <c r="C9" s="1728"/>
      <c r="D9" s="1728"/>
      <c r="E9" s="1728"/>
      <c r="F9" s="1728"/>
      <c r="G9" s="1728"/>
      <c r="H9" s="1728"/>
      <c r="I9" s="1728"/>
      <c r="J9" s="1728"/>
    </row>
    <row r="10" spans="1:13" ht="18" x14ac:dyDescent="0.25">
      <c r="A10" s="1591" t="s">
        <v>512</v>
      </c>
      <c r="B10" s="1729"/>
      <c r="C10" s="1729"/>
      <c r="D10" s="1729"/>
      <c r="E10" s="1729"/>
      <c r="F10" s="1729"/>
      <c r="G10" s="1729"/>
      <c r="H10" s="1729"/>
      <c r="I10" s="1729"/>
      <c r="J10" s="1729"/>
    </row>
    <row r="11" spans="1:13" ht="18" x14ac:dyDescent="0.25">
      <c r="A11" s="1591" t="s">
        <v>517</v>
      </c>
      <c r="B11" s="1729"/>
      <c r="C11" s="1729"/>
      <c r="D11" s="1729"/>
      <c r="E11" s="1729"/>
      <c r="F11" s="1729"/>
      <c r="G11" s="1729"/>
      <c r="H11" s="1729"/>
      <c r="I11" s="1729"/>
      <c r="J11" s="1729"/>
    </row>
    <row r="12" spans="1:13" x14ac:dyDescent="0.25">
      <c r="A12" s="52"/>
      <c r="B12" s="52"/>
      <c r="C12" s="52"/>
      <c r="D12" s="52"/>
      <c r="E12" s="52"/>
      <c r="F12" s="52"/>
      <c r="G12" s="52"/>
      <c r="H12" s="52"/>
      <c r="I12" s="52"/>
      <c r="J12" s="52"/>
    </row>
    <row r="13" spans="1:13" s="376" customFormat="1" ht="36" customHeight="1" x14ac:dyDescent="0.25">
      <c r="A13" s="1742" t="s">
        <v>1119</v>
      </c>
      <c r="B13" s="1742"/>
      <c r="C13" s="1742"/>
      <c r="D13" s="1742"/>
      <c r="E13" s="1742"/>
      <c r="F13" s="1742"/>
      <c r="G13" s="1742"/>
      <c r="H13" s="1742"/>
      <c r="I13" s="1742"/>
      <c r="J13" s="1742"/>
      <c r="K13" s="333"/>
      <c r="L13" s="333"/>
      <c r="M13" s="333"/>
    </row>
    <row r="14" spans="1:13" x14ac:dyDescent="0.25">
      <c r="A14" s="377"/>
      <c r="B14" s="377"/>
      <c r="C14" s="377"/>
      <c r="D14" s="377"/>
      <c r="E14" s="377"/>
      <c r="F14" s="377"/>
      <c r="G14" s="377"/>
      <c r="H14" s="377"/>
      <c r="I14" s="377"/>
      <c r="J14" s="377"/>
      <c r="K14" s="378"/>
      <c r="L14" s="378"/>
    </row>
    <row r="15" spans="1:13" x14ac:dyDescent="0.25">
      <c r="A15" s="1730"/>
      <c r="B15" s="1730"/>
      <c r="C15" s="1730"/>
      <c r="D15" s="1730"/>
      <c r="E15" s="1730"/>
      <c r="F15" s="1730"/>
      <c r="G15" s="1730"/>
      <c r="H15" s="1730"/>
      <c r="I15" s="1730"/>
      <c r="J15" s="1730"/>
      <c r="K15" s="378"/>
      <c r="L15" s="378"/>
    </row>
    <row r="16" spans="1:13" x14ac:dyDescent="0.25">
      <c r="A16" s="377"/>
      <c r="B16" s="377"/>
      <c r="C16" s="377"/>
      <c r="D16" s="377"/>
      <c r="E16" s="377"/>
      <c r="F16" s="377"/>
      <c r="G16" s="377"/>
      <c r="H16" s="377"/>
      <c r="I16" s="377"/>
      <c r="J16" s="377"/>
      <c r="K16" s="378"/>
      <c r="L16" s="378"/>
    </row>
    <row r="17" spans="1:8" ht="39" x14ac:dyDescent="0.25">
      <c r="A17" s="377"/>
      <c r="B17" s="379" t="s">
        <v>1091</v>
      </c>
      <c r="C17" s="379">
        <v>2013</v>
      </c>
      <c r="D17" s="379">
        <v>2014</v>
      </c>
      <c r="E17" s="379">
        <v>2015</v>
      </c>
      <c r="F17" s="379">
        <v>2016</v>
      </c>
      <c r="G17" s="379" t="s">
        <v>1090</v>
      </c>
      <c r="H17" s="378"/>
    </row>
    <row r="18" spans="1:8" ht="25.5" x14ac:dyDescent="0.25">
      <c r="A18" s="380" t="s">
        <v>103</v>
      </c>
      <c r="B18" s="381" t="s">
        <v>104</v>
      </c>
      <c r="C18" s="381" t="s">
        <v>104</v>
      </c>
      <c r="D18" s="381" t="s">
        <v>104</v>
      </c>
      <c r="E18" s="382" t="s">
        <v>1105</v>
      </c>
      <c r="F18" s="381" t="s">
        <v>105</v>
      </c>
      <c r="G18" s="382" t="s">
        <v>105</v>
      </c>
      <c r="H18" s="378"/>
    </row>
    <row r="19" spans="1:8" x14ac:dyDescent="0.25">
      <c r="A19" s="380"/>
      <c r="B19" s="381" t="s">
        <v>413</v>
      </c>
      <c r="C19" s="381" t="s">
        <v>413</v>
      </c>
      <c r="D19" s="381" t="s">
        <v>413</v>
      </c>
      <c r="E19" s="381" t="s">
        <v>413</v>
      </c>
      <c r="F19" s="381" t="s">
        <v>86</v>
      </c>
      <c r="G19" s="381" t="s">
        <v>86</v>
      </c>
      <c r="H19" s="378"/>
    </row>
    <row r="20" spans="1:8" x14ac:dyDescent="0.25">
      <c r="A20" s="377"/>
      <c r="B20" s="1114"/>
      <c r="C20" s="384" t="s">
        <v>170</v>
      </c>
      <c r="D20" s="384" t="s">
        <v>170</v>
      </c>
      <c r="E20" s="384"/>
      <c r="F20" s="384" t="s">
        <v>170</v>
      </c>
      <c r="G20" s="384"/>
      <c r="H20" s="378"/>
    </row>
    <row r="21" spans="1:8" x14ac:dyDescent="0.25">
      <c r="A21" s="380" t="s">
        <v>514</v>
      </c>
      <c r="B21" s="1726"/>
      <c r="C21" s="1726"/>
      <c r="D21" s="1726"/>
      <c r="E21" s="1726"/>
      <c r="F21" s="1726"/>
      <c r="G21" s="1727"/>
      <c r="H21" s="378"/>
    </row>
    <row r="22" spans="1:8" x14ac:dyDescent="0.25">
      <c r="A22" s="383" t="s">
        <v>415</v>
      </c>
      <c r="B22" s="409"/>
      <c r="C22" s="386"/>
      <c r="D22" s="389">
        <f>+C25</f>
        <v>0</v>
      </c>
      <c r="E22" s="389">
        <f>+D25</f>
        <v>0</v>
      </c>
      <c r="F22" s="389">
        <f>+D25</f>
        <v>0</v>
      </c>
      <c r="G22" s="385"/>
      <c r="H22" s="378"/>
    </row>
    <row r="23" spans="1:8" x14ac:dyDescent="0.25">
      <c r="A23" s="383" t="s">
        <v>730</v>
      </c>
      <c r="B23" s="409"/>
      <c r="C23" s="386"/>
      <c r="D23" s="386"/>
      <c r="E23" s="386"/>
      <c r="F23" s="410"/>
      <c r="G23" s="385"/>
      <c r="H23" s="378"/>
    </row>
    <row r="24" spans="1:8" x14ac:dyDescent="0.25">
      <c r="A24" s="383" t="s">
        <v>731</v>
      </c>
      <c r="B24" s="409"/>
      <c r="C24" s="386"/>
      <c r="D24" s="386"/>
      <c r="E24" s="386"/>
      <c r="F24" s="410"/>
      <c r="G24" s="385"/>
      <c r="H24" s="378"/>
    </row>
    <row r="25" spans="1:8" x14ac:dyDescent="0.25">
      <c r="A25" s="388" t="s">
        <v>416</v>
      </c>
      <c r="B25" s="409"/>
      <c r="C25" s="389">
        <f>C22+C23+C24</f>
        <v>0</v>
      </c>
      <c r="D25" s="389">
        <f>D22+D23+D24</f>
        <v>0</v>
      </c>
      <c r="E25" s="389">
        <f>E22+E23+E24</f>
        <v>0</v>
      </c>
      <c r="F25" s="389">
        <f>F22+F23+F24</f>
        <v>0</v>
      </c>
      <c r="G25" s="385"/>
      <c r="H25" s="378"/>
    </row>
    <row r="26" spans="1:8" x14ac:dyDescent="0.25">
      <c r="A26" s="377"/>
      <c r="B26" s="1734"/>
      <c r="C26" s="1734"/>
      <c r="D26" s="1734"/>
      <c r="E26" s="1734"/>
      <c r="F26" s="1734"/>
      <c r="G26" s="1735"/>
      <c r="H26" s="378"/>
    </row>
    <row r="27" spans="1:8" x14ac:dyDescent="0.25">
      <c r="A27" s="390" t="s">
        <v>515</v>
      </c>
      <c r="B27" s="1737"/>
      <c r="C27" s="1737"/>
      <c r="D27" s="1737"/>
      <c r="E27" s="1737"/>
      <c r="F27" s="1737"/>
      <c r="G27" s="1738"/>
      <c r="H27" s="378"/>
    </row>
    <row r="28" spans="1:8" x14ac:dyDescent="0.25">
      <c r="A28" s="383" t="s">
        <v>417</v>
      </c>
      <c r="B28" s="385"/>
      <c r="C28" s="391"/>
      <c r="D28" s="389">
        <f>+C31</f>
        <v>0</v>
      </c>
      <c r="E28" s="389">
        <f>+D31</f>
        <v>0</v>
      </c>
      <c r="F28" s="389">
        <f>+D31</f>
        <v>0</v>
      </c>
      <c r="G28" s="385"/>
      <c r="H28" s="378"/>
    </row>
    <row r="29" spans="1:8" x14ac:dyDescent="0.25">
      <c r="A29" s="383" t="s">
        <v>730</v>
      </c>
      <c r="B29" s="385"/>
      <c r="C29" s="391"/>
      <c r="D29" s="391"/>
      <c r="E29" s="391"/>
      <c r="F29" s="410"/>
      <c r="G29" s="385"/>
      <c r="H29" s="378"/>
    </row>
    <row r="30" spans="1:8" x14ac:dyDescent="0.25">
      <c r="A30" s="383" t="s">
        <v>731</v>
      </c>
      <c r="B30" s="385"/>
      <c r="C30" s="391"/>
      <c r="D30" s="391"/>
      <c r="E30" s="391"/>
      <c r="F30" s="410"/>
      <c r="G30" s="385"/>
      <c r="H30" s="378"/>
    </row>
    <row r="31" spans="1:8" x14ac:dyDescent="0.25">
      <c r="A31" s="388" t="s">
        <v>418</v>
      </c>
      <c r="B31" s="385"/>
      <c r="C31" s="389">
        <f>SUM(C28:C30)</f>
        <v>0</v>
      </c>
      <c r="D31" s="389">
        <f>SUM(D28:D30)</f>
        <v>0</v>
      </c>
      <c r="E31" s="389">
        <f>SUM(E28:E30)</f>
        <v>0</v>
      </c>
      <c r="F31" s="389">
        <f>SUM(F28:F30)</f>
        <v>0</v>
      </c>
      <c r="G31" s="385"/>
      <c r="H31" s="378"/>
    </row>
    <row r="32" spans="1:8" x14ac:dyDescent="0.25">
      <c r="A32" s="377"/>
      <c r="B32" s="1726"/>
      <c r="C32" s="1726"/>
      <c r="D32" s="1726"/>
      <c r="E32" s="1726"/>
      <c r="F32" s="1726"/>
      <c r="G32" s="1727"/>
      <c r="H32" s="378"/>
    </row>
    <row r="33" spans="1:12" ht="26.25" x14ac:dyDescent="0.25">
      <c r="A33" s="392" t="s">
        <v>737</v>
      </c>
      <c r="B33" s="385"/>
      <c r="C33" s="393">
        <f>C25-C31</f>
        <v>0</v>
      </c>
      <c r="D33" s="393">
        <f>D25-D31</f>
        <v>0</v>
      </c>
      <c r="E33" s="393">
        <f>E25-E31</f>
        <v>0</v>
      </c>
      <c r="F33" s="393">
        <f>F25-F31</f>
        <v>0</v>
      </c>
      <c r="G33" s="385"/>
      <c r="H33" s="378"/>
    </row>
    <row r="34" spans="1:12" x14ac:dyDescent="0.25">
      <c r="A34" s="380"/>
      <c r="B34" s="377"/>
      <c r="C34" s="394"/>
      <c r="D34" s="394"/>
      <c r="E34" s="394"/>
      <c r="F34" s="394"/>
      <c r="G34" s="394"/>
      <c r="H34" s="394"/>
      <c r="I34" s="394"/>
      <c r="J34" s="377"/>
      <c r="K34" s="378"/>
      <c r="L34" s="378"/>
    </row>
    <row r="35" spans="1:12" x14ac:dyDescent="0.25">
      <c r="A35" s="380"/>
      <c r="B35" s="377"/>
      <c r="C35" s="394"/>
      <c r="D35" s="394"/>
      <c r="E35" s="394"/>
      <c r="F35" s="394"/>
      <c r="G35" s="394"/>
      <c r="H35" s="394"/>
      <c r="I35" s="394"/>
      <c r="J35" s="377"/>
      <c r="K35" s="378"/>
      <c r="L35" s="378"/>
    </row>
    <row r="36" spans="1:12" x14ac:dyDescent="0.25">
      <c r="A36" s="380" t="s">
        <v>732</v>
      </c>
      <c r="B36" s="377"/>
      <c r="C36" s="394"/>
      <c r="D36" s="394"/>
      <c r="E36" s="394"/>
      <c r="F36" s="394"/>
      <c r="G36" s="394"/>
      <c r="H36" s="394"/>
      <c r="I36" s="394"/>
      <c r="J36" s="377"/>
      <c r="K36" s="378"/>
      <c r="L36" s="378"/>
    </row>
    <row r="37" spans="1:12" s="400" customFormat="1" x14ac:dyDescent="0.25">
      <c r="A37" s="395" t="s">
        <v>738</v>
      </c>
      <c r="B37" s="396"/>
      <c r="C37" s="396"/>
      <c r="D37" s="396"/>
      <c r="E37" s="396"/>
      <c r="F37" s="396"/>
      <c r="G37" s="397">
        <f>IF(ISERROR(F33), 0, F33)</f>
        <v>0</v>
      </c>
      <c r="H37" s="377"/>
      <c r="I37" s="398" t="s">
        <v>420</v>
      </c>
      <c r="J37" s="399"/>
      <c r="K37" s="378"/>
      <c r="L37" s="378"/>
    </row>
    <row r="38" spans="1:12" s="400" customFormat="1" ht="26.25" x14ac:dyDescent="0.25">
      <c r="A38" s="395" t="s">
        <v>739</v>
      </c>
      <c r="B38" s="396"/>
      <c r="C38" s="396"/>
      <c r="D38" s="396"/>
      <c r="E38" s="396"/>
      <c r="F38" s="396"/>
      <c r="G38" s="397">
        <f>F33*J37*J38</f>
        <v>0</v>
      </c>
      <c r="H38" s="1739" t="s">
        <v>733</v>
      </c>
      <c r="I38" s="1739"/>
      <c r="J38" s="1740"/>
      <c r="K38" s="401"/>
      <c r="L38" s="378"/>
    </row>
    <row r="39" spans="1:12" x14ac:dyDescent="0.25">
      <c r="A39" s="402" t="s">
        <v>734</v>
      </c>
      <c r="B39" s="403"/>
      <c r="C39" s="403"/>
      <c r="D39" s="403"/>
      <c r="E39" s="403"/>
      <c r="F39" s="403"/>
      <c r="G39" s="404">
        <f>G37+G38</f>
        <v>0</v>
      </c>
      <c r="H39" s="1739"/>
      <c r="I39" s="1739"/>
      <c r="J39" s="1741"/>
      <c r="K39" s="378"/>
      <c r="L39" s="378"/>
    </row>
    <row r="40" spans="1:12" x14ac:dyDescent="0.25">
      <c r="A40" s="380"/>
      <c r="B40" s="377"/>
      <c r="C40" s="377"/>
      <c r="D40" s="377"/>
      <c r="E40" s="377"/>
      <c r="F40" s="377"/>
      <c r="G40" s="411"/>
      <c r="H40" s="377"/>
      <c r="I40" s="377"/>
      <c r="J40" s="377"/>
      <c r="K40" s="378"/>
      <c r="L40" s="378"/>
    </row>
    <row r="41" spans="1:12" x14ac:dyDescent="0.25">
      <c r="A41" s="380" t="s">
        <v>11</v>
      </c>
      <c r="B41" s="377"/>
      <c r="C41" s="377"/>
      <c r="D41" s="377"/>
      <c r="E41" s="377"/>
      <c r="F41" s="377"/>
      <c r="G41" s="377"/>
      <c r="H41" s="377"/>
      <c r="I41" s="377"/>
      <c r="J41" s="377"/>
      <c r="K41" s="378"/>
      <c r="L41" s="378"/>
    </row>
    <row r="42" spans="1:12" ht="27.75" customHeight="1" x14ac:dyDescent="0.25">
      <c r="A42" s="1743" t="s">
        <v>518</v>
      </c>
      <c r="B42" s="1743"/>
      <c r="C42" s="1743"/>
      <c r="D42" s="1743"/>
      <c r="E42" s="1743"/>
      <c r="F42" s="1743"/>
      <c r="G42" s="1743"/>
      <c r="H42" s="1743"/>
      <c r="I42" s="1743"/>
      <c r="J42" s="1743"/>
      <c r="K42" s="1743"/>
      <c r="L42" s="378"/>
    </row>
    <row r="43" spans="1:12" x14ac:dyDescent="0.25">
      <c r="A43" s="377" t="s">
        <v>740</v>
      </c>
      <c r="B43" s="377"/>
      <c r="C43" s="377"/>
      <c r="D43" s="377"/>
      <c r="E43" s="377"/>
      <c r="F43" s="377"/>
      <c r="G43" s="377"/>
      <c r="H43" s="377"/>
      <c r="I43" s="377"/>
      <c r="J43" s="377"/>
      <c r="K43" s="378"/>
      <c r="L43" s="378"/>
    </row>
    <row r="44" spans="1:12" x14ac:dyDescent="0.25">
      <c r="A44" s="377" t="s">
        <v>1093</v>
      </c>
      <c r="B44" s="377"/>
      <c r="C44" s="377"/>
      <c r="D44" s="377"/>
      <c r="E44" s="377"/>
      <c r="F44" s="377"/>
      <c r="G44" s="377"/>
      <c r="H44" s="377"/>
      <c r="I44" s="377"/>
      <c r="J44" s="377"/>
      <c r="K44" s="378"/>
      <c r="L44" s="378"/>
    </row>
    <row r="45" spans="1:12" x14ac:dyDescent="0.25">
      <c r="A45" s="377" t="s">
        <v>421</v>
      </c>
      <c r="B45" s="377"/>
      <c r="C45" s="377"/>
      <c r="D45" s="377"/>
      <c r="E45" s="377"/>
      <c r="F45" s="377"/>
      <c r="G45" s="377"/>
      <c r="H45" s="377"/>
      <c r="I45" s="377"/>
      <c r="J45" s="377"/>
      <c r="K45" s="378"/>
      <c r="L45" s="378"/>
    </row>
    <row r="46" spans="1:12" x14ac:dyDescent="0.25">
      <c r="A46" s="1732" t="s">
        <v>741</v>
      </c>
      <c r="B46" s="1732"/>
      <c r="C46" s="1732"/>
      <c r="D46" s="1732"/>
      <c r="E46" s="1732"/>
      <c r="F46" s="1732"/>
      <c r="G46" s="1732"/>
      <c r="H46" s="1732"/>
      <c r="I46" s="1732"/>
      <c r="J46" s="377"/>
      <c r="K46" s="378"/>
      <c r="L46" s="378"/>
    </row>
    <row r="47" spans="1:12" x14ac:dyDescent="0.25">
      <c r="A47" s="377" t="s">
        <v>866</v>
      </c>
      <c r="B47" s="378"/>
      <c r="C47" s="378"/>
      <c r="D47" s="378"/>
      <c r="E47" s="378"/>
      <c r="F47" s="378"/>
      <c r="G47" s="378"/>
      <c r="H47" s="378"/>
      <c r="I47" s="378"/>
      <c r="J47" s="377"/>
      <c r="K47" s="378"/>
      <c r="L47" s="378"/>
    </row>
    <row r="48" spans="1:12" x14ac:dyDescent="0.25">
      <c r="A48" s="377" t="s">
        <v>1106</v>
      </c>
      <c r="B48" s="377"/>
      <c r="C48" s="377"/>
      <c r="D48" s="377"/>
      <c r="E48" s="377"/>
      <c r="F48" s="377"/>
      <c r="G48" s="377"/>
      <c r="H48" s="377"/>
      <c r="I48" s="377"/>
      <c r="J48" s="377"/>
      <c r="K48" s="378"/>
      <c r="L48" s="378"/>
    </row>
    <row r="49" spans="1:12" x14ac:dyDescent="0.25">
      <c r="A49" s="377"/>
      <c r="B49" s="377"/>
      <c r="C49" s="377"/>
      <c r="D49" s="377"/>
      <c r="E49" s="377"/>
      <c r="F49" s="377"/>
      <c r="G49" s="377"/>
      <c r="H49" s="377"/>
      <c r="I49" s="377"/>
      <c r="J49" s="377"/>
      <c r="K49" s="378"/>
      <c r="L49" s="378"/>
    </row>
    <row r="50" spans="1:12" x14ac:dyDescent="0.25">
      <c r="A50" s="377"/>
      <c r="B50" s="377"/>
      <c r="C50" s="377"/>
      <c r="D50" s="377"/>
      <c r="E50" s="377"/>
      <c r="F50" s="377"/>
      <c r="G50" s="377"/>
      <c r="H50" s="377"/>
      <c r="I50" s="377"/>
      <c r="J50" s="377"/>
      <c r="K50" s="378"/>
      <c r="L50" s="378"/>
    </row>
    <row r="51" spans="1:12" x14ac:dyDescent="0.25">
      <c r="A51" s="377"/>
      <c r="B51" s="377"/>
      <c r="C51" s="377"/>
      <c r="D51" s="377"/>
      <c r="E51" s="377"/>
      <c r="F51" s="377"/>
      <c r="G51" s="377"/>
      <c r="H51" s="377"/>
      <c r="I51" s="377"/>
      <c r="J51" s="377"/>
      <c r="K51" s="378"/>
      <c r="L51" s="378"/>
    </row>
    <row r="52" spans="1:12" x14ac:dyDescent="0.25">
      <c r="A52" s="377"/>
      <c r="B52" s="377"/>
      <c r="C52" s="377"/>
      <c r="D52" s="377"/>
      <c r="E52" s="377"/>
      <c r="F52" s="377"/>
      <c r="G52" s="377"/>
      <c r="H52" s="377"/>
      <c r="I52" s="377"/>
      <c r="J52" s="377"/>
      <c r="K52" s="378"/>
      <c r="L52" s="378"/>
    </row>
    <row r="53" spans="1:12" x14ac:dyDescent="0.25">
      <c r="A53" s="377"/>
      <c r="B53" s="377"/>
      <c r="C53" s="377"/>
      <c r="D53" s="377"/>
      <c r="E53" s="377"/>
      <c r="F53" s="377"/>
      <c r="G53" s="377"/>
      <c r="H53" s="377"/>
      <c r="I53" s="377"/>
      <c r="J53" s="377"/>
      <c r="K53" s="378"/>
      <c r="L53" s="378"/>
    </row>
    <row r="54" spans="1:12" x14ac:dyDescent="0.25">
      <c r="A54" s="377"/>
      <c r="B54" s="377"/>
      <c r="C54" s="377"/>
      <c r="D54" s="377"/>
      <c r="E54" s="377"/>
      <c r="F54" s="377"/>
      <c r="G54" s="377"/>
      <c r="H54" s="377"/>
      <c r="I54" s="377"/>
      <c r="J54" s="377"/>
      <c r="K54" s="378"/>
      <c r="L54" s="378"/>
    </row>
    <row r="55" spans="1:12" x14ac:dyDescent="0.25">
      <c r="A55" s="377"/>
      <c r="B55" s="378"/>
      <c r="C55" s="378"/>
      <c r="D55" s="378"/>
      <c r="E55" s="378"/>
      <c r="F55" s="378"/>
      <c r="G55" s="378"/>
      <c r="H55" s="378"/>
      <c r="I55" s="378"/>
      <c r="J55" s="378"/>
      <c r="K55" s="378"/>
      <c r="L55" s="378"/>
    </row>
  </sheetData>
  <mergeCells count="12">
    <mergeCell ref="A46:I46"/>
    <mergeCell ref="B21:G21"/>
    <mergeCell ref="B26:G27"/>
    <mergeCell ref="B32:G32"/>
    <mergeCell ref="H38:I39"/>
    <mergeCell ref="J38:J39"/>
    <mergeCell ref="A42:K42"/>
    <mergeCell ref="A9:J9"/>
    <mergeCell ref="A10:J10"/>
    <mergeCell ref="A11:J11"/>
    <mergeCell ref="A13:J13"/>
    <mergeCell ref="A15:J15"/>
  </mergeCells>
  <dataValidations count="1">
    <dataValidation allowBlank="1" showInputMessage="1" showErrorMessage="1" promptTitle="Date Format" prompt="E.g:  &quot;August 1, 2011&quot;" sqref="WVN983044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dataValidations>
  <pageMargins left="0.7" right="0.7" top="0.75" bottom="0.75" header="0.3" footer="0.3"/>
  <pageSetup scale="58" orientation="portrait" verticalDpi="2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00B0F0"/>
    <pageSetUpPr fitToPage="1"/>
  </sheetPr>
  <dimension ref="A1:N102"/>
  <sheetViews>
    <sheetView showGridLines="0" zoomScaleNormal="100" workbookViewId="0">
      <selection activeCell="A9" sqref="A9:K9"/>
    </sheetView>
  </sheetViews>
  <sheetFormatPr defaultColWidth="8.85546875" defaultRowHeight="15" x14ac:dyDescent="0.25"/>
  <cols>
    <col min="1" max="1" width="30.42578125" style="415" customWidth="1"/>
    <col min="2" max="2" width="11.85546875" style="415" customWidth="1"/>
    <col min="3" max="11" width="16.7109375" style="415" customWidth="1"/>
    <col min="12" max="16384" width="8.85546875" style="415"/>
  </cols>
  <sheetData>
    <row r="1" spans="1:14" s="375" customFormat="1" x14ac:dyDescent="0.25">
      <c r="A1" s="52"/>
      <c r="B1" s="52"/>
      <c r="C1" s="52"/>
      <c r="D1" s="52"/>
      <c r="J1" s="60" t="s">
        <v>301</v>
      </c>
      <c r="K1" s="1092" t="str">
        <f>EBNUMBER</f>
        <v>EB-2016-0066</v>
      </c>
    </row>
    <row r="2" spans="1:14" s="375" customFormat="1" x14ac:dyDescent="0.25">
      <c r="A2" s="52"/>
      <c r="B2" s="52"/>
      <c r="C2" s="52"/>
      <c r="D2" s="52"/>
      <c r="J2" s="60" t="s">
        <v>302</v>
      </c>
      <c r="K2" s="62"/>
    </row>
    <row r="3" spans="1:14" s="375" customFormat="1" x14ac:dyDescent="0.25">
      <c r="A3" s="52"/>
      <c r="B3" s="52"/>
      <c r="C3" s="52"/>
      <c r="D3" s="52"/>
      <c r="J3" s="60" t="s">
        <v>303</v>
      </c>
      <c r="K3" s="62"/>
    </row>
    <row r="4" spans="1:14" s="375" customFormat="1" x14ac:dyDescent="0.25">
      <c r="A4" s="412"/>
      <c r="B4" s="52"/>
      <c r="C4" s="52"/>
      <c r="D4" s="52"/>
      <c r="J4" s="60" t="s">
        <v>304</v>
      </c>
      <c r="K4" s="62"/>
    </row>
    <row r="5" spans="1:14" s="375" customFormat="1" x14ac:dyDescent="0.25">
      <c r="A5" s="52"/>
      <c r="B5" s="52"/>
      <c r="C5" s="52"/>
      <c r="D5" s="52"/>
      <c r="J5" s="60" t="s">
        <v>305</v>
      </c>
      <c r="K5" s="63"/>
    </row>
    <row r="6" spans="1:14" s="375" customFormat="1" x14ac:dyDescent="0.25">
      <c r="A6" s="52"/>
      <c r="B6" s="52"/>
      <c r="C6" s="52"/>
      <c r="D6" s="52"/>
      <c r="J6" s="60"/>
      <c r="K6" s="61"/>
    </row>
    <row r="7" spans="1:14" s="375" customFormat="1" x14ac:dyDescent="0.25">
      <c r="A7" s="52"/>
      <c r="B7" s="52"/>
      <c r="C7" s="52"/>
      <c r="D7" s="52"/>
      <c r="J7" s="60" t="s">
        <v>306</v>
      </c>
      <c r="K7" s="63"/>
    </row>
    <row r="8" spans="1:14" s="375" customFormat="1" x14ac:dyDescent="0.25">
      <c r="A8" s="56"/>
      <c r="B8" s="56"/>
      <c r="C8" s="56"/>
      <c r="D8" s="56"/>
      <c r="E8" s="56"/>
      <c r="F8" s="56"/>
      <c r="G8" s="56"/>
      <c r="H8" s="56"/>
      <c r="I8" s="56"/>
      <c r="L8" s="413"/>
      <c r="M8" s="413"/>
      <c r="N8" s="413"/>
    </row>
    <row r="9" spans="1:14" s="375" customFormat="1" ht="18" x14ac:dyDescent="0.25">
      <c r="A9" s="1591" t="s">
        <v>511</v>
      </c>
      <c r="B9" s="1591"/>
      <c r="C9" s="1591"/>
      <c r="D9" s="1591"/>
      <c r="E9" s="1591"/>
      <c r="F9" s="1591"/>
      <c r="G9" s="1591"/>
      <c r="H9" s="1591"/>
      <c r="I9" s="1591"/>
      <c r="J9" s="1591"/>
      <c r="K9" s="1591"/>
      <c r="L9" s="413"/>
      <c r="M9" s="413"/>
      <c r="N9" s="413"/>
    </row>
    <row r="10" spans="1:14" s="375" customFormat="1" ht="18" x14ac:dyDescent="0.25">
      <c r="A10" s="1591" t="s">
        <v>981</v>
      </c>
      <c r="B10" s="1591"/>
      <c r="C10" s="1591"/>
      <c r="D10" s="1591"/>
      <c r="E10" s="1591"/>
      <c r="F10" s="1591"/>
      <c r="G10" s="1591"/>
      <c r="H10" s="1591"/>
      <c r="I10" s="1591"/>
      <c r="J10" s="1591"/>
      <c r="K10" s="1591"/>
      <c r="L10" s="413"/>
      <c r="M10" s="413"/>
      <c r="N10" s="413"/>
    </row>
    <row r="11" spans="1:14" s="375" customFormat="1" ht="18" x14ac:dyDescent="0.25">
      <c r="A11" s="414"/>
      <c r="B11" s="414"/>
      <c r="C11" s="414"/>
      <c r="D11" s="414"/>
      <c r="E11" s="414"/>
      <c r="F11" s="414"/>
      <c r="G11" s="414"/>
      <c r="H11" s="414"/>
      <c r="I11" s="414"/>
      <c r="J11" s="414"/>
      <c r="K11" s="414"/>
      <c r="L11" s="413"/>
      <c r="M11" s="413"/>
      <c r="N11" s="413"/>
    </row>
    <row r="12" spans="1:14" x14ac:dyDescent="0.25">
      <c r="A12" s="1744" t="s">
        <v>982</v>
      </c>
      <c r="B12" s="1744"/>
      <c r="C12" s="1744"/>
      <c r="D12" s="1744"/>
      <c r="E12" s="1744"/>
      <c r="F12" s="1744"/>
      <c r="G12" s="1744"/>
      <c r="H12" s="43"/>
      <c r="I12" s="43"/>
    </row>
    <row r="13" spans="1:14" x14ac:dyDescent="0.25">
      <c r="A13" s="1744" t="s">
        <v>635</v>
      </c>
      <c r="B13" s="1744"/>
      <c r="C13" s="1744"/>
      <c r="D13" s="1744"/>
      <c r="E13" s="1744"/>
      <c r="F13" s="1744"/>
      <c r="G13" s="1744"/>
      <c r="H13" s="43"/>
      <c r="I13" s="43"/>
    </row>
    <row r="14" spans="1:14" x14ac:dyDescent="0.25">
      <c r="A14" s="1745" t="s">
        <v>648</v>
      </c>
      <c r="B14" s="1745"/>
      <c r="C14" s="1745"/>
      <c r="D14" s="1745"/>
      <c r="E14" s="1745"/>
      <c r="F14" s="1745"/>
      <c r="G14" s="43"/>
      <c r="H14" s="43"/>
      <c r="I14" s="43"/>
    </row>
    <row r="15" spans="1:14" x14ac:dyDescent="0.25">
      <c r="A15" s="1745" t="s">
        <v>649</v>
      </c>
      <c r="B15" s="1745"/>
      <c r="C15" s="1745"/>
      <c r="D15" s="1745"/>
      <c r="E15" s="1745"/>
      <c r="F15" s="1745"/>
      <c r="G15" s="43"/>
      <c r="H15" s="43"/>
      <c r="I15" s="43"/>
    </row>
    <row r="16" spans="1:14" ht="15.75" x14ac:dyDescent="0.25">
      <c r="A16" s="92"/>
      <c r="B16" s="43"/>
      <c r="C16" s="43"/>
      <c r="D16" s="43"/>
      <c r="E16" s="43"/>
      <c r="F16" s="43"/>
      <c r="G16" s="43"/>
      <c r="H16" s="43"/>
      <c r="I16" s="43"/>
    </row>
    <row r="17" spans="1:11" ht="15" customHeight="1" x14ac:dyDescent="0.25">
      <c r="A17" s="1556" t="s">
        <v>877</v>
      </c>
      <c r="B17" s="1556"/>
      <c r="C17" s="1556"/>
      <c r="D17" s="1556"/>
      <c r="E17" s="1556"/>
      <c r="F17" s="1556"/>
      <c r="G17" s="1556"/>
      <c r="H17" s="1556"/>
      <c r="I17" s="1556"/>
      <c r="J17" s="1556"/>
    </row>
    <row r="18" spans="1:11" ht="15.75" customHeight="1" x14ac:dyDescent="0.25">
      <c r="A18" s="1556" t="s">
        <v>1028</v>
      </c>
      <c r="B18" s="1556"/>
      <c r="C18" s="1556"/>
      <c r="D18" s="1556"/>
      <c r="E18" s="1556"/>
      <c r="F18" s="1556"/>
      <c r="G18" s="1556"/>
      <c r="H18" s="1556"/>
      <c r="I18" s="1556"/>
    </row>
    <row r="19" spans="1:11" ht="15.75" customHeight="1" x14ac:dyDescent="0.25">
      <c r="A19" s="1043"/>
      <c r="B19" s="1043"/>
      <c r="C19" s="1043"/>
      <c r="D19" s="1043"/>
      <c r="E19" s="1043"/>
      <c r="F19" s="1043"/>
      <c r="G19" s="1043"/>
      <c r="H19" s="1043"/>
      <c r="I19" s="1043"/>
    </row>
    <row r="20" spans="1:11" ht="15.75" customHeight="1" x14ac:dyDescent="0.25">
      <c r="A20" s="416" t="s">
        <v>983</v>
      </c>
      <c r="B20" s="1043"/>
      <c r="C20" s="1043"/>
      <c r="D20" s="1043"/>
      <c r="E20" s="1043"/>
      <c r="F20" s="1043"/>
      <c r="G20" s="1043"/>
      <c r="H20" s="1043"/>
      <c r="I20" s="1043"/>
    </row>
    <row r="21" spans="1:11" x14ac:dyDescent="0.25">
      <c r="A21" s="417" t="s">
        <v>984</v>
      </c>
      <c r="G21" s="43"/>
      <c r="H21" s="43"/>
      <c r="I21" s="43"/>
    </row>
    <row r="22" spans="1:11" x14ac:dyDescent="0.25">
      <c r="A22" s="418" t="s">
        <v>985</v>
      </c>
      <c r="G22" s="43"/>
      <c r="H22" s="43"/>
      <c r="I22" s="43"/>
    </row>
    <row r="23" spans="1:11" x14ac:dyDescent="0.25">
      <c r="A23" s="417" t="s">
        <v>986</v>
      </c>
      <c r="G23" s="43"/>
      <c r="H23" s="43"/>
      <c r="I23" s="43"/>
    </row>
    <row r="24" spans="1:11" x14ac:dyDescent="0.25">
      <c r="A24" s="419" t="s">
        <v>987</v>
      </c>
      <c r="G24" s="43"/>
      <c r="H24" s="43"/>
      <c r="I24" s="43"/>
    </row>
    <row r="25" spans="1:11" ht="12.75" customHeight="1" x14ac:dyDescent="0.25">
      <c r="A25" s="419" t="s">
        <v>988</v>
      </c>
      <c r="G25" s="43"/>
      <c r="H25" s="43"/>
      <c r="I25" s="43"/>
    </row>
    <row r="26" spans="1:11" ht="12.75" customHeight="1" x14ac:dyDescent="0.25">
      <c r="A26" s="419"/>
      <c r="G26" s="43"/>
      <c r="H26" s="43"/>
      <c r="I26" s="43"/>
    </row>
    <row r="27" spans="1:11" x14ac:dyDescent="0.25">
      <c r="A27" s="1246" t="s">
        <v>1179</v>
      </c>
      <c r="G27" s="43"/>
      <c r="H27" s="43"/>
      <c r="I27" s="43"/>
    </row>
    <row r="28" spans="1:11" x14ac:dyDescent="0.25">
      <c r="A28" s="417" t="s">
        <v>989</v>
      </c>
      <c r="G28" s="43"/>
      <c r="H28" s="43"/>
      <c r="I28" s="43"/>
    </row>
    <row r="29" spans="1:11" x14ac:dyDescent="0.25">
      <c r="A29" s="420"/>
      <c r="G29" s="43"/>
      <c r="H29" s="43"/>
      <c r="I29" s="43"/>
    </row>
    <row r="30" spans="1:11" ht="18" x14ac:dyDescent="0.25">
      <c r="A30" s="421" t="s">
        <v>636</v>
      </c>
      <c r="B30" s="83"/>
      <c r="C30" s="83"/>
      <c r="D30" s="83"/>
      <c r="E30" s="83"/>
      <c r="F30" s="83"/>
      <c r="G30" s="422" t="s">
        <v>314</v>
      </c>
      <c r="I30" s="83"/>
    </row>
    <row r="31" spans="1:11" x14ac:dyDescent="0.25">
      <c r="A31" s="423" t="s">
        <v>637</v>
      </c>
      <c r="B31" s="83"/>
      <c r="C31" s="424">
        <f>D31-1</f>
        <v>2013</v>
      </c>
      <c r="D31" s="424">
        <f>E31-1</f>
        <v>2014</v>
      </c>
      <c r="E31" s="424">
        <f>F31-1</f>
        <v>2015</v>
      </c>
      <c r="F31" s="424">
        <f>G31-1</f>
        <v>2016</v>
      </c>
      <c r="G31" s="424">
        <f>TestYear</f>
        <v>2017</v>
      </c>
      <c r="H31" s="424">
        <f>G31+1</f>
        <v>2018</v>
      </c>
      <c r="I31" s="424">
        <f>H31+1</f>
        <v>2019</v>
      </c>
      <c r="J31" s="424">
        <f>I31+1</f>
        <v>2020</v>
      </c>
      <c r="K31" s="424">
        <f>J31+1</f>
        <v>2021</v>
      </c>
    </row>
    <row r="32" spans="1:11" x14ac:dyDescent="0.25">
      <c r="A32" s="60" t="s">
        <v>638</v>
      </c>
      <c r="B32" s="83"/>
      <c r="C32" s="83"/>
      <c r="D32" s="83"/>
      <c r="E32" s="83"/>
      <c r="F32" s="83"/>
      <c r="G32" s="83"/>
      <c r="H32" s="83"/>
      <c r="I32" s="83"/>
      <c r="J32" s="83"/>
      <c r="K32" s="83"/>
    </row>
    <row r="33" spans="1:11" x14ac:dyDescent="0.25">
      <c r="A33" s="425" t="s">
        <v>876</v>
      </c>
      <c r="B33" s="83"/>
      <c r="C33" s="83"/>
      <c r="D33" s="83"/>
      <c r="E33" s="83"/>
      <c r="F33" s="83"/>
      <c r="G33" s="83"/>
      <c r="H33" s="83"/>
      <c r="I33" s="83"/>
      <c r="J33" s="83"/>
      <c r="K33" s="83"/>
    </row>
    <row r="34" spans="1:11" x14ac:dyDescent="0.25">
      <c r="A34" s="83" t="s">
        <v>639</v>
      </c>
      <c r="B34" s="83"/>
      <c r="C34" s="426">
        <v>0</v>
      </c>
      <c r="D34" s="426">
        <v>0</v>
      </c>
      <c r="E34" s="426">
        <v>0</v>
      </c>
      <c r="F34" s="426">
        <v>0</v>
      </c>
      <c r="G34" s="426">
        <v>0</v>
      </c>
      <c r="H34" s="426">
        <v>0</v>
      </c>
      <c r="I34" s="426">
        <v>0</v>
      </c>
      <c r="J34" s="426">
        <v>0</v>
      </c>
      <c r="K34" s="426">
        <v>0</v>
      </c>
    </row>
    <row r="35" spans="1:11" x14ac:dyDescent="0.25">
      <c r="A35" s="83" t="s">
        <v>640</v>
      </c>
      <c r="B35" s="83"/>
      <c r="C35" s="426">
        <v>0</v>
      </c>
      <c r="D35" s="426">
        <v>0</v>
      </c>
      <c r="E35" s="426">
        <v>0</v>
      </c>
      <c r="F35" s="426">
        <v>0</v>
      </c>
      <c r="G35" s="426">
        <v>0</v>
      </c>
      <c r="H35" s="426">
        <v>0</v>
      </c>
      <c r="I35" s="426">
        <v>0</v>
      </c>
      <c r="J35" s="426">
        <v>0</v>
      </c>
      <c r="K35" s="426">
        <v>0</v>
      </c>
    </row>
    <row r="36" spans="1:11" x14ac:dyDescent="0.25">
      <c r="A36" s="83" t="s">
        <v>641</v>
      </c>
      <c r="B36" s="83"/>
      <c r="C36" s="426">
        <v>0</v>
      </c>
      <c r="D36" s="426">
        <v>0</v>
      </c>
      <c r="E36" s="426">
        <v>0</v>
      </c>
      <c r="F36" s="426">
        <v>0</v>
      </c>
      <c r="G36" s="426">
        <v>0</v>
      </c>
      <c r="H36" s="426">
        <v>0</v>
      </c>
      <c r="I36" s="426">
        <v>0</v>
      </c>
      <c r="J36" s="426">
        <v>0</v>
      </c>
      <c r="K36" s="426">
        <v>0</v>
      </c>
    </row>
    <row r="37" spans="1:11" x14ac:dyDescent="0.25">
      <c r="A37" s="83"/>
      <c r="B37" s="83"/>
      <c r="C37" s="83"/>
      <c r="D37" s="83"/>
      <c r="E37" s="83"/>
      <c r="F37" s="83"/>
      <c r="G37" s="83"/>
      <c r="H37" s="83"/>
      <c r="I37" s="83"/>
      <c r="J37" s="83"/>
      <c r="K37" s="83"/>
    </row>
    <row r="38" spans="1:11" x14ac:dyDescent="0.25">
      <c r="A38" s="60" t="s">
        <v>642</v>
      </c>
      <c r="B38" s="83"/>
      <c r="C38" s="83"/>
      <c r="D38" s="83"/>
      <c r="E38" s="83"/>
      <c r="F38" s="83"/>
      <c r="G38" s="83"/>
      <c r="H38" s="83"/>
      <c r="I38" s="83"/>
      <c r="J38" s="83"/>
      <c r="K38" s="83"/>
    </row>
    <row r="39" spans="1:11" x14ac:dyDescent="0.25">
      <c r="A39" s="425" t="s">
        <v>876</v>
      </c>
      <c r="B39" s="83"/>
      <c r="C39" s="83"/>
      <c r="D39" s="83"/>
      <c r="E39" s="83"/>
      <c r="F39" s="83"/>
      <c r="G39" s="83"/>
      <c r="H39" s="83"/>
      <c r="I39" s="83"/>
      <c r="J39" s="83"/>
      <c r="K39" s="83"/>
    </row>
    <row r="40" spans="1:11" x14ac:dyDescent="0.25">
      <c r="A40" s="83" t="s">
        <v>639</v>
      </c>
      <c r="B40" s="83"/>
      <c r="C40" s="426">
        <v>0</v>
      </c>
      <c r="D40" s="426">
        <v>0</v>
      </c>
      <c r="E40" s="426">
        <v>0</v>
      </c>
      <c r="F40" s="426">
        <v>0</v>
      </c>
      <c r="G40" s="426">
        <v>0</v>
      </c>
      <c r="H40" s="426">
        <v>0</v>
      </c>
      <c r="I40" s="426">
        <v>0</v>
      </c>
      <c r="J40" s="426">
        <v>0</v>
      </c>
      <c r="K40" s="426">
        <v>0</v>
      </c>
    </row>
    <row r="41" spans="1:11" x14ac:dyDescent="0.25">
      <c r="A41" s="83" t="s">
        <v>640</v>
      </c>
      <c r="B41" s="83"/>
      <c r="C41" s="426">
        <v>0</v>
      </c>
      <c r="D41" s="426">
        <v>0</v>
      </c>
      <c r="E41" s="426">
        <v>0</v>
      </c>
      <c r="F41" s="426">
        <v>0</v>
      </c>
      <c r="G41" s="426">
        <v>0</v>
      </c>
      <c r="H41" s="426">
        <v>0</v>
      </c>
      <c r="I41" s="426">
        <v>0</v>
      </c>
      <c r="J41" s="426">
        <v>0</v>
      </c>
      <c r="K41" s="426">
        <v>0</v>
      </c>
    </row>
    <row r="42" spans="1:11" x14ac:dyDescent="0.25">
      <c r="A42" s="83" t="s">
        <v>641</v>
      </c>
      <c r="B42" s="83"/>
      <c r="C42" s="426">
        <v>0</v>
      </c>
      <c r="D42" s="426">
        <v>0</v>
      </c>
      <c r="E42" s="426">
        <v>0</v>
      </c>
      <c r="F42" s="426">
        <v>0</v>
      </c>
      <c r="G42" s="426">
        <v>0</v>
      </c>
      <c r="H42" s="426">
        <v>0</v>
      </c>
      <c r="I42" s="426">
        <v>0</v>
      </c>
      <c r="J42" s="426">
        <v>0</v>
      </c>
      <c r="K42" s="426">
        <v>0</v>
      </c>
    </row>
    <row r="43" spans="1:11" x14ac:dyDescent="0.25">
      <c r="A43" s="83"/>
      <c r="B43" s="83"/>
      <c r="C43" s="83"/>
      <c r="D43" s="83"/>
      <c r="E43" s="83"/>
      <c r="F43" s="83"/>
      <c r="G43" s="83"/>
      <c r="H43" s="83"/>
      <c r="I43" s="83"/>
      <c r="J43" s="83"/>
      <c r="K43" s="83"/>
    </row>
    <row r="44" spans="1:11" x14ac:dyDescent="0.25">
      <c r="A44" s="60" t="s">
        <v>643</v>
      </c>
      <c r="B44" s="83"/>
      <c r="C44" s="83"/>
      <c r="D44" s="83"/>
      <c r="E44" s="83"/>
      <c r="F44" s="83"/>
      <c r="G44" s="83"/>
      <c r="H44" s="83"/>
      <c r="I44" s="83"/>
      <c r="J44" s="83"/>
      <c r="K44" s="83"/>
    </row>
    <row r="45" spans="1:11" x14ac:dyDescent="0.25">
      <c r="A45" s="425" t="s">
        <v>876</v>
      </c>
      <c r="B45" s="83"/>
      <c r="C45" s="83"/>
      <c r="D45" s="83"/>
      <c r="E45" s="83"/>
      <c r="F45" s="83"/>
      <c r="G45" s="83"/>
      <c r="H45" s="83"/>
      <c r="I45" s="83"/>
      <c r="J45" s="83"/>
      <c r="K45" s="83"/>
    </row>
    <row r="46" spans="1:11" x14ac:dyDescent="0.25">
      <c r="A46" s="83" t="s">
        <v>639</v>
      </c>
      <c r="B46" s="83"/>
      <c r="C46" s="426">
        <v>0</v>
      </c>
      <c r="D46" s="426">
        <v>0</v>
      </c>
      <c r="E46" s="426">
        <v>0</v>
      </c>
      <c r="F46" s="426">
        <v>0</v>
      </c>
      <c r="G46" s="426">
        <v>0</v>
      </c>
      <c r="H46" s="426">
        <v>0</v>
      </c>
      <c r="I46" s="426">
        <v>0</v>
      </c>
      <c r="J46" s="426">
        <v>0</v>
      </c>
      <c r="K46" s="426">
        <v>0</v>
      </c>
    </row>
    <row r="47" spans="1:11" x14ac:dyDescent="0.25">
      <c r="A47" s="83" t="s">
        <v>640</v>
      </c>
      <c r="B47" s="83"/>
      <c r="C47" s="426">
        <v>0</v>
      </c>
      <c r="D47" s="426">
        <v>0</v>
      </c>
      <c r="E47" s="426">
        <v>0</v>
      </c>
      <c r="F47" s="426">
        <v>0</v>
      </c>
      <c r="G47" s="426">
        <v>0</v>
      </c>
      <c r="H47" s="426">
        <v>0</v>
      </c>
      <c r="I47" s="426">
        <v>0</v>
      </c>
      <c r="J47" s="426">
        <v>0</v>
      </c>
      <c r="K47" s="426">
        <v>0</v>
      </c>
    </row>
    <row r="48" spans="1:11" x14ac:dyDescent="0.25">
      <c r="A48" s="83" t="s">
        <v>641</v>
      </c>
      <c r="B48" s="83"/>
      <c r="C48" s="426">
        <v>0</v>
      </c>
      <c r="D48" s="426">
        <v>0</v>
      </c>
      <c r="E48" s="426">
        <v>0</v>
      </c>
      <c r="F48" s="426">
        <v>0</v>
      </c>
      <c r="G48" s="426">
        <v>0</v>
      </c>
      <c r="H48" s="426">
        <v>0</v>
      </c>
      <c r="I48" s="426">
        <v>0</v>
      </c>
      <c r="J48" s="426">
        <v>0</v>
      </c>
      <c r="K48" s="426">
        <v>0</v>
      </c>
    </row>
    <row r="49" spans="1:12" x14ac:dyDescent="0.25">
      <c r="A49" s="83"/>
      <c r="B49" s="83"/>
      <c r="C49" s="83"/>
      <c r="D49" s="83"/>
      <c r="E49" s="83"/>
      <c r="F49" s="83"/>
      <c r="G49" s="83"/>
      <c r="H49" s="83"/>
      <c r="I49" s="83"/>
      <c r="J49" s="83"/>
      <c r="K49" s="83"/>
    </row>
    <row r="50" spans="1:12" x14ac:dyDescent="0.25">
      <c r="A50" s="60" t="s">
        <v>644</v>
      </c>
      <c r="B50" s="83"/>
      <c r="C50" s="83"/>
      <c r="D50" s="83"/>
      <c r="E50" s="83"/>
      <c r="F50" s="83"/>
      <c r="G50" s="83"/>
      <c r="H50" s="83"/>
      <c r="I50" s="83"/>
      <c r="J50" s="83"/>
      <c r="K50" s="83"/>
    </row>
    <row r="51" spans="1:12" x14ac:dyDescent="0.25">
      <c r="A51" s="425" t="s">
        <v>876</v>
      </c>
      <c r="B51" s="83"/>
      <c r="C51" s="83"/>
      <c r="D51" s="83"/>
      <c r="E51" s="83"/>
      <c r="F51" s="83"/>
      <c r="G51" s="83"/>
      <c r="H51" s="83"/>
      <c r="I51" s="83"/>
      <c r="J51" s="83"/>
      <c r="K51" s="83"/>
    </row>
    <row r="52" spans="1:12" x14ac:dyDescent="0.25">
      <c r="A52" s="83" t="s">
        <v>639</v>
      </c>
      <c r="B52" s="83"/>
      <c r="C52" s="426">
        <v>0</v>
      </c>
      <c r="D52" s="426">
        <v>0</v>
      </c>
      <c r="E52" s="426">
        <v>0</v>
      </c>
      <c r="F52" s="426">
        <v>0</v>
      </c>
      <c r="G52" s="426">
        <v>0</v>
      </c>
      <c r="H52" s="426">
        <v>0</v>
      </c>
      <c r="I52" s="426">
        <v>0</v>
      </c>
      <c r="J52" s="426">
        <v>0</v>
      </c>
      <c r="K52" s="426">
        <v>0</v>
      </c>
    </row>
    <row r="53" spans="1:12" x14ac:dyDescent="0.25">
      <c r="A53" s="83" t="s">
        <v>640</v>
      </c>
      <c r="B53" s="83"/>
      <c r="C53" s="426">
        <v>0</v>
      </c>
      <c r="D53" s="426">
        <v>0</v>
      </c>
      <c r="E53" s="426">
        <v>0</v>
      </c>
      <c r="F53" s="426">
        <v>0</v>
      </c>
      <c r="G53" s="426">
        <v>0</v>
      </c>
      <c r="H53" s="426">
        <v>0</v>
      </c>
      <c r="I53" s="426">
        <v>0</v>
      </c>
      <c r="J53" s="426">
        <v>0</v>
      </c>
      <c r="K53" s="426">
        <v>0</v>
      </c>
    </row>
    <row r="54" spans="1:12" x14ac:dyDescent="0.25">
      <c r="A54" s="83" t="s">
        <v>641</v>
      </c>
      <c r="B54" s="83"/>
      <c r="C54" s="426">
        <v>0</v>
      </c>
      <c r="D54" s="426">
        <v>0</v>
      </c>
      <c r="E54" s="426">
        <v>0</v>
      </c>
      <c r="F54" s="426">
        <v>0</v>
      </c>
      <c r="G54" s="426">
        <v>0</v>
      </c>
      <c r="H54" s="426">
        <v>0</v>
      </c>
      <c r="I54" s="426">
        <v>0</v>
      </c>
      <c r="J54" s="426">
        <v>0</v>
      </c>
      <c r="K54" s="426">
        <v>0</v>
      </c>
    </row>
    <row r="55" spans="1:12" x14ac:dyDescent="0.25">
      <c r="A55" s="83"/>
      <c r="B55" s="83"/>
      <c r="C55" s="83"/>
      <c r="D55" s="83"/>
      <c r="E55" s="83"/>
      <c r="F55" s="83"/>
      <c r="G55" s="83"/>
      <c r="H55" s="83"/>
      <c r="I55" s="83"/>
      <c r="J55" s="83"/>
      <c r="K55" s="83"/>
    </row>
    <row r="56" spans="1:12" x14ac:dyDescent="0.25">
      <c r="A56" s="60" t="s">
        <v>645</v>
      </c>
      <c r="B56" s="83"/>
      <c r="C56" s="83"/>
      <c r="D56" s="83"/>
      <c r="E56" s="83"/>
      <c r="F56" s="83"/>
      <c r="G56" s="83"/>
      <c r="H56" s="83"/>
      <c r="I56" s="83"/>
      <c r="J56" s="83"/>
      <c r="K56" s="83"/>
    </row>
    <row r="57" spans="1:12" x14ac:dyDescent="0.25">
      <c r="A57" s="425" t="s">
        <v>876</v>
      </c>
      <c r="B57" s="83"/>
      <c r="C57" s="83"/>
      <c r="D57" s="83"/>
      <c r="E57" s="83"/>
      <c r="F57" s="83"/>
      <c r="G57" s="83"/>
      <c r="H57" s="83"/>
      <c r="I57" s="83"/>
      <c r="J57" s="83"/>
      <c r="K57" s="83"/>
    </row>
    <row r="58" spans="1:12" x14ac:dyDescent="0.25">
      <c r="A58" s="83" t="s">
        <v>639</v>
      </c>
      <c r="B58" s="83"/>
      <c r="C58" s="426">
        <v>0</v>
      </c>
      <c r="D58" s="426">
        <v>0</v>
      </c>
      <c r="E58" s="426">
        <v>0</v>
      </c>
      <c r="F58" s="426">
        <v>0</v>
      </c>
      <c r="G58" s="426">
        <v>0</v>
      </c>
      <c r="H58" s="426">
        <v>0</v>
      </c>
      <c r="I58" s="426">
        <v>0</v>
      </c>
      <c r="J58" s="426">
        <v>0</v>
      </c>
      <c r="K58" s="426">
        <v>0</v>
      </c>
    </row>
    <row r="59" spans="1:12" x14ac:dyDescent="0.25">
      <c r="A59" s="83" t="s">
        <v>640</v>
      </c>
      <c r="B59" s="83"/>
      <c r="C59" s="426">
        <v>0</v>
      </c>
      <c r="D59" s="426">
        <v>0</v>
      </c>
      <c r="E59" s="426">
        <v>0</v>
      </c>
      <c r="F59" s="426">
        <v>0</v>
      </c>
      <c r="G59" s="426">
        <v>0</v>
      </c>
      <c r="H59" s="426">
        <v>0</v>
      </c>
      <c r="I59" s="426">
        <v>0</v>
      </c>
      <c r="J59" s="426">
        <v>0</v>
      </c>
      <c r="K59" s="426">
        <v>0</v>
      </c>
    </row>
    <row r="60" spans="1:12" x14ac:dyDescent="0.25">
      <c r="A60" s="83" t="s">
        <v>641</v>
      </c>
      <c r="B60" s="83"/>
      <c r="C60" s="426">
        <v>0</v>
      </c>
      <c r="D60" s="426">
        <v>0</v>
      </c>
      <c r="E60" s="426">
        <v>0</v>
      </c>
      <c r="F60" s="426">
        <v>0</v>
      </c>
      <c r="G60" s="426">
        <v>0</v>
      </c>
      <c r="H60" s="426">
        <v>0</v>
      </c>
      <c r="I60" s="426">
        <v>0</v>
      </c>
      <c r="J60" s="426">
        <v>0</v>
      </c>
      <c r="K60" s="426">
        <v>0</v>
      </c>
    </row>
    <row r="61" spans="1:12" x14ac:dyDescent="0.25">
      <c r="A61" s="83"/>
      <c r="B61" s="83"/>
      <c r="C61" s="427"/>
      <c r="D61" s="427"/>
      <c r="E61" s="427"/>
      <c r="F61" s="427"/>
      <c r="G61" s="427"/>
      <c r="H61" s="427"/>
      <c r="I61" s="427"/>
      <c r="J61" s="427"/>
      <c r="K61" s="427"/>
      <c r="L61" s="427"/>
    </row>
    <row r="62" spans="1:12" x14ac:dyDescent="0.25">
      <c r="A62" s="60" t="s">
        <v>872</v>
      </c>
      <c r="B62" s="60"/>
      <c r="C62" s="428">
        <f t="shared" ref="C62:F64" si="0">SUM(C58,C52,C46,C40,C34)</f>
        <v>0</v>
      </c>
      <c r="D62" s="428">
        <f t="shared" si="0"/>
        <v>0</v>
      </c>
      <c r="E62" s="428">
        <f t="shared" si="0"/>
        <v>0</v>
      </c>
      <c r="F62" s="428">
        <f t="shared" si="0"/>
        <v>0</v>
      </c>
      <c r="G62" s="428">
        <f>SUM(G58,G52,G46,G40,G34)</f>
        <v>0</v>
      </c>
      <c r="H62" s="428">
        <f t="shared" ref="H62:K64" si="1">SUM(H58,H52,H46,H40,H34)</f>
        <v>0</v>
      </c>
      <c r="I62" s="428">
        <f t="shared" si="1"/>
        <v>0</v>
      </c>
      <c r="J62" s="428">
        <f t="shared" si="1"/>
        <v>0</v>
      </c>
      <c r="K62" s="428">
        <f t="shared" si="1"/>
        <v>0</v>
      </c>
      <c r="L62" s="427"/>
    </row>
    <row r="63" spans="1:12" x14ac:dyDescent="0.25">
      <c r="A63" s="60" t="s">
        <v>873</v>
      </c>
      <c r="B63" s="60"/>
      <c r="C63" s="428">
        <f t="shared" si="0"/>
        <v>0</v>
      </c>
      <c r="D63" s="428">
        <f t="shared" si="0"/>
        <v>0</v>
      </c>
      <c r="E63" s="428">
        <f t="shared" si="0"/>
        <v>0</v>
      </c>
      <c r="F63" s="428">
        <f t="shared" si="0"/>
        <v>0</v>
      </c>
      <c r="G63" s="428">
        <f>SUM(G59,G53,G47,G41,G35)</f>
        <v>0</v>
      </c>
      <c r="H63" s="428">
        <f t="shared" si="1"/>
        <v>0</v>
      </c>
      <c r="I63" s="428">
        <f t="shared" si="1"/>
        <v>0</v>
      </c>
      <c r="J63" s="428">
        <f t="shared" si="1"/>
        <v>0</v>
      </c>
      <c r="K63" s="428">
        <f t="shared" si="1"/>
        <v>0</v>
      </c>
      <c r="L63" s="427"/>
    </row>
    <row r="64" spans="1:12" x14ac:dyDescent="0.25">
      <c r="A64" s="60" t="s">
        <v>874</v>
      </c>
      <c r="B64" s="429"/>
      <c r="C64" s="430">
        <f t="shared" si="0"/>
        <v>0</v>
      </c>
      <c r="D64" s="430">
        <f t="shared" si="0"/>
        <v>0</v>
      </c>
      <c r="E64" s="430">
        <f t="shared" si="0"/>
        <v>0</v>
      </c>
      <c r="F64" s="430">
        <f t="shared" si="0"/>
        <v>0</v>
      </c>
      <c r="G64" s="430">
        <f>SUM(G60,G54,G48,G42,G36)</f>
        <v>0</v>
      </c>
      <c r="H64" s="430">
        <f t="shared" si="1"/>
        <v>0</v>
      </c>
      <c r="I64" s="430">
        <f t="shared" si="1"/>
        <v>0</v>
      </c>
      <c r="J64" s="430">
        <f t="shared" si="1"/>
        <v>0</v>
      </c>
      <c r="K64" s="430">
        <f t="shared" si="1"/>
        <v>0</v>
      </c>
    </row>
    <row r="65" spans="1:11" ht="6" customHeight="1" x14ac:dyDescent="0.25">
      <c r="A65" s="431"/>
      <c r="B65" s="432"/>
      <c r="C65" s="433"/>
      <c r="D65" s="433"/>
      <c r="E65" s="433"/>
      <c r="F65" s="433"/>
      <c r="G65" s="433"/>
      <c r="H65" s="433"/>
      <c r="I65" s="431"/>
      <c r="J65" s="434"/>
      <c r="K65" s="433"/>
    </row>
    <row r="66" spans="1:11" x14ac:dyDescent="0.25">
      <c r="A66" s="121"/>
      <c r="B66" s="435"/>
      <c r="C66" s="195"/>
      <c r="D66" s="195"/>
      <c r="E66" s="195"/>
      <c r="F66" s="195"/>
      <c r="G66" s="195"/>
      <c r="H66" s="195"/>
      <c r="I66" s="121"/>
      <c r="J66" s="435"/>
      <c r="K66" s="195"/>
    </row>
    <row r="67" spans="1:11" ht="18" x14ac:dyDescent="0.25">
      <c r="A67" s="421" t="s">
        <v>646</v>
      </c>
      <c r="B67" s="83"/>
      <c r="C67" s="83"/>
      <c r="D67" s="83"/>
      <c r="E67" s="83"/>
      <c r="F67" s="83"/>
      <c r="G67" s="422" t="s">
        <v>314</v>
      </c>
      <c r="H67" s="83"/>
      <c r="I67" s="83"/>
      <c r="J67" s="83"/>
      <c r="K67" s="83"/>
    </row>
    <row r="68" spans="1:11" x14ac:dyDescent="0.25">
      <c r="A68" s="423" t="s">
        <v>647</v>
      </c>
      <c r="B68" s="83"/>
      <c r="C68" s="424">
        <f>D68-1</f>
        <v>2013</v>
      </c>
      <c r="D68" s="424">
        <f>E68-1</f>
        <v>2014</v>
      </c>
      <c r="E68" s="424">
        <f>F68-1</f>
        <v>2015</v>
      </c>
      <c r="F68" s="424">
        <f>G68-1</f>
        <v>2016</v>
      </c>
      <c r="G68" s="424">
        <f>TestYear</f>
        <v>2017</v>
      </c>
      <c r="H68" s="424">
        <f>G68+1</f>
        <v>2018</v>
      </c>
      <c r="I68" s="424">
        <f>H68+1</f>
        <v>2019</v>
      </c>
      <c r="J68" s="424">
        <f>I68+1</f>
        <v>2020</v>
      </c>
      <c r="K68" s="424">
        <f>J68+1</f>
        <v>2021</v>
      </c>
    </row>
    <row r="69" spans="1:11" x14ac:dyDescent="0.25">
      <c r="A69" s="60" t="s">
        <v>638</v>
      </c>
      <c r="B69" s="83"/>
      <c r="C69" s="83"/>
      <c r="D69" s="83"/>
      <c r="E69" s="83"/>
      <c r="F69" s="83"/>
      <c r="G69" s="83"/>
      <c r="H69" s="83"/>
      <c r="I69" s="83"/>
      <c r="J69" s="83"/>
      <c r="K69" s="83"/>
    </row>
    <row r="70" spans="1:11" x14ac:dyDescent="0.25">
      <c r="A70" s="425" t="s">
        <v>875</v>
      </c>
      <c r="B70" s="83"/>
      <c r="C70" s="83"/>
      <c r="D70" s="83"/>
      <c r="E70" s="83"/>
      <c r="F70" s="83"/>
      <c r="G70" s="83"/>
      <c r="H70" s="83"/>
      <c r="I70" s="83"/>
      <c r="J70" s="83"/>
      <c r="K70" s="83"/>
    </row>
    <row r="71" spans="1:11" x14ac:dyDescent="0.25">
      <c r="A71" s="83" t="s">
        <v>639</v>
      </c>
      <c r="B71" s="83"/>
      <c r="C71" s="426">
        <v>0</v>
      </c>
      <c r="D71" s="426">
        <v>0</v>
      </c>
      <c r="E71" s="426">
        <v>0</v>
      </c>
      <c r="F71" s="426">
        <v>0</v>
      </c>
      <c r="G71" s="426">
        <v>176493</v>
      </c>
      <c r="H71" s="426">
        <v>0</v>
      </c>
      <c r="I71" s="426">
        <v>0</v>
      </c>
      <c r="J71" s="426">
        <v>0</v>
      </c>
      <c r="K71" s="426">
        <v>0</v>
      </c>
    </row>
    <row r="72" spans="1:11" x14ac:dyDescent="0.25">
      <c r="A72" s="83" t="s">
        <v>640</v>
      </c>
      <c r="B72" s="83"/>
      <c r="C72" s="426">
        <v>0</v>
      </c>
      <c r="D72" s="426">
        <v>0</v>
      </c>
      <c r="E72" s="426">
        <v>0</v>
      </c>
      <c r="F72" s="426">
        <v>0</v>
      </c>
      <c r="G72" s="426">
        <v>0</v>
      </c>
      <c r="H72" s="426">
        <v>0</v>
      </c>
      <c r="I72" s="426">
        <v>0</v>
      </c>
      <c r="J72" s="426">
        <v>0</v>
      </c>
      <c r="K72" s="426">
        <v>0</v>
      </c>
    </row>
    <row r="73" spans="1:11" x14ac:dyDescent="0.25">
      <c r="A73" s="83" t="s">
        <v>641</v>
      </c>
      <c r="B73" s="83"/>
      <c r="C73" s="426">
        <v>0</v>
      </c>
      <c r="D73" s="426">
        <v>0</v>
      </c>
      <c r="E73" s="426">
        <v>0</v>
      </c>
      <c r="F73" s="426">
        <v>0</v>
      </c>
      <c r="G73" s="426">
        <v>0</v>
      </c>
      <c r="H73" s="426">
        <v>0</v>
      </c>
      <c r="I73" s="426">
        <v>0</v>
      </c>
      <c r="J73" s="426">
        <v>0</v>
      </c>
      <c r="K73" s="426">
        <v>0</v>
      </c>
    </row>
    <row r="74" spans="1:11" x14ac:dyDescent="0.25">
      <c r="A74" s="83"/>
      <c r="B74" s="83"/>
      <c r="C74" s="83"/>
      <c r="D74" s="83"/>
      <c r="E74" s="83"/>
      <c r="F74" s="83"/>
      <c r="G74" s="83"/>
      <c r="H74" s="83"/>
      <c r="I74" s="83"/>
      <c r="J74" s="83"/>
      <c r="K74" s="83"/>
    </row>
    <row r="75" spans="1:11" x14ac:dyDescent="0.25">
      <c r="A75" s="60" t="s">
        <v>642</v>
      </c>
      <c r="B75" s="83"/>
      <c r="C75" s="83"/>
      <c r="D75" s="83"/>
      <c r="E75" s="83"/>
      <c r="F75" s="83"/>
      <c r="G75" s="83"/>
      <c r="H75" s="83"/>
      <c r="I75" s="83"/>
      <c r="J75" s="83"/>
      <c r="K75" s="83"/>
    </row>
    <row r="76" spans="1:11" x14ac:dyDescent="0.25">
      <c r="A76" s="425" t="s">
        <v>875</v>
      </c>
      <c r="B76" s="83"/>
      <c r="C76" s="83"/>
      <c r="D76" s="83"/>
      <c r="E76" s="83"/>
      <c r="F76" s="83"/>
      <c r="G76" s="83"/>
      <c r="H76" s="83"/>
      <c r="I76" s="83"/>
      <c r="J76" s="83"/>
      <c r="K76" s="83"/>
    </row>
    <row r="77" spans="1:11" x14ac:dyDescent="0.25">
      <c r="A77" s="83" t="s">
        <v>639</v>
      </c>
      <c r="B77" s="83"/>
      <c r="C77" s="426">
        <v>0</v>
      </c>
      <c r="D77" s="426">
        <v>0</v>
      </c>
      <c r="E77" s="426">
        <v>0</v>
      </c>
      <c r="F77" s="426">
        <v>0</v>
      </c>
      <c r="G77" s="426">
        <v>0</v>
      </c>
      <c r="H77" s="426">
        <v>0</v>
      </c>
      <c r="I77" s="426">
        <v>0</v>
      </c>
      <c r="J77" s="426">
        <v>0</v>
      </c>
      <c r="K77" s="426">
        <v>0</v>
      </c>
    </row>
    <row r="78" spans="1:11" x14ac:dyDescent="0.25">
      <c r="A78" s="83" t="s">
        <v>640</v>
      </c>
      <c r="B78" s="83"/>
      <c r="C78" s="426">
        <v>0</v>
      </c>
      <c r="D78" s="426">
        <v>0</v>
      </c>
      <c r="E78" s="426">
        <v>0</v>
      </c>
      <c r="F78" s="426">
        <v>0</v>
      </c>
      <c r="G78" s="426">
        <v>0</v>
      </c>
      <c r="H78" s="426">
        <v>0</v>
      </c>
      <c r="I78" s="426">
        <v>0</v>
      </c>
      <c r="J78" s="426">
        <v>0</v>
      </c>
      <c r="K78" s="426">
        <v>0</v>
      </c>
    </row>
    <row r="79" spans="1:11" x14ac:dyDescent="0.25">
      <c r="A79" s="83" t="s">
        <v>641</v>
      </c>
      <c r="B79" s="83"/>
      <c r="C79" s="426">
        <v>0</v>
      </c>
      <c r="D79" s="426">
        <v>0</v>
      </c>
      <c r="E79" s="426">
        <v>0</v>
      </c>
      <c r="F79" s="426">
        <v>0</v>
      </c>
      <c r="G79" s="426">
        <v>0</v>
      </c>
      <c r="H79" s="426">
        <v>0</v>
      </c>
      <c r="I79" s="426">
        <v>0</v>
      </c>
      <c r="J79" s="426">
        <v>0</v>
      </c>
      <c r="K79" s="426">
        <v>0</v>
      </c>
    </row>
    <row r="80" spans="1:11" x14ac:dyDescent="0.25">
      <c r="A80" s="83"/>
      <c r="B80" s="83"/>
      <c r="C80" s="83"/>
      <c r="D80" s="83"/>
      <c r="E80" s="83"/>
      <c r="F80" s="83"/>
      <c r="G80" s="83"/>
      <c r="H80" s="83"/>
      <c r="I80" s="83"/>
      <c r="J80" s="83"/>
      <c r="K80" s="83"/>
    </row>
    <row r="81" spans="1:11" x14ac:dyDescent="0.25">
      <c r="A81" s="60" t="s">
        <v>643</v>
      </c>
      <c r="B81" s="83"/>
      <c r="C81" s="83"/>
      <c r="D81" s="83"/>
      <c r="E81" s="83"/>
      <c r="F81" s="83"/>
      <c r="G81" s="83"/>
      <c r="H81" s="83"/>
      <c r="I81" s="83"/>
      <c r="J81" s="83"/>
      <c r="K81" s="83"/>
    </row>
    <row r="82" spans="1:11" x14ac:dyDescent="0.25">
      <c r="A82" s="425" t="s">
        <v>875</v>
      </c>
      <c r="B82" s="83"/>
      <c r="C82" s="83"/>
      <c r="D82" s="83"/>
      <c r="E82" s="83"/>
      <c r="F82" s="83"/>
      <c r="G82" s="83"/>
      <c r="H82" s="83"/>
      <c r="I82" s="83"/>
      <c r="J82" s="83"/>
      <c r="K82" s="83"/>
    </row>
    <row r="83" spans="1:11" x14ac:dyDescent="0.25">
      <c r="A83" s="83" t="s">
        <v>639</v>
      </c>
      <c r="B83" s="83"/>
      <c r="C83" s="426">
        <v>0</v>
      </c>
      <c r="D83" s="426">
        <v>0</v>
      </c>
      <c r="E83" s="426">
        <v>0</v>
      </c>
      <c r="F83" s="426">
        <v>0</v>
      </c>
      <c r="G83" s="426">
        <v>0</v>
      </c>
      <c r="H83" s="426">
        <v>0</v>
      </c>
      <c r="I83" s="426">
        <v>0</v>
      </c>
      <c r="J83" s="426">
        <v>0</v>
      </c>
      <c r="K83" s="426">
        <v>0</v>
      </c>
    </row>
    <row r="84" spans="1:11" x14ac:dyDescent="0.25">
      <c r="A84" s="83" t="s">
        <v>640</v>
      </c>
      <c r="B84" s="83"/>
      <c r="C84" s="426">
        <v>0</v>
      </c>
      <c r="D84" s="426">
        <v>0</v>
      </c>
      <c r="E84" s="426">
        <v>0</v>
      </c>
      <c r="F84" s="426">
        <v>0</v>
      </c>
      <c r="G84" s="426">
        <v>0</v>
      </c>
      <c r="H84" s="426">
        <v>0</v>
      </c>
      <c r="I84" s="426">
        <v>0</v>
      </c>
      <c r="J84" s="426">
        <v>0</v>
      </c>
      <c r="K84" s="426">
        <v>0</v>
      </c>
    </row>
    <row r="85" spans="1:11" x14ac:dyDescent="0.25">
      <c r="A85" s="83" t="s">
        <v>641</v>
      </c>
      <c r="B85" s="83"/>
      <c r="C85" s="426">
        <v>0</v>
      </c>
      <c r="D85" s="426">
        <v>0</v>
      </c>
      <c r="E85" s="426">
        <v>0</v>
      </c>
      <c r="F85" s="426">
        <v>0</v>
      </c>
      <c r="G85" s="426">
        <v>0</v>
      </c>
      <c r="H85" s="426">
        <v>0</v>
      </c>
      <c r="I85" s="426">
        <v>0</v>
      </c>
      <c r="J85" s="426">
        <v>0</v>
      </c>
      <c r="K85" s="426">
        <v>0</v>
      </c>
    </row>
    <row r="86" spans="1:11" x14ac:dyDescent="0.25">
      <c r="A86" s="436"/>
      <c r="B86" s="437"/>
      <c r="C86" s="438"/>
      <c r="D86" s="438"/>
      <c r="E86" s="438"/>
      <c r="F86" s="438"/>
      <c r="G86" s="438"/>
      <c r="H86" s="439"/>
      <c r="I86" s="439"/>
      <c r="J86" s="438"/>
      <c r="K86" s="438"/>
    </row>
    <row r="87" spans="1:11" x14ac:dyDescent="0.25">
      <c r="A87" s="60" t="s">
        <v>644</v>
      </c>
      <c r="B87" s="83"/>
      <c r="C87" s="83"/>
      <c r="D87" s="83"/>
      <c r="E87" s="83"/>
      <c r="F87" s="83"/>
      <c r="G87" s="83"/>
      <c r="H87" s="83"/>
      <c r="I87" s="83"/>
      <c r="J87" s="83"/>
      <c r="K87" s="83"/>
    </row>
    <row r="88" spans="1:11" x14ac:dyDescent="0.25">
      <c r="A88" s="425" t="s">
        <v>875</v>
      </c>
      <c r="B88" s="83"/>
      <c r="C88" s="83"/>
      <c r="D88" s="83"/>
      <c r="E88" s="83"/>
      <c r="F88" s="83"/>
      <c r="G88" s="83"/>
      <c r="H88" s="83"/>
      <c r="I88" s="83"/>
      <c r="J88" s="83"/>
      <c r="K88" s="83"/>
    </row>
    <row r="89" spans="1:11" x14ac:dyDescent="0.25">
      <c r="A89" s="83" t="s">
        <v>639</v>
      </c>
      <c r="B89" s="83"/>
      <c r="C89" s="426">
        <v>0</v>
      </c>
      <c r="D89" s="426">
        <v>0</v>
      </c>
      <c r="E89" s="426">
        <v>0</v>
      </c>
      <c r="F89" s="426">
        <v>0</v>
      </c>
      <c r="G89" s="426">
        <v>0</v>
      </c>
      <c r="H89" s="426">
        <v>0</v>
      </c>
      <c r="I89" s="426">
        <v>0</v>
      </c>
      <c r="J89" s="426">
        <v>0</v>
      </c>
      <c r="K89" s="426">
        <v>0</v>
      </c>
    </row>
    <row r="90" spans="1:11" x14ac:dyDescent="0.25">
      <c r="A90" s="83" t="s">
        <v>640</v>
      </c>
      <c r="B90" s="83"/>
      <c r="C90" s="426">
        <v>0</v>
      </c>
      <c r="D90" s="426">
        <v>0</v>
      </c>
      <c r="E90" s="426">
        <v>0</v>
      </c>
      <c r="F90" s="426">
        <v>0</v>
      </c>
      <c r="G90" s="426">
        <v>0</v>
      </c>
      <c r="H90" s="426">
        <v>0</v>
      </c>
      <c r="I90" s="426">
        <v>0</v>
      </c>
      <c r="J90" s="426">
        <v>0</v>
      </c>
      <c r="K90" s="426">
        <v>0</v>
      </c>
    </row>
    <row r="91" spans="1:11" x14ac:dyDescent="0.25">
      <c r="A91" s="83" t="s">
        <v>641</v>
      </c>
      <c r="B91" s="83"/>
      <c r="C91" s="426">
        <v>0</v>
      </c>
      <c r="D91" s="426">
        <v>0</v>
      </c>
      <c r="E91" s="426">
        <v>0</v>
      </c>
      <c r="F91" s="426">
        <v>0</v>
      </c>
      <c r="G91" s="426">
        <v>0</v>
      </c>
      <c r="H91" s="426">
        <v>0</v>
      </c>
      <c r="I91" s="426">
        <v>0</v>
      </c>
      <c r="J91" s="426">
        <v>0</v>
      </c>
      <c r="K91" s="426">
        <v>0</v>
      </c>
    </row>
    <row r="92" spans="1:11" x14ac:dyDescent="0.25">
      <c r="A92" s="436"/>
      <c r="B92" s="440"/>
      <c r="C92" s="441"/>
      <c r="D92" s="441"/>
      <c r="E92" s="441"/>
      <c r="F92" s="441"/>
      <c r="G92" s="441"/>
      <c r="H92" s="441"/>
      <c r="I92" s="442"/>
      <c r="J92" s="442"/>
      <c r="K92" s="441"/>
    </row>
    <row r="93" spans="1:11" x14ac:dyDescent="0.25">
      <c r="A93" s="60" t="s">
        <v>645</v>
      </c>
      <c r="B93" s="83"/>
      <c r="C93" s="83"/>
      <c r="D93" s="83"/>
      <c r="E93" s="83"/>
      <c r="F93" s="83"/>
      <c r="G93" s="83"/>
      <c r="H93" s="83"/>
      <c r="I93" s="83"/>
      <c r="J93" s="83"/>
      <c r="K93" s="83"/>
    </row>
    <row r="94" spans="1:11" x14ac:dyDescent="0.25">
      <c r="A94" s="425" t="s">
        <v>875</v>
      </c>
      <c r="B94" s="83"/>
      <c r="C94" s="83"/>
      <c r="D94" s="83"/>
      <c r="E94" s="83"/>
      <c r="F94" s="83"/>
      <c r="G94" s="83"/>
      <c r="H94" s="83"/>
      <c r="I94" s="83"/>
      <c r="J94" s="83"/>
      <c r="K94" s="83"/>
    </row>
    <row r="95" spans="1:11" x14ac:dyDescent="0.25">
      <c r="A95" s="83" t="s">
        <v>639</v>
      </c>
      <c r="B95" s="83"/>
      <c r="C95" s="426">
        <v>0</v>
      </c>
      <c r="D95" s="426">
        <v>0</v>
      </c>
      <c r="E95" s="426">
        <v>0</v>
      </c>
      <c r="F95" s="426">
        <v>0</v>
      </c>
      <c r="G95" s="426">
        <v>0</v>
      </c>
      <c r="H95" s="426">
        <v>0</v>
      </c>
      <c r="I95" s="426">
        <v>0</v>
      </c>
      <c r="J95" s="426">
        <v>0</v>
      </c>
      <c r="K95" s="426">
        <v>0</v>
      </c>
    </row>
    <row r="96" spans="1:11" x14ac:dyDescent="0.25">
      <c r="A96" s="83" t="s">
        <v>640</v>
      </c>
      <c r="B96" s="83"/>
      <c r="C96" s="426">
        <v>0</v>
      </c>
      <c r="D96" s="426">
        <v>0</v>
      </c>
      <c r="E96" s="426">
        <v>0</v>
      </c>
      <c r="F96" s="426">
        <v>0</v>
      </c>
      <c r="G96" s="426">
        <v>0</v>
      </c>
      <c r="H96" s="426">
        <v>0</v>
      </c>
      <c r="I96" s="426">
        <v>0</v>
      </c>
      <c r="J96" s="426">
        <v>0</v>
      </c>
      <c r="K96" s="426">
        <v>0</v>
      </c>
    </row>
    <row r="97" spans="1:12" x14ac:dyDescent="0.25">
      <c r="A97" s="83" t="s">
        <v>641</v>
      </c>
      <c r="B97" s="83"/>
      <c r="C97" s="426">
        <v>0</v>
      </c>
      <c r="D97" s="426">
        <v>0</v>
      </c>
      <c r="E97" s="426">
        <v>0</v>
      </c>
      <c r="F97" s="426">
        <v>0</v>
      </c>
      <c r="G97" s="426">
        <v>0</v>
      </c>
      <c r="H97" s="426">
        <v>0</v>
      </c>
      <c r="I97" s="426">
        <v>0</v>
      </c>
      <c r="J97" s="426">
        <v>0</v>
      </c>
      <c r="K97" s="426">
        <v>0</v>
      </c>
    </row>
    <row r="98" spans="1:12" x14ac:dyDescent="0.25">
      <c r="A98" s="436"/>
      <c r="B98" s="443"/>
      <c r="C98" s="441"/>
      <c r="D98" s="441"/>
      <c r="E98" s="441"/>
      <c r="F98" s="441"/>
      <c r="G98" s="441"/>
      <c r="H98" s="441"/>
      <c r="I98" s="436"/>
      <c r="J98" s="444"/>
      <c r="K98" s="441"/>
    </row>
    <row r="99" spans="1:12" x14ac:dyDescent="0.25">
      <c r="A99" s="60" t="s">
        <v>872</v>
      </c>
      <c r="B99" s="60"/>
      <c r="C99" s="428">
        <f t="shared" ref="C99:F101" si="2">SUM(C95,C89,C83,C77,C71)</f>
        <v>0</v>
      </c>
      <c r="D99" s="428">
        <f t="shared" si="2"/>
        <v>0</v>
      </c>
      <c r="E99" s="428">
        <f t="shared" si="2"/>
        <v>0</v>
      </c>
      <c r="F99" s="428">
        <f t="shared" si="2"/>
        <v>0</v>
      </c>
      <c r="G99" s="428">
        <f>SUM(G95,G89,G83,G77,G71)</f>
        <v>176493</v>
      </c>
      <c r="H99" s="428">
        <f t="shared" ref="H99:K101" si="3">SUM(H95,H89,H83,H77,H71)</f>
        <v>0</v>
      </c>
      <c r="I99" s="428">
        <f t="shared" si="3"/>
        <v>0</v>
      </c>
      <c r="J99" s="428">
        <f t="shared" si="3"/>
        <v>0</v>
      </c>
      <c r="K99" s="428">
        <f t="shared" si="3"/>
        <v>0</v>
      </c>
      <c r="L99" s="427"/>
    </row>
    <row r="100" spans="1:12" x14ac:dyDescent="0.25">
      <c r="A100" s="60" t="s">
        <v>873</v>
      </c>
      <c r="B100" s="60"/>
      <c r="C100" s="428">
        <f t="shared" si="2"/>
        <v>0</v>
      </c>
      <c r="D100" s="428">
        <f t="shared" si="2"/>
        <v>0</v>
      </c>
      <c r="E100" s="428">
        <f t="shared" si="2"/>
        <v>0</v>
      </c>
      <c r="F100" s="428">
        <f t="shared" si="2"/>
        <v>0</v>
      </c>
      <c r="G100" s="428">
        <f>SUM(G96,G90,G84,G78,G72)</f>
        <v>0</v>
      </c>
      <c r="H100" s="428">
        <f t="shared" si="3"/>
        <v>0</v>
      </c>
      <c r="I100" s="428">
        <f t="shared" si="3"/>
        <v>0</v>
      </c>
      <c r="J100" s="428">
        <f t="shared" si="3"/>
        <v>0</v>
      </c>
      <c r="K100" s="428">
        <f t="shared" si="3"/>
        <v>0</v>
      </c>
      <c r="L100" s="427"/>
    </row>
    <row r="101" spans="1:12" x14ac:dyDescent="0.25">
      <c r="A101" s="60" t="s">
        <v>874</v>
      </c>
      <c r="B101" s="429"/>
      <c r="C101" s="430">
        <f t="shared" si="2"/>
        <v>0</v>
      </c>
      <c r="D101" s="430">
        <f t="shared" si="2"/>
        <v>0</v>
      </c>
      <c r="E101" s="430">
        <f t="shared" si="2"/>
        <v>0</v>
      </c>
      <c r="F101" s="430">
        <f t="shared" si="2"/>
        <v>0</v>
      </c>
      <c r="G101" s="430">
        <f>SUM(G97,G91,G85,G79,G73)</f>
        <v>0</v>
      </c>
      <c r="H101" s="430">
        <f t="shared" si="3"/>
        <v>0</v>
      </c>
      <c r="I101" s="430">
        <f t="shared" si="3"/>
        <v>0</v>
      </c>
      <c r="J101" s="430">
        <f t="shared" si="3"/>
        <v>0</v>
      </c>
      <c r="K101" s="430">
        <f t="shared" si="3"/>
        <v>0</v>
      </c>
    </row>
    <row r="102" spans="1:12" x14ac:dyDescent="0.25">
      <c r="A102" s="445"/>
      <c r="B102" s="446"/>
      <c r="C102" s="446"/>
      <c r="D102" s="446"/>
      <c r="E102" s="446"/>
      <c r="F102" s="446"/>
      <c r="G102" s="447"/>
      <c r="H102" s="447"/>
      <c r="I102" s="445"/>
      <c r="J102" s="448"/>
      <c r="K102" s="447"/>
    </row>
  </sheetData>
  <mergeCells count="8">
    <mergeCell ref="A9:K9"/>
    <mergeCell ref="A18:I18"/>
    <mergeCell ref="A17:J17"/>
    <mergeCell ref="A13:G13"/>
    <mergeCell ref="A14:F14"/>
    <mergeCell ref="A15:F15"/>
    <mergeCell ref="A12:G12"/>
    <mergeCell ref="A10:K10"/>
  </mergeCells>
  <dataValidations disablePrompts="1" count="1">
    <dataValidation allowBlank="1" showInputMessage="1" showErrorMessage="1" promptTitle="Date Format" prompt="E.g:  &quot;August 1, 2011&quot;" sqref="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ataValidations>
  <pageMargins left="0.70866141732283472" right="0.70866141732283472" top="0.74803149606299213" bottom="0.74803149606299213" header="0.31496062992125984" footer="0.31496062992125984"/>
  <pageSetup scale="45" orientation="portrait" r:id="rId1"/>
  <rowBreaks count="1" manualBreakCount="1">
    <brk id="66"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rgb="FF00B0F0"/>
    <pageSetUpPr fitToPage="1"/>
  </sheetPr>
  <dimension ref="A1:AD95"/>
  <sheetViews>
    <sheetView showGridLines="0" zoomScaleNormal="100" workbookViewId="0"/>
  </sheetViews>
  <sheetFormatPr defaultColWidth="8.85546875" defaultRowHeight="15" x14ac:dyDescent="0.25"/>
  <cols>
    <col min="1" max="1" width="34.7109375" style="415" customWidth="1"/>
    <col min="2" max="2" width="18" style="415" customWidth="1"/>
    <col min="3" max="13" width="14.7109375" style="415" customWidth="1"/>
    <col min="14" max="14" width="12.7109375" style="415" customWidth="1"/>
    <col min="15" max="29" width="14.7109375" style="415" customWidth="1"/>
    <col min="30" max="16384" width="8.85546875" style="415"/>
  </cols>
  <sheetData>
    <row r="1" spans="1:24" s="375" customFormat="1" x14ac:dyDescent="0.25">
      <c r="A1" s="52"/>
      <c r="B1" s="52"/>
      <c r="C1" s="52"/>
      <c r="D1" s="52"/>
      <c r="E1" s="52"/>
      <c r="F1" s="52"/>
      <c r="G1" s="52"/>
      <c r="H1" s="52"/>
      <c r="I1" s="52"/>
      <c r="J1" s="52"/>
      <c r="K1" s="52"/>
      <c r="L1" s="52"/>
      <c r="M1" s="52"/>
      <c r="N1" s="60" t="s">
        <v>301</v>
      </c>
      <c r="O1" s="1092" t="str">
        <f>EBNUMBER</f>
        <v>EB-2016-0066</v>
      </c>
    </row>
    <row r="2" spans="1:24" s="375" customFormat="1" x14ac:dyDescent="0.25">
      <c r="A2" s="52"/>
      <c r="B2" s="52"/>
      <c r="C2" s="52"/>
      <c r="D2" s="52"/>
      <c r="E2" s="52"/>
      <c r="F2" s="52"/>
      <c r="G2" s="52"/>
      <c r="H2" s="52"/>
      <c r="I2" s="52"/>
      <c r="J2" s="52"/>
      <c r="K2" s="52"/>
      <c r="L2" s="52"/>
      <c r="M2" s="52"/>
      <c r="N2" s="60" t="s">
        <v>302</v>
      </c>
      <c r="O2" s="62"/>
    </row>
    <row r="3" spans="1:24" s="375" customFormat="1" x14ac:dyDescent="0.25">
      <c r="A3" s="52"/>
      <c r="B3" s="52"/>
      <c r="C3" s="52"/>
      <c r="D3" s="52"/>
      <c r="E3" s="52"/>
      <c r="F3" s="52"/>
      <c r="G3" s="52"/>
      <c r="H3" s="52"/>
      <c r="I3" s="52"/>
      <c r="J3" s="52"/>
      <c r="K3" s="52"/>
      <c r="L3" s="52"/>
      <c r="M3" s="52"/>
      <c r="N3" s="60" t="s">
        <v>303</v>
      </c>
      <c r="O3" s="62"/>
    </row>
    <row r="4" spans="1:24" s="375" customFormat="1" x14ac:dyDescent="0.25">
      <c r="A4" s="52"/>
      <c r="B4" s="52"/>
      <c r="C4" s="52"/>
      <c r="D4" s="52"/>
      <c r="E4" s="52"/>
      <c r="F4" s="52"/>
      <c r="G4" s="52"/>
      <c r="H4" s="52"/>
      <c r="I4" s="52"/>
      <c r="J4" s="52"/>
      <c r="K4" s="52"/>
      <c r="L4" s="52"/>
      <c r="M4" s="52"/>
      <c r="N4" s="60" t="s">
        <v>304</v>
      </c>
      <c r="O4" s="62"/>
    </row>
    <row r="5" spans="1:24" s="375" customFormat="1" x14ac:dyDescent="0.25">
      <c r="A5" s="52"/>
      <c r="B5" s="52"/>
      <c r="C5" s="52"/>
      <c r="D5" s="52"/>
      <c r="E5" s="52"/>
      <c r="F5" s="52"/>
      <c r="G5" s="52"/>
      <c r="H5" s="52"/>
      <c r="I5" s="52"/>
      <c r="J5" s="52"/>
      <c r="K5" s="52"/>
      <c r="L5" s="52"/>
      <c r="M5" s="52"/>
      <c r="N5" s="60" t="s">
        <v>305</v>
      </c>
      <c r="O5" s="63"/>
    </row>
    <row r="6" spans="1:24" s="375" customFormat="1" x14ac:dyDescent="0.25">
      <c r="A6" s="52"/>
      <c r="B6" s="52"/>
      <c r="C6" s="52"/>
      <c r="D6" s="52"/>
      <c r="E6" s="52"/>
      <c r="F6" s="52"/>
      <c r="G6" s="52"/>
      <c r="H6" s="52"/>
      <c r="I6" s="52"/>
      <c r="J6" s="52"/>
      <c r="K6" s="52"/>
      <c r="L6" s="52"/>
      <c r="M6" s="52"/>
      <c r="N6" s="60"/>
      <c r="O6" s="61"/>
    </row>
    <row r="7" spans="1:24" s="375" customFormat="1" x14ac:dyDescent="0.25">
      <c r="A7" s="52"/>
      <c r="B7" s="52"/>
      <c r="C7" s="52"/>
      <c r="D7" s="52"/>
      <c r="E7" s="52"/>
      <c r="F7" s="52"/>
      <c r="G7" s="52"/>
      <c r="H7" s="52"/>
      <c r="I7" s="52"/>
      <c r="J7" s="52"/>
      <c r="K7" s="52"/>
      <c r="L7" s="52"/>
      <c r="M7" s="52"/>
      <c r="N7" s="60" t="s">
        <v>306</v>
      </c>
      <c r="O7" s="63"/>
    </row>
    <row r="8" spans="1:24" s="375" customFormat="1" x14ac:dyDescent="0.25">
      <c r="A8" s="56"/>
      <c r="B8" s="56"/>
      <c r="C8" s="56"/>
      <c r="D8" s="56"/>
      <c r="E8" s="56"/>
      <c r="F8" s="56"/>
      <c r="G8" s="56"/>
      <c r="H8" s="56"/>
      <c r="I8" s="56"/>
      <c r="J8" s="56"/>
      <c r="K8" s="56"/>
      <c r="L8" s="56"/>
      <c r="M8" s="56"/>
      <c r="N8" s="56"/>
      <c r="O8" s="56"/>
      <c r="P8" s="56"/>
      <c r="Q8" s="56"/>
      <c r="R8" s="56"/>
      <c r="S8" s="56"/>
      <c r="T8" s="56"/>
      <c r="U8" s="413"/>
      <c r="V8" s="413"/>
      <c r="W8" s="413"/>
      <c r="X8" s="413"/>
    </row>
    <row r="9" spans="1:24" s="375" customFormat="1" ht="18" x14ac:dyDescent="0.25">
      <c r="A9" s="1591" t="s">
        <v>650</v>
      </c>
      <c r="B9" s="1591"/>
      <c r="C9" s="1591"/>
      <c r="D9" s="1591"/>
      <c r="E9" s="1591"/>
      <c r="F9" s="1591"/>
      <c r="G9" s="1591"/>
      <c r="H9" s="1591"/>
      <c r="I9" s="1591"/>
      <c r="J9" s="1591"/>
      <c r="K9" s="1591"/>
      <c r="L9" s="1591"/>
      <c r="M9" s="1591"/>
      <c r="N9" s="1591"/>
      <c r="O9" s="1591"/>
      <c r="P9" s="1591"/>
      <c r="Q9" s="1591"/>
      <c r="R9" s="1591"/>
      <c r="S9" s="414"/>
      <c r="T9" s="414"/>
      <c r="U9" s="414"/>
      <c r="V9" s="413"/>
      <c r="W9" s="413"/>
      <c r="X9" s="413"/>
    </row>
    <row r="10" spans="1:24" s="375" customFormat="1" ht="39.75" customHeight="1" x14ac:dyDescent="0.25">
      <c r="A10" s="1680" t="s">
        <v>651</v>
      </c>
      <c r="B10" s="1680"/>
      <c r="C10" s="1680"/>
      <c r="D10" s="1680"/>
      <c r="E10" s="1680"/>
      <c r="F10" s="1680"/>
      <c r="G10" s="1680"/>
      <c r="H10" s="1680"/>
      <c r="I10" s="1680"/>
      <c r="J10" s="1680"/>
      <c r="K10" s="1680"/>
      <c r="L10" s="1680"/>
      <c r="M10" s="1680"/>
      <c r="N10" s="1680"/>
      <c r="O10" s="1680"/>
      <c r="P10" s="1680"/>
      <c r="Q10" s="1680"/>
      <c r="R10" s="1680"/>
      <c r="S10" s="414"/>
      <c r="T10" s="414"/>
      <c r="U10" s="414"/>
      <c r="V10" s="413"/>
      <c r="W10" s="413"/>
      <c r="X10" s="413"/>
    </row>
    <row r="11" spans="1:24" s="375" customFormat="1" ht="18" x14ac:dyDescent="0.25">
      <c r="A11" s="414"/>
      <c r="B11" s="414"/>
      <c r="C11" s="414"/>
      <c r="D11" s="414"/>
      <c r="E11" s="414"/>
      <c r="F11" s="414"/>
      <c r="G11" s="414"/>
      <c r="H11" s="414"/>
      <c r="I11" s="414"/>
      <c r="J11" s="414"/>
      <c r="K11" s="414"/>
      <c r="L11" s="414"/>
      <c r="M11" s="414"/>
      <c r="N11" s="414"/>
      <c r="O11" s="414"/>
      <c r="P11" s="414"/>
      <c r="Q11" s="414"/>
      <c r="R11" s="414"/>
      <c r="S11" s="414"/>
      <c r="T11" s="414"/>
      <c r="U11" s="414"/>
      <c r="V11" s="413"/>
      <c r="W11" s="413"/>
      <c r="X11" s="413"/>
    </row>
    <row r="12" spans="1:24" x14ac:dyDescent="0.25">
      <c r="A12" s="1753" t="s">
        <v>652</v>
      </c>
      <c r="B12" s="1753"/>
      <c r="C12" s="1753"/>
      <c r="D12" s="1753"/>
      <c r="E12" s="1753"/>
      <c r="F12" s="1753"/>
      <c r="G12" s="1753"/>
      <c r="H12" s="1753"/>
      <c r="I12" s="1753"/>
      <c r="J12" s="1753"/>
      <c r="K12" s="1753"/>
      <c r="L12" s="1753"/>
      <c r="M12" s="1753"/>
      <c r="N12" s="1753"/>
      <c r="O12" s="1753"/>
      <c r="P12" s="1753"/>
      <c r="Q12" s="1753"/>
      <c r="R12" s="1753"/>
    </row>
    <row r="13" spans="1:24" x14ac:dyDescent="0.25">
      <c r="A13" s="1753" t="s">
        <v>653</v>
      </c>
      <c r="B13" s="1753"/>
      <c r="C13" s="1753"/>
      <c r="D13" s="1753"/>
      <c r="E13" s="1753"/>
      <c r="F13" s="1753"/>
      <c r="G13" s="1753"/>
      <c r="H13" s="1753"/>
      <c r="I13" s="1753"/>
      <c r="J13" s="1753"/>
      <c r="K13" s="1753"/>
      <c r="L13" s="1753"/>
      <c r="M13" s="1753"/>
      <c r="N13" s="1753"/>
      <c r="O13" s="1753"/>
      <c r="P13" s="1753"/>
      <c r="Q13" s="1753"/>
      <c r="R13" s="1753"/>
    </row>
    <row r="14" spans="1:24" x14ac:dyDescent="0.25">
      <c r="A14" s="449" t="s">
        <v>1180</v>
      </c>
    </row>
    <row r="15" spans="1:24" x14ac:dyDescent="0.25">
      <c r="A15" s="1753" t="s">
        <v>1182</v>
      </c>
      <c r="B15" s="1753"/>
      <c r="C15" s="1753"/>
      <c r="D15" s="1753"/>
      <c r="E15" s="1753"/>
      <c r="F15" s="1753"/>
      <c r="G15" s="1753"/>
      <c r="H15" s="1753"/>
      <c r="I15" s="1753"/>
      <c r="J15" s="1753"/>
      <c r="K15" s="1753"/>
      <c r="L15" s="1753"/>
      <c r="M15" s="1753"/>
      <c r="N15" s="1753"/>
      <c r="O15" s="1753"/>
      <c r="P15" s="1753"/>
      <c r="Q15" s="1753"/>
      <c r="R15" s="1753"/>
    </row>
    <row r="16" spans="1:24" ht="15.75" thickBot="1" x14ac:dyDescent="0.3"/>
    <row r="17" spans="1:30" s="452" customFormat="1" ht="15.75" thickBot="1" x14ac:dyDescent="0.3">
      <c r="A17" s="450"/>
      <c r="B17" s="450"/>
      <c r="C17" s="1750">
        <f>F17-1</f>
        <v>2013</v>
      </c>
      <c r="D17" s="1751"/>
      <c r="E17" s="1752"/>
      <c r="F17" s="1750">
        <f>I17-1</f>
        <v>2014</v>
      </c>
      <c r="G17" s="1751"/>
      <c r="H17" s="1752"/>
      <c r="I17" s="1750">
        <f>L17-1</f>
        <v>2015</v>
      </c>
      <c r="J17" s="1751"/>
      <c r="K17" s="1752"/>
      <c r="L17" s="1750">
        <f>BridgeYear</f>
        <v>2016</v>
      </c>
      <c r="M17" s="1751"/>
      <c r="N17" s="1752"/>
      <c r="O17" s="1750" t="str">
        <f>CONCATENATE(TestYear," Test Year")</f>
        <v>2017 Test Year</v>
      </c>
      <c r="P17" s="1751"/>
      <c r="Q17" s="1752"/>
      <c r="R17" s="1750">
        <f>TestYear+1</f>
        <v>2018</v>
      </c>
      <c r="S17" s="1751"/>
      <c r="T17" s="1752"/>
      <c r="U17" s="1750">
        <f>R17+1</f>
        <v>2019</v>
      </c>
      <c r="V17" s="1751">
        <v>2016</v>
      </c>
      <c r="W17" s="1752"/>
      <c r="X17" s="1750">
        <f>U17+1</f>
        <v>2020</v>
      </c>
      <c r="Y17" s="1751"/>
      <c r="Z17" s="1752"/>
      <c r="AA17" s="1750">
        <f>X17+1</f>
        <v>2021</v>
      </c>
      <c r="AB17" s="1751"/>
      <c r="AC17" s="1752"/>
      <c r="AD17" s="451"/>
    </row>
    <row r="18" spans="1:30" x14ac:dyDescent="0.25">
      <c r="A18" s="83"/>
      <c r="B18" s="83"/>
      <c r="C18" s="83"/>
      <c r="D18" s="60" t="s">
        <v>654</v>
      </c>
      <c r="E18" s="422" t="s">
        <v>655</v>
      </c>
      <c r="F18" s="83"/>
      <c r="G18" s="60" t="s">
        <v>654</v>
      </c>
      <c r="H18" s="422" t="s">
        <v>655</v>
      </c>
      <c r="I18" s="83"/>
      <c r="J18" s="60" t="s">
        <v>654</v>
      </c>
      <c r="K18" s="422" t="s">
        <v>655</v>
      </c>
      <c r="L18" s="83"/>
      <c r="M18" s="60" t="s">
        <v>654</v>
      </c>
      <c r="N18" s="422" t="s">
        <v>655</v>
      </c>
      <c r="O18" s="83"/>
      <c r="P18" s="60" t="s">
        <v>654</v>
      </c>
      <c r="Q18" s="422" t="s">
        <v>655</v>
      </c>
      <c r="R18" s="83"/>
      <c r="S18" s="60" t="s">
        <v>654</v>
      </c>
      <c r="T18" s="422" t="s">
        <v>655</v>
      </c>
      <c r="U18" s="83"/>
      <c r="V18" s="60" t="s">
        <v>654</v>
      </c>
      <c r="W18" s="422" t="s">
        <v>655</v>
      </c>
      <c r="X18" s="83"/>
      <c r="Y18" s="60" t="s">
        <v>654</v>
      </c>
      <c r="Z18" s="422" t="s">
        <v>655</v>
      </c>
      <c r="AA18" s="83"/>
      <c r="AB18" s="60" t="s">
        <v>654</v>
      </c>
      <c r="AC18" s="422" t="s">
        <v>655</v>
      </c>
      <c r="AD18" s="83"/>
    </row>
    <row r="19" spans="1:30" x14ac:dyDescent="0.25">
      <c r="A19" s="453"/>
      <c r="B19" s="454"/>
      <c r="C19" s="454" t="s">
        <v>295</v>
      </c>
      <c r="D19" s="455">
        <v>0.06</v>
      </c>
      <c r="E19" s="455">
        <v>0.94</v>
      </c>
      <c r="F19" s="454" t="s">
        <v>295</v>
      </c>
      <c r="G19" s="455">
        <v>0.06</v>
      </c>
      <c r="H19" s="455">
        <v>0.94</v>
      </c>
      <c r="I19" s="454" t="s">
        <v>295</v>
      </c>
      <c r="J19" s="455">
        <v>0.06</v>
      </c>
      <c r="K19" s="455">
        <v>0.94</v>
      </c>
      <c r="L19" s="454" t="s">
        <v>295</v>
      </c>
      <c r="M19" s="455">
        <v>0.06</v>
      </c>
      <c r="N19" s="455">
        <v>0.94</v>
      </c>
      <c r="O19" s="454" t="s">
        <v>295</v>
      </c>
      <c r="P19" s="455">
        <v>0.06</v>
      </c>
      <c r="Q19" s="455">
        <v>0.94</v>
      </c>
      <c r="R19" s="454" t="s">
        <v>295</v>
      </c>
      <c r="S19" s="455">
        <v>0.06</v>
      </c>
      <c r="T19" s="455">
        <v>0.94</v>
      </c>
      <c r="U19" s="454" t="s">
        <v>295</v>
      </c>
      <c r="V19" s="455">
        <v>0.06</v>
      </c>
      <c r="W19" s="455">
        <v>0.94</v>
      </c>
      <c r="X19" s="454" t="s">
        <v>295</v>
      </c>
      <c r="Y19" s="455">
        <v>0.06</v>
      </c>
      <c r="Z19" s="455">
        <v>0.94</v>
      </c>
      <c r="AA19" s="454" t="s">
        <v>295</v>
      </c>
      <c r="AB19" s="455">
        <v>0.06</v>
      </c>
      <c r="AC19" s="455">
        <v>0.94</v>
      </c>
      <c r="AD19" s="83"/>
    </row>
    <row r="20" spans="1:30" x14ac:dyDescent="0.25">
      <c r="A20" s="60" t="s">
        <v>656</v>
      </c>
      <c r="B20" s="456"/>
      <c r="C20" s="457">
        <f>D82</f>
        <v>0</v>
      </c>
      <c r="D20" s="427">
        <f>C20*D19</f>
        <v>0</v>
      </c>
      <c r="E20" s="458">
        <f>C20*E19</f>
        <v>0</v>
      </c>
      <c r="F20" s="457">
        <f>E82</f>
        <v>0</v>
      </c>
      <c r="G20" s="427">
        <f>F20*G19</f>
        <v>0</v>
      </c>
      <c r="H20" s="458">
        <f>F20*H19</f>
        <v>0</v>
      </c>
      <c r="I20" s="457">
        <f>F82</f>
        <v>0</v>
      </c>
      <c r="J20" s="427">
        <f>I20*J19</f>
        <v>0</v>
      </c>
      <c r="K20" s="458">
        <f>I20*K19</f>
        <v>0</v>
      </c>
      <c r="L20" s="457">
        <f>G82</f>
        <v>0</v>
      </c>
      <c r="M20" s="427">
        <f>L20*M19</f>
        <v>0</v>
      </c>
      <c r="N20" s="458">
        <f>L20*N19</f>
        <v>0</v>
      </c>
      <c r="O20" s="457">
        <f>H82</f>
        <v>0</v>
      </c>
      <c r="P20" s="427">
        <f>O20*P19</f>
        <v>0</v>
      </c>
      <c r="Q20" s="458">
        <f>O20*Q19</f>
        <v>0</v>
      </c>
      <c r="R20" s="457">
        <f>I82</f>
        <v>0</v>
      </c>
      <c r="S20" s="427">
        <f>R20*S19</f>
        <v>0</v>
      </c>
      <c r="T20" s="458">
        <f>R20*T19</f>
        <v>0</v>
      </c>
      <c r="U20" s="459">
        <f>J82</f>
        <v>0</v>
      </c>
      <c r="V20" s="427">
        <f>U20*V19</f>
        <v>0</v>
      </c>
      <c r="W20" s="458">
        <f>U20*W19</f>
        <v>0</v>
      </c>
      <c r="X20" s="459">
        <f>K82</f>
        <v>0</v>
      </c>
      <c r="Y20" s="427">
        <f>X20*Y19</f>
        <v>0</v>
      </c>
      <c r="Z20" s="458">
        <f>X20*Z19</f>
        <v>0</v>
      </c>
      <c r="AA20" s="459">
        <f>L82</f>
        <v>0</v>
      </c>
      <c r="AB20" s="427">
        <f>AA20*AB19</f>
        <v>0</v>
      </c>
      <c r="AC20" s="458">
        <f>AA20*AC19</f>
        <v>0</v>
      </c>
      <c r="AD20" s="83"/>
    </row>
    <row r="21" spans="1:30" x14ac:dyDescent="0.25">
      <c r="A21" s="83" t="s">
        <v>702</v>
      </c>
      <c r="B21" s="460"/>
      <c r="C21" s="461">
        <f>'App.2-FA Proposed REG Invest.'!C64</f>
        <v>0</v>
      </c>
      <c r="D21" s="462">
        <f>C21</f>
        <v>0</v>
      </c>
      <c r="E21" s="463"/>
      <c r="F21" s="461">
        <f>'App.2-FA Proposed REG Invest.'!D64</f>
        <v>0</v>
      </c>
      <c r="G21" s="462">
        <f>F21</f>
        <v>0</v>
      </c>
      <c r="H21" s="463"/>
      <c r="I21" s="461">
        <f>'App.2-FA Proposed REG Invest.'!E64</f>
        <v>0</v>
      </c>
      <c r="J21" s="462">
        <f>I21</f>
        <v>0</v>
      </c>
      <c r="K21" s="463"/>
      <c r="L21" s="461">
        <f>'App.2-FA Proposed REG Invest.'!F64</f>
        <v>0</v>
      </c>
      <c r="M21" s="462">
        <f>L21</f>
        <v>0</v>
      </c>
      <c r="N21" s="463"/>
      <c r="O21" s="461">
        <f>'App.2-FA Proposed REG Invest.'!G64</f>
        <v>0</v>
      </c>
      <c r="P21" s="462">
        <f>O21</f>
        <v>0</v>
      </c>
      <c r="Q21" s="463"/>
      <c r="R21" s="461">
        <f>'App.2-FA Proposed REG Invest.'!H64</f>
        <v>0</v>
      </c>
      <c r="S21" s="462">
        <f>R21</f>
        <v>0</v>
      </c>
      <c r="T21" s="463"/>
      <c r="U21" s="461">
        <f>'App.2-FA Proposed REG Invest.'!I64</f>
        <v>0</v>
      </c>
      <c r="V21" s="462">
        <f>U21</f>
        <v>0</v>
      </c>
      <c r="W21" s="463"/>
      <c r="X21" s="461">
        <f>'App.2-FA Proposed REG Invest.'!J64</f>
        <v>0</v>
      </c>
      <c r="Y21" s="462">
        <f>X21</f>
        <v>0</v>
      </c>
      <c r="Z21" s="463"/>
      <c r="AA21" s="461">
        <f>'App.2-FA Proposed REG Invest.'!K64</f>
        <v>0</v>
      </c>
      <c r="AB21" s="462">
        <f>AA21</f>
        <v>0</v>
      </c>
      <c r="AC21" s="463"/>
      <c r="AD21" s="83"/>
    </row>
    <row r="22" spans="1:30" x14ac:dyDescent="0.25">
      <c r="A22" s="83" t="s">
        <v>657</v>
      </c>
      <c r="B22" s="460"/>
      <c r="C22" s="461">
        <f>'App.2-FA Proposed REG Invest.'!C63</f>
        <v>0</v>
      </c>
      <c r="D22" s="462">
        <f>C22*D19</f>
        <v>0</v>
      </c>
      <c r="E22" s="462">
        <f>C22*E19</f>
        <v>0</v>
      </c>
      <c r="F22" s="461">
        <f>'App.2-FA Proposed REG Invest.'!D63</f>
        <v>0</v>
      </c>
      <c r="G22" s="462">
        <f>F22*G19</f>
        <v>0</v>
      </c>
      <c r="H22" s="462">
        <f>F22*H19</f>
        <v>0</v>
      </c>
      <c r="I22" s="461">
        <f>'App.2-FA Proposed REG Invest.'!E63</f>
        <v>0</v>
      </c>
      <c r="J22" s="462">
        <f>I22*J19</f>
        <v>0</v>
      </c>
      <c r="K22" s="462">
        <f>I22*K19</f>
        <v>0</v>
      </c>
      <c r="L22" s="461">
        <f>'App.2-FA Proposed REG Invest.'!F63</f>
        <v>0</v>
      </c>
      <c r="M22" s="462">
        <f>L22*M19</f>
        <v>0</v>
      </c>
      <c r="N22" s="462">
        <f>L22*N19</f>
        <v>0</v>
      </c>
      <c r="O22" s="461">
        <f>'App.2-FA Proposed REG Invest.'!G63</f>
        <v>0</v>
      </c>
      <c r="P22" s="462">
        <f>O22*P19</f>
        <v>0</v>
      </c>
      <c r="Q22" s="462">
        <f>O22*Q19</f>
        <v>0</v>
      </c>
      <c r="R22" s="461">
        <f>'App.2-FA Proposed REG Invest.'!H63</f>
        <v>0</v>
      </c>
      <c r="S22" s="462">
        <f>R22*S19</f>
        <v>0</v>
      </c>
      <c r="T22" s="462">
        <f>R22*T19</f>
        <v>0</v>
      </c>
      <c r="U22" s="461">
        <f>'App.2-FA Proposed REG Invest.'!I63</f>
        <v>0</v>
      </c>
      <c r="V22" s="462">
        <f>U22*V19</f>
        <v>0</v>
      </c>
      <c r="W22" s="462">
        <f>U22*W19</f>
        <v>0</v>
      </c>
      <c r="X22" s="461">
        <f>'App.2-FA Proposed REG Invest.'!J63</f>
        <v>0</v>
      </c>
      <c r="Y22" s="462">
        <f>X22*Y19</f>
        <v>0</v>
      </c>
      <c r="Z22" s="462">
        <f>X22*Z19</f>
        <v>0</v>
      </c>
      <c r="AA22" s="461">
        <f>'App.2-FA Proposed REG Invest.'!K63</f>
        <v>0</v>
      </c>
      <c r="AB22" s="462">
        <f>AA22*AB19</f>
        <v>0</v>
      </c>
      <c r="AC22" s="462">
        <f>AA22*AC19</f>
        <v>0</v>
      </c>
      <c r="AD22" s="83"/>
    </row>
    <row r="23" spans="1:30" x14ac:dyDescent="0.25">
      <c r="A23" s="83" t="s">
        <v>658</v>
      </c>
      <c r="B23" s="464"/>
      <c r="C23" s="465"/>
      <c r="D23" s="466">
        <f>(D21+D22)*$B$23</f>
        <v>0</v>
      </c>
      <c r="E23" s="467">
        <f>E22*$B$23</f>
        <v>0</v>
      </c>
      <c r="F23" s="465"/>
      <c r="G23" s="466">
        <f>(G21+G22)*$B$23</f>
        <v>0</v>
      </c>
      <c r="H23" s="467">
        <f>H22*$B$23</f>
        <v>0</v>
      </c>
      <c r="I23" s="465"/>
      <c r="J23" s="466">
        <f>(J21+J22)*$B$23</f>
        <v>0</v>
      </c>
      <c r="K23" s="467">
        <f>K22*$B$23</f>
        <v>0</v>
      </c>
      <c r="L23" s="465"/>
      <c r="M23" s="466">
        <f>(M21+M22)*$B$23</f>
        <v>0</v>
      </c>
      <c r="N23" s="467">
        <f>N22*$B$23</f>
        <v>0</v>
      </c>
      <c r="O23" s="465"/>
      <c r="P23" s="466">
        <f>(P21+P22)*$B$23</f>
        <v>0</v>
      </c>
      <c r="Q23" s="467">
        <f>Q22*$B$23</f>
        <v>0</v>
      </c>
      <c r="R23" s="465"/>
      <c r="S23" s="466">
        <f>(S21+S22)*$B$23</f>
        <v>0</v>
      </c>
      <c r="T23" s="467">
        <f>T22*$B$23</f>
        <v>0</v>
      </c>
      <c r="U23" s="465"/>
      <c r="V23" s="466">
        <f>(V21+V22)*$B$23</f>
        <v>0</v>
      </c>
      <c r="W23" s="467">
        <f>W22*$B$23</f>
        <v>0</v>
      </c>
      <c r="X23" s="465"/>
      <c r="Y23" s="466">
        <f>(Y21+Y22)*$B$23</f>
        <v>0</v>
      </c>
      <c r="Z23" s="467">
        <f>Z22*$B$23</f>
        <v>0</v>
      </c>
      <c r="AA23" s="465"/>
      <c r="AB23" s="466">
        <f>(AB21+AB22)*$B$23</f>
        <v>0</v>
      </c>
      <c r="AC23" s="467">
        <f>AC22*$B$23</f>
        <v>0</v>
      </c>
      <c r="AD23" s="83"/>
    </row>
    <row r="24" spans="1:30" x14ac:dyDescent="0.25">
      <c r="A24" s="60" t="s">
        <v>529</v>
      </c>
      <c r="B24" s="102"/>
      <c r="C24" s="83"/>
      <c r="D24" s="468">
        <f>SUM(D20+D23)</f>
        <v>0</v>
      </c>
      <c r="E24" s="468">
        <f>SUM(E20+E23)</f>
        <v>0</v>
      </c>
      <c r="F24" s="83"/>
      <c r="G24" s="468">
        <f>SUM(G20+G23)</f>
        <v>0</v>
      </c>
      <c r="H24" s="468">
        <f>SUM(H20+H23)</f>
        <v>0</v>
      </c>
      <c r="I24" s="83"/>
      <c r="J24" s="468">
        <f>SUM(J20+J23)</f>
        <v>0</v>
      </c>
      <c r="K24" s="468">
        <f>SUM(K20+K23)</f>
        <v>0</v>
      </c>
      <c r="L24" s="83"/>
      <c r="M24" s="468">
        <f>SUM(M20+M23)</f>
        <v>0</v>
      </c>
      <c r="N24" s="468">
        <f>SUM(N20+N23)</f>
        <v>0</v>
      </c>
      <c r="O24" s="83"/>
      <c r="P24" s="468">
        <f>SUM(P20+P23)</f>
        <v>0</v>
      </c>
      <c r="Q24" s="468">
        <f>SUM(Q20+Q23)</f>
        <v>0</v>
      </c>
      <c r="R24" s="83"/>
      <c r="S24" s="468">
        <f>SUM(S20+S23)</f>
        <v>0</v>
      </c>
      <c r="T24" s="468">
        <f>SUM(T20+T23)</f>
        <v>0</v>
      </c>
      <c r="U24" s="83"/>
      <c r="V24" s="468">
        <f>SUM(V20+V23)</f>
        <v>0</v>
      </c>
      <c r="W24" s="468">
        <f>SUM(W20+W23)</f>
        <v>0</v>
      </c>
      <c r="X24" s="83"/>
      <c r="Y24" s="468">
        <f>SUM(Y20+Y23)</f>
        <v>0</v>
      </c>
      <c r="Z24" s="468">
        <f>SUM(Z20+Z23)</f>
        <v>0</v>
      </c>
      <c r="AA24" s="83"/>
      <c r="AB24" s="468">
        <f>SUM(AB20+AB23)</f>
        <v>0</v>
      </c>
      <c r="AC24" s="468">
        <f>SUM(AC20+AC23)</f>
        <v>0</v>
      </c>
      <c r="AD24" s="83"/>
    </row>
    <row r="25" spans="1:30"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row>
    <row r="26" spans="1:30"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row>
    <row r="27" spans="1:30" x14ac:dyDescent="0.25">
      <c r="A27" s="83" t="s">
        <v>659</v>
      </c>
      <c r="B27" s="464"/>
      <c r="C27" s="456"/>
      <c r="D27" s="468">
        <f>D24*$B$27</f>
        <v>0</v>
      </c>
      <c r="E27" s="468">
        <f>E24*$B$27</f>
        <v>0</v>
      </c>
      <c r="F27" s="456"/>
      <c r="G27" s="468">
        <f>G24*$B$27</f>
        <v>0</v>
      </c>
      <c r="H27" s="468">
        <f>H24*$B$27</f>
        <v>0</v>
      </c>
      <c r="I27" s="456"/>
      <c r="J27" s="468">
        <f>J24*$B$27</f>
        <v>0</v>
      </c>
      <c r="K27" s="468">
        <f>K24*$B$27</f>
        <v>0</v>
      </c>
      <c r="L27" s="456"/>
      <c r="M27" s="468">
        <f>M24*$B$27</f>
        <v>0</v>
      </c>
      <c r="N27" s="468">
        <f>N24*$B$27</f>
        <v>0</v>
      </c>
      <c r="O27" s="456"/>
      <c r="P27" s="468">
        <f>P24*$B$27</f>
        <v>0</v>
      </c>
      <c r="Q27" s="468">
        <f>Q24*$B$27</f>
        <v>0</v>
      </c>
      <c r="R27" s="456"/>
      <c r="S27" s="468">
        <f>S24*$B$27</f>
        <v>0</v>
      </c>
      <c r="T27" s="468">
        <f>T24*$B$27</f>
        <v>0</v>
      </c>
      <c r="U27" s="456"/>
      <c r="V27" s="468">
        <f>V24*$B$27</f>
        <v>0</v>
      </c>
      <c r="W27" s="468">
        <f>W24*$B$27</f>
        <v>0</v>
      </c>
      <c r="X27" s="456"/>
      <c r="Y27" s="468">
        <f>Y24*$B$27</f>
        <v>0</v>
      </c>
      <c r="Z27" s="468">
        <f>Z24*$B$27</f>
        <v>0</v>
      </c>
      <c r="AA27" s="456"/>
      <c r="AB27" s="468">
        <f>AB24*$B$27</f>
        <v>0</v>
      </c>
      <c r="AC27" s="468">
        <f>AC24*$B$27</f>
        <v>0</v>
      </c>
      <c r="AD27" s="83"/>
    </row>
    <row r="28" spans="1:30" x14ac:dyDescent="0.25">
      <c r="A28" s="83" t="s">
        <v>660</v>
      </c>
      <c r="B28" s="464"/>
      <c r="C28" s="469"/>
      <c r="D28" s="468">
        <f>D24*$B$28</f>
        <v>0</v>
      </c>
      <c r="E28" s="468">
        <f>E24*$B$28</f>
        <v>0</v>
      </c>
      <c r="F28" s="469"/>
      <c r="G28" s="468">
        <f>G24*$B$28</f>
        <v>0</v>
      </c>
      <c r="H28" s="468">
        <f>H24*$B$28</f>
        <v>0</v>
      </c>
      <c r="I28" s="469"/>
      <c r="J28" s="468">
        <f>J24*$B$28</f>
        <v>0</v>
      </c>
      <c r="K28" s="468">
        <f>K24*$B$28</f>
        <v>0</v>
      </c>
      <c r="L28" s="469"/>
      <c r="M28" s="468">
        <f>M24*$B$28</f>
        <v>0</v>
      </c>
      <c r="N28" s="468">
        <f>N24*$B$28</f>
        <v>0</v>
      </c>
      <c r="O28" s="469"/>
      <c r="P28" s="468">
        <f>P24*$B$28</f>
        <v>0</v>
      </c>
      <c r="Q28" s="468">
        <f>Q24*$B$28</f>
        <v>0</v>
      </c>
      <c r="R28" s="469"/>
      <c r="S28" s="468">
        <f>S24*$B$28</f>
        <v>0</v>
      </c>
      <c r="T28" s="468">
        <f>T24*$B$28</f>
        <v>0</v>
      </c>
      <c r="U28" s="469"/>
      <c r="V28" s="468">
        <f>V24*$B$28</f>
        <v>0</v>
      </c>
      <c r="W28" s="468">
        <f>W24*$B$28</f>
        <v>0</v>
      </c>
      <c r="X28" s="469"/>
      <c r="Y28" s="468">
        <f>Y24*$B$28</f>
        <v>0</v>
      </c>
      <c r="Z28" s="468">
        <f>Z24*$B$28</f>
        <v>0</v>
      </c>
      <c r="AA28" s="469"/>
      <c r="AB28" s="468">
        <f>AB24*$B$28</f>
        <v>0</v>
      </c>
      <c r="AC28" s="468">
        <f>AC24*$B$28</f>
        <v>0</v>
      </c>
      <c r="AD28" s="83"/>
    </row>
    <row r="29" spans="1:30" x14ac:dyDescent="0.25">
      <c r="A29" s="83" t="s">
        <v>661</v>
      </c>
      <c r="B29" s="464"/>
      <c r="C29" s="470"/>
      <c r="D29" s="468">
        <f>D24*$B$29</f>
        <v>0</v>
      </c>
      <c r="E29" s="468">
        <f>E24*$B$29</f>
        <v>0</v>
      </c>
      <c r="F29" s="470"/>
      <c r="G29" s="468">
        <f>G24*$B$29</f>
        <v>0</v>
      </c>
      <c r="H29" s="468">
        <f>H24*$B$29</f>
        <v>0</v>
      </c>
      <c r="I29" s="470"/>
      <c r="J29" s="468">
        <f>J24*$B$29</f>
        <v>0</v>
      </c>
      <c r="K29" s="468">
        <f>K24*$B$29</f>
        <v>0</v>
      </c>
      <c r="L29" s="470"/>
      <c r="M29" s="468">
        <f>M24*$B$29</f>
        <v>0</v>
      </c>
      <c r="N29" s="468">
        <f>N24*$B$29</f>
        <v>0</v>
      </c>
      <c r="O29" s="470"/>
      <c r="P29" s="468">
        <f>P24*$B$29</f>
        <v>0</v>
      </c>
      <c r="Q29" s="468">
        <f>Q24*$B$29</f>
        <v>0</v>
      </c>
      <c r="R29" s="470"/>
      <c r="S29" s="468">
        <f>S24*$B$29</f>
        <v>0</v>
      </c>
      <c r="T29" s="468">
        <f>T24*$B$29</f>
        <v>0</v>
      </c>
      <c r="U29" s="470"/>
      <c r="V29" s="468">
        <f>V24*$B$29</f>
        <v>0</v>
      </c>
      <c r="W29" s="468">
        <f>W24*$B$29</f>
        <v>0</v>
      </c>
      <c r="X29" s="470"/>
      <c r="Y29" s="468">
        <f>Y24*$B$29</f>
        <v>0</v>
      </c>
      <c r="Z29" s="468">
        <f>Z24*$B$29</f>
        <v>0</v>
      </c>
      <c r="AA29" s="470"/>
      <c r="AB29" s="468">
        <f>AB24*$B$29</f>
        <v>0</v>
      </c>
      <c r="AC29" s="468">
        <f>AC24*$B$29</f>
        <v>0</v>
      </c>
      <c r="AD29" s="83"/>
    </row>
    <row r="30" spans="1:30" x14ac:dyDescent="0.25">
      <c r="A30" s="83"/>
      <c r="B30" s="83"/>
      <c r="C30" s="83"/>
      <c r="D30" s="471"/>
      <c r="E30" s="83"/>
      <c r="F30" s="83"/>
      <c r="G30" s="471"/>
      <c r="H30" s="83"/>
      <c r="I30" s="83"/>
      <c r="J30" s="471"/>
      <c r="K30" s="83"/>
      <c r="L30" s="83"/>
      <c r="M30" s="471"/>
      <c r="N30" s="83"/>
      <c r="O30" s="83"/>
      <c r="P30" s="471"/>
      <c r="Q30" s="83"/>
      <c r="R30" s="83"/>
      <c r="S30" s="471"/>
      <c r="T30" s="83"/>
      <c r="U30" s="83"/>
      <c r="V30" s="471"/>
      <c r="W30" s="83"/>
      <c r="X30" s="83"/>
      <c r="Y30" s="471"/>
      <c r="Z30" s="83"/>
      <c r="AA30" s="83"/>
      <c r="AB30" s="471"/>
      <c r="AC30" s="83"/>
      <c r="AD30" s="83"/>
    </row>
    <row r="31" spans="1:30" x14ac:dyDescent="0.25">
      <c r="A31" s="83" t="s">
        <v>662</v>
      </c>
      <c r="B31" s="464"/>
      <c r="C31" s="472"/>
      <c r="D31" s="468">
        <f t="shared" ref="D31:E33" si="0">D27*$B31</f>
        <v>0</v>
      </c>
      <c r="E31" s="468">
        <f t="shared" si="0"/>
        <v>0</v>
      </c>
      <c r="F31" s="472"/>
      <c r="G31" s="468">
        <f t="shared" ref="G31:H33" si="1">G27*$B31</f>
        <v>0</v>
      </c>
      <c r="H31" s="468">
        <f t="shared" si="1"/>
        <v>0</v>
      </c>
      <c r="I31" s="472"/>
      <c r="J31" s="468">
        <f t="shared" ref="J31:K33" si="2">J27*$B31</f>
        <v>0</v>
      </c>
      <c r="K31" s="468">
        <f t="shared" si="2"/>
        <v>0</v>
      </c>
      <c r="L31" s="472"/>
      <c r="M31" s="468">
        <f t="shared" ref="M31:N33" si="3">M27*$B31</f>
        <v>0</v>
      </c>
      <c r="N31" s="468">
        <f t="shared" si="3"/>
        <v>0</v>
      </c>
      <c r="O31" s="472"/>
      <c r="P31" s="468">
        <f t="shared" ref="P31:Q33" si="4">P27*$B31</f>
        <v>0</v>
      </c>
      <c r="Q31" s="468">
        <f t="shared" si="4"/>
        <v>0</v>
      </c>
      <c r="R31" s="472"/>
      <c r="S31" s="468">
        <f t="shared" ref="S31:T33" si="5">S27*$B31</f>
        <v>0</v>
      </c>
      <c r="T31" s="468">
        <f t="shared" si="5"/>
        <v>0</v>
      </c>
      <c r="U31" s="472"/>
      <c r="V31" s="468">
        <f t="shared" ref="V31:W33" si="6">V27*$B31</f>
        <v>0</v>
      </c>
      <c r="W31" s="468">
        <f t="shared" si="6"/>
        <v>0</v>
      </c>
      <c r="X31" s="472"/>
      <c r="Y31" s="468">
        <f t="shared" ref="Y31:Z33" si="7">Y27*$B31</f>
        <v>0</v>
      </c>
      <c r="Z31" s="468">
        <f t="shared" si="7"/>
        <v>0</v>
      </c>
      <c r="AA31" s="472"/>
      <c r="AB31" s="468">
        <f t="shared" ref="AB31:AC33" si="8">AB27*$B31</f>
        <v>0</v>
      </c>
      <c r="AC31" s="468">
        <f t="shared" si="8"/>
        <v>0</v>
      </c>
      <c r="AD31" s="83"/>
    </row>
    <row r="32" spans="1:30" x14ac:dyDescent="0.25">
      <c r="A32" s="83" t="s">
        <v>663</v>
      </c>
      <c r="B32" s="464"/>
      <c r="C32" s="472"/>
      <c r="D32" s="468">
        <f t="shared" si="0"/>
        <v>0</v>
      </c>
      <c r="E32" s="468">
        <f t="shared" si="0"/>
        <v>0</v>
      </c>
      <c r="F32" s="472"/>
      <c r="G32" s="468">
        <f t="shared" si="1"/>
        <v>0</v>
      </c>
      <c r="H32" s="468">
        <f t="shared" si="1"/>
        <v>0</v>
      </c>
      <c r="I32" s="472"/>
      <c r="J32" s="468">
        <f t="shared" si="2"/>
        <v>0</v>
      </c>
      <c r="K32" s="468">
        <f t="shared" si="2"/>
        <v>0</v>
      </c>
      <c r="L32" s="472"/>
      <c r="M32" s="468">
        <f t="shared" si="3"/>
        <v>0</v>
      </c>
      <c r="N32" s="468">
        <f t="shared" si="3"/>
        <v>0</v>
      </c>
      <c r="O32" s="472"/>
      <c r="P32" s="468">
        <f t="shared" si="4"/>
        <v>0</v>
      </c>
      <c r="Q32" s="468">
        <f t="shared" si="4"/>
        <v>0</v>
      </c>
      <c r="R32" s="472"/>
      <c r="S32" s="468">
        <f t="shared" si="5"/>
        <v>0</v>
      </c>
      <c r="T32" s="468">
        <f t="shared" si="5"/>
        <v>0</v>
      </c>
      <c r="U32" s="472"/>
      <c r="V32" s="468">
        <f t="shared" si="6"/>
        <v>0</v>
      </c>
      <c r="W32" s="468">
        <f t="shared" si="6"/>
        <v>0</v>
      </c>
      <c r="X32" s="472"/>
      <c r="Y32" s="468">
        <f t="shared" si="7"/>
        <v>0</v>
      </c>
      <c r="Z32" s="468">
        <f t="shared" si="7"/>
        <v>0</v>
      </c>
      <c r="AA32" s="472"/>
      <c r="AB32" s="468">
        <f t="shared" si="8"/>
        <v>0</v>
      </c>
      <c r="AC32" s="468">
        <f t="shared" si="8"/>
        <v>0</v>
      </c>
      <c r="AD32" s="83"/>
    </row>
    <row r="33" spans="1:30" x14ac:dyDescent="0.25">
      <c r="A33" s="83" t="s">
        <v>664</v>
      </c>
      <c r="B33" s="464"/>
      <c r="C33" s="472"/>
      <c r="D33" s="468">
        <f t="shared" si="0"/>
        <v>0</v>
      </c>
      <c r="E33" s="468">
        <f t="shared" si="0"/>
        <v>0</v>
      </c>
      <c r="F33" s="472"/>
      <c r="G33" s="468">
        <f t="shared" si="1"/>
        <v>0</v>
      </c>
      <c r="H33" s="468">
        <f t="shared" si="1"/>
        <v>0</v>
      </c>
      <c r="I33" s="472"/>
      <c r="J33" s="468">
        <f t="shared" si="2"/>
        <v>0</v>
      </c>
      <c r="K33" s="468">
        <f t="shared" si="2"/>
        <v>0</v>
      </c>
      <c r="L33" s="472"/>
      <c r="M33" s="468">
        <f t="shared" si="3"/>
        <v>0</v>
      </c>
      <c r="N33" s="468">
        <f t="shared" si="3"/>
        <v>0</v>
      </c>
      <c r="O33" s="472"/>
      <c r="P33" s="468">
        <f t="shared" si="4"/>
        <v>0</v>
      </c>
      <c r="Q33" s="468">
        <f t="shared" si="4"/>
        <v>0</v>
      </c>
      <c r="R33" s="472"/>
      <c r="S33" s="468">
        <f t="shared" si="5"/>
        <v>0</v>
      </c>
      <c r="T33" s="468">
        <f t="shared" si="5"/>
        <v>0</v>
      </c>
      <c r="U33" s="472"/>
      <c r="V33" s="468">
        <f t="shared" si="6"/>
        <v>0</v>
      </c>
      <c r="W33" s="468">
        <f t="shared" si="6"/>
        <v>0</v>
      </c>
      <c r="X33" s="472"/>
      <c r="Y33" s="468">
        <f t="shared" si="7"/>
        <v>0</v>
      </c>
      <c r="Z33" s="468">
        <f t="shared" si="7"/>
        <v>0</v>
      </c>
      <c r="AA33" s="472"/>
      <c r="AB33" s="468">
        <f t="shared" si="8"/>
        <v>0</v>
      </c>
      <c r="AC33" s="468">
        <f t="shared" si="8"/>
        <v>0</v>
      </c>
      <c r="AD33" s="83"/>
    </row>
    <row r="34" spans="1:30" x14ac:dyDescent="0.25">
      <c r="A34" s="473" t="s">
        <v>665</v>
      </c>
      <c r="B34" s="83"/>
      <c r="C34" s="83"/>
      <c r="D34" s="474">
        <f>SUM(D31:D33)</f>
        <v>0</v>
      </c>
      <c r="E34" s="474">
        <f>SUM(E31:E33)</f>
        <v>0</v>
      </c>
      <c r="F34" s="83"/>
      <c r="G34" s="474">
        <f>SUM(G31:G33)</f>
        <v>0</v>
      </c>
      <c r="H34" s="474">
        <f>SUM(H31:H33)</f>
        <v>0</v>
      </c>
      <c r="I34" s="83"/>
      <c r="J34" s="474">
        <f>SUM(J31:J33)</f>
        <v>0</v>
      </c>
      <c r="K34" s="474">
        <f>SUM(K31:K33)</f>
        <v>0</v>
      </c>
      <c r="L34" s="83"/>
      <c r="M34" s="474">
        <f>SUM(M31:M33)</f>
        <v>0</v>
      </c>
      <c r="N34" s="474">
        <f>SUM(N31:N33)</f>
        <v>0</v>
      </c>
      <c r="O34" s="83"/>
      <c r="P34" s="474">
        <f>SUM(P31:P33)</f>
        <v>0</v>
      </c>
      <c r="Q34" s="474">
        <f>SUM(Q31:Q33)</f>
        <v>0</v>
      </c>
      <c r="R34" s="83"/>
      <c r="S34" s="474">
        <f>SUM(S31:S33)</f>
        <v>0</v>
      </c>
      <c r="T34" s="474">
        <f>SUM(T31:T33)</f>
        <v>0</v>
      </c>
      <c r="U34" s="83"/>
      <c r="V34" s="474">
        <f>SUM(V31:V33)</f>
        <v>0</v>
      </c>
      <c r="W34" s="474">
        <f>SUM(W31:W33)</f>
        <v>0</v>
      </c>
      <c r="X34" s="83"/>
      <c r="Y34" s="474">
        <f>SUM(Y31:Y33)</f>
        <v>0</v>
      </c>
      <c r="Z34" s="474">
        <f>SUM(Z31:Z33)</f>
        <v>0</v>
      </c>
      <c r="AA34" s="83"/>
      <c r="AB34" s="474">
        <f>SUM(AB31:AB33)</f>
        <v>0</v>
      </c>
      <c r="AC34" s="474">
        <f>SUM(AC31:AC33)</f>
        <v>0</v>
      </c>
      <c r="AD34" s="83"/>
    </row>
    <row r="35" spans="1:30" x14ac:dyDescent="0.25">
      <c r="A35" s="83"/>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row>
    <row r="36" spans="1:30" x14ac:dyDescent="0.25">
      <c r="A36" s="83" t="s">
        <v>119</v>
      </c>
      <c r="B36" s="83"/>
      <c r="C36" s="83"/>
      <c r="D36" s="475">
        <f>D21+D22</f>
        <v>0</v>
      </c>
      <c r="E36" s="468">
        <f>E22</f>
        <v>0</v>
      </c>
      <c r="F36" s="83"/>
      <c r="G36" s="475">
        <f>G21+G22</f>
        <v>0</v>
      </c>
      <c r="H36" s="468">
        <f>H22</f>
        <v>0</v>
      </c>
      <c r="I36" s="83"/>
      <c r="J36" s="475">
        <f>J21+J22</f>
        <v>0</v>
      </c>
      <c r="K36" s="468">
        <f>K22</f>
        <v>0</v>
      </c>
      <c r="L36" s="83"/>
      <c r="M36" s="475">
        <f>M21+M22</f>
        <v>0</v>
      </c>
      <c r="N36" s="468">
        <f>N22</f>
        <v>0</v>
      </c>
      <c r="O36" s="83"/>
      <c r="P36" s="475">
        <f>P21+P22</f>
        <v>0</v>
      </c>
      <c r="Q36" s="468">
        <f>Q22</f>
        <v>0</v>
      </c>
      <c r="R36" s="83"/>
      <c r="S36" s="475">
        <f>S21+S22</f>
        <v>0</v>
      </c>
      <c r="T36" s="468">
        <f>T22</f>
        <v>0</v>
      </c>
      <c r="U36" s="83"/>
      <c r="V36" s="475">
        <f>V21+V22</f>
        <v>0</v>
      </c>
      <c r="W36" s="468">
        <f>W22</f>
        <v>0</v>
      </c>
      <c r="X36" s="102"/>
      <c r="Y36" s="475">
        <f>Y21+Y22</f>
        <v>0</v>
      </c>
      <c r="Z36" s="468">
        <f>Z22</f>
        <v>0</v>
      </c>
      <c r="AA36" s="83"/>
      <c r="AB36" s="475">
        <f>AB21+AB22</f>
        <v>0</v>
      </c>
      <c r="AC36" s="468">
        <f>AC22</f>
        <v>0</v>
      </c>
      <c r="AD36" s="83"/>
    </row>
    <row r="37" spans="1:30" x14ac:dyDescent="0.25">
      <c r="A37" s="83" t="s">
        <v>666</v>
      </c>
      <c r="B37" s="476"/>
      <c r="C37" s="427">
        <f>D77</f>
        <v>0</v>
      </c>
      <c r="D37" s="468">
        <f>C37*D$19</f>
        <v>0</v>
      </c>
      <c r="E37" s="468">
        <f>C37*E$19</f>
        <v>0</v>
      </c>
      <c r="F37" s="427">
        <f>E77</f>
        <v>0</v>
      </c>
      <c r="G37" s="468">
        <f>F37*G$19</f>
        <v>0</v>
      </c>
      <c r="H37" s="468">
        <f>F37*H$19</f>
        <v>0</v>
      </c>
      <c r="I37" s="427">
        <f>F77</f>
        <v>0</v>
      </c>
      <c r="J37" s="468">
        <f>I37*J$19</f>
        <v>0</v>
      </c>
      <c r="K37" s="468">
        <f>I37*K$19</f>
        <v>0</v>
      </c>
      <c r="L37" s="427">
        <f>G77</f>
        <v>0</v>
      </c>
      <c r="M37" s="468">
        <f>L37*M$19</f>
        <v>0</v>
      </c>
      <c r="N37" s="468">
        <f>L37*N$19</f>
        <v>0</v>
      </c>
      <c r="O37" s="427">
        <f>H77</f>
        <v>0</v>
      </c>
      <c r="P37" s="468">
        <f>O37*P$19</f>
        <v>0</v>
      </c>
      <c r="Q37" s="468">
        <f>O37*Q$19</f>
        <v>0</v>
      </c>
      <c r="R37" s="477">
        <f>I76+I77</f>
        <v>0</v>
      </c>
      <c r="S37" s="468">
        <f>R37*S$19</f>
        <v>0</v>
      </c>
      <c r="T37" s="468">
        <f>R37*T$19</f>
        <v>0</v>
      </c>
      <c r="U37" s="477">
        <f>J76+J77</f>
        <v>0</v>
      </c>
      <c r="V37" s="468">
        <f>U37*V$19</f>
        <v>0</v>
      </c>
      <c r="W37" s="468">
        <f>U37*W$19</f>
        <v>0</v>
      </c>
      <c r="X37" s="477">
        <f>K76+K77</f>
        <v>0</v>
      </c>
      <c r="Y37" s="468">
        <f>X37*Y$19</f>
        <v>0</v>
      </c>
      <c r="Z37" s="468">
        <f>X37*Z$19</f>
        <v>0</v>
      </c>
      <c r="AA37" s="477">
        <f>L76+L77</f>
        <v>0</v>
      </c>
      <c r="AB37" s="468">
        <f>AA37*AB$19</f>
        <v>0</v>
      </c>
      <c r="AC37" s="468">
        <f>AA37*AC$19</f>
        <v>0</v>
      </c>
      <c r="AD37" s="83"/>
    </row>
    <row r="38" spans="1:30" x14ac:dyDescent="0.25">
      <c r="A38" s="83" t="s">
        <v>667</v>
      </c>
      <c r="B38" s="476"/>
      <c r="C38" s="83"/>
      <c r="D38" s="427">
        <f>D65</f>
        <v>0</v>
      </c>
      <c r="E38" s="427">
        <f>E65</f>
        <v>0</v>
      </c>
      <c r="F38" s="83"/>
      <c r="G38" s="427">
        <f>G65</f>
        <v>0</v>
      </c>
      <c r="H38" s="427">
        <f>H65</f>
        <v>0</v>
      </c>
      <c r="I38" s="83"/>
      <c r="J38" s="427">
        <f>J65</f>
        <v>0</v>
      </c>
      <c r="K38" s="427">
        <f>K65</f>
        <v>0</v>
      </c>
      <c r="L38" s="83"/>
      <c r="M38" s="427">
        <f>M65</f>
        <v>0</v>
      </c>
      <c r="N38" s="427">
        <f>N65</f>
        <v>0</v>
      </c>
      <c r="O38" s="83"/>
      <c r="P38" s="427">
        <f>P65</f>
        <v>0</v>
      </c>
      <c r="Q38" s="427">
        <f>Q65</f>
        <v>0</v>
      </c>
      <c r="R38" s="476"/>
      <c r="S38" s="427">
        <f>S65</f>
        <v>0</v>
      </c>
      <c r="T38" s="427">
        <f>T65</f>
        <v>0</v>
      </c>
      <c r="U38" s="476"/>
      <c r="V38" s="427">
        <f>V65</f>
        <v>0</v>
      </c>
      <c r="W38" s="427">
        <f>W65</f>
        <v>0</v>
      </c>
      <c r="X38" s="476"/>
      <c r="Y38" s="427">
        <f>Y65</f>
        <v>0</v>
      </c>
      <c r="Z38" s="427">
        <f>Z65</f>
        <v>0</v>
      </c>
      <c r="AA38" s="476"/>
      <c r="AB38" s="427">
        <f>AB65</f>
        <v>0</v>
      </c>
      <c r="AC38" s="427">
        <f>AC65</f>
        <v>0</v>
      </c>
      <c r="AD38" s="83"/>
    </row>
    <row r="39" spans="1:30" x14ac:dyDescent="0.25">
      <c r="A39" s="83"/>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row>
    <row r="40" spans="1:30" ht="15.75" thickBot="1" x14ac:dyDescent="0.3">
      <c r="A40" s="60" t="s">
        <v>668</v>
      </c>
      <c r="B40" s="83"/>
      <c r="C40" s="83"/>
      <c r="D40" s="478">
        <f>SUM(D34:D38)</f>
        <v>0</v>
      </c>
      <c r="E40" s="478">
        <f>SUM(E34:E38)</f>
        <v>0</v>
      </c>
      <c r="F40" s="83"/>
      <c r="G40" s="478">
        <f>SUM(G34:G38)</f>
        <v>0</v>
      </c>
      <c r="H40" s="478">
        <f>SUM(H34:H38)</f>
        <v>0</v>
      </c>
      <c r="I40" s="83"/>
      <c r="J40" s="478">
        <f>SUM(J34:J38)</f>
        <v>0</v>
      </c>
      <c r="K40" s="478">
        <f>SUM(K34:K38)</f>
        <v>0</v>
      </c>
      <c r="L40" s="83"/>
      <c r="M40" s="478">
        <f>SUM(M34:M38)</f>
        <v>0</v>
      </c>
      <c r="N40" s="478">
        <f>SUM(N34:N38)</f>
        <v>0</v>
      </c>
      <c r="O40" s="83"/>
      <c r="P40" s="478">
        <f>SUM(P34:P38)</f>
        <v>0</v>
      </c>
      <c r="Q40" s="478">
        <f>SUM(Q34:Q38)</f>
        <v>0</v>
      </c>
      <c r="R40" s="83"/>
      <c r="S40" s="478">
        <f>SUM(S34:S38)</f>
        <v>0</v>
      </c>
      <c r="T40" s="478">
        <f>SUM(T34:T38)</f>
        <v>0</v>
      </c>
      <c r="U40" s="83"/>
      <c r="V40" s="478">
        <f>SUM(V34:V38)</f>
        <v>0</v>
      </c>
      <c r="W40" s="478">
        <f>SUM(W34:W38)</f>
        <v>0</v>
      </c>
      <c r="X40" s="83"/>
      <c r="Y40" s="478">
        <f>SUM(Y34:Y38)</f>
        <v>0</v>
      </c>
      <c r="Z40" s="478">
        <f>SUM(Z34:Z38)</f>
        <v>0</v>
      </c>
      <c r="AA40" s="83"/>
      <c r="AB40" s="478">
        <f>SUM(AB34:AB38)</f>
        <v>0</v>
      </c>
      <c r="AC40" s="478">
        <f>SUM(AC34:AC38)</f>
        <v>0</v>
      </c>
      <c r="AD40" s="83"/>
    </row>
    <row r="41" spans="1:30" x14ac:dyDescent="0.25">
      <c r="A41" s="83"/>
      <c r="B41" s="479"/>
      <c r="C41" s="83"/>
      <c r="D41" s="480"/>
      <c r="E41" s="480"/>
      <c r="F41" s="83"/>
      <c r="G41" s="480"/>
      <c r="H41" s="480"/>
      <c r="I41" s="83"/>
      <c r="J41" s="480"/>
      <c r="K41" s="480"/>
      <c r="L41" s="83"/>
      <c r="M41" s="480"/>
      <c r="N41" s="480"/>
      <c r="O41" s="83"/>
      <c r="P41" s="480"/>
      <c r="Q41" s="480"/>
      <c r="R41" s="83"/>
      <c r="S41" s="480"/>
      <c r="T41" s="480"/>
      <c r="U41" s="83"/>
      <c r="V41" s="480"/>
      <c r="W41" s="480"/>
      <c r="X41" s="83"/>
      <c r="Y41" s="480"/>
      <c r="Z41" s="480"/>
      <c r="AA41" s="83"/>
      <c r="AB41" s="480"/>
      <c r="AC41" s="480"/>
      <c r="AD41" s="83"/>
    </row>
    <row r="42" spans="1:30" x14ac:dyDescent="0.25">
      <c r="A42" s="83"/>
      <c r="B42" s="481"/>
      <c r="C42" s="83"/>
      <c r="D42" s="468"/>
      <c r="E42" s="436"/>
      <c r="F42" s="83"/>
      <c r="G42" s="468"/>
      <c r="H42" s="436"/>
      <c r="I42" s="83"/>
      <c r="J42" s="468"/>
      <c r="K42" s="436"/>
      <c r="L42" s="83"/>
      <c r="M42" s="468"/>
      <c r="N42" s="436"/>
      <c r="O42" s="83"/>
      <c r="P42" s="468"/>
      <c r="Q42" s="436"/>
      <c r="R42" s="468"/>
      <c r="S42" s="83"/>
      <c r="T42" s="468"/>
      <c r="U42" s="468"/>
      <c r="V42" s="83"/>
      <c r="W42" s="468"/>
      <c r="X42" s="468"/>
      <c r="Y42" s="83"/>
      <c r="Z42" s="468"/>
      <c r="AA42" s="468"/>
      <c r="AB42" s="83"/>
      <c r="AC42" s="468"/>
      <c r="AD42" s="83"/>
    </row>
    <row r="43" spans="1:30" x14ac:dyDescent="0.25">
      <c r="A43" s="83" t="s">
        <v>669</v>
      </c>
      <c r="B43" s="481"/>
      <c r="C43" s="83"/>
      <c r="D43" s="468"/>
      <c r="E43" s="482">
        <f>E40</f>
        <v>0</v>
      </c>
      <c r="F43" s="83"/>
      <c r="G43" s="468"/>
      <c r="H43" s="482">
        <f>H40</f>
        <v>0</v>
      </c>
      <c r="I43" s="83"/>
      <c r="J43" s="468"/>
      <c r="K43" s="482">
        <f>K40</f>
        <v>0</v>
      </c>
      <c r="L43" s="83"/>
      <c r="M43" s="468"/>
      <c r="N43" s="482">
        <f>N40</f>
        <v>0</v>
      </c>
      <c r="O43" s="83"/>
      <c r="P43" s="468"/>
      <c r="Q43" s="482">
        <f>Q40</f>
        <v>0</v>
      </c>
      <c r="R43" s="468"/>
      <c r="S43" s="83"/>
      <c r="T43" s="482">
        <f>T40</f>
        <v>0</v>
      </c>
      <c r="U43" s="468"/>
      <c r="V43" s="83"/>
      <c r="W43" s="482">
        <f>W40</f>
        <v>0</v>
      </c>
      <c r="X43" s="468"/>
      <c r="Y43" s="83"/>
      <c r="Z43" s="482">
        <f>Z40</f>
        <v>0</v>
      </c>
      <c r="AA43" s="468"/>
      <c r="AB43" s="83"/>
      <c r="AC43" s="482">
        <f>AC40</f>
        <v>0</v>
      </c>
      <c r="AD43" s="83"/>
    </row>
    <row r="44" spans="1:30" x14ac:dyDescent="0.25">
      <c r="A44" s="83"/>
      <c r="B44" s="483"/>
      <c r="C44" s="83"/>
      <c r="D44" s="484"/>
      <c r="E44" s="436"/>
      <c r="F44" s="83"/>
      <c r="G44" s="484"/>
      <c r="H44" s="436"/>
      <c r="I44" s="83"/>
      <c r="J44" s="484"/>
      <c r="K44" s="436"/>
      <c r="L44" s="83"/>
      <c r="M44" s="484"/>
      <c r="N44" s="436"/>
      <c r="O44" s="83"/>
      <c r="P44" s="484"/>
      <c r="Q44" s="436"/>
      <c r="R44" s="83"/>
      <c r="S44" s="485"/>
      <c r="T44" s="436"/>
      <c r="U44" s="83"/>
      <c r="V44" s="485"/>
      <c r="W44" s="436"/>
      <c r="X44" s="83"/>
      <c r="Y44" s="485"/>
      <c r="Z44" s="436"/>
      <c r="AA44" s="83"/>
      <c r="AB44" s="485"/>
      <c r="AC44" s="436"/>
      <c r="AD44" s="83"/>
    </row>
    <row r="45" spans="1:30" x14ac:dyDescent="0.25">
      <c r="A45" s="102" t="s">
        <v>869</v>
      </c>
      <c r="B45" s="83"/>
      <c r="C45" s="427"/>
      <c r="D45" s="427"/>
      <c r="E45" s="482">
        <f>E43/12</f>
        <v>0</v>
      </c>
      <c r="F45" s="427"/>
      <c r="G45" s="427"/>
      <c r="H45" s="482">
        <f>H43/12</f>
        <v>0</v>
      </c>
      <c r="I45" s="427"/>
      <c r="J45" s="427"/>
      <c r="K45" s="482">
        <f>K43/12</f>
        <v>0</v>
      </c>
      <c r="L45" s="427"/>
      <c r="M45" s="427"/>
      <c r="N45" s="482">
        <f>N43/12</f>
        <v>0</v>
      </c>
      <c r="O45" s="427"/>
      <c r="P45" s="427"/>
      <c r="Q45" s="482">
        <f>Q43/12</f>
        <v>0</v>
      </c>
      <c r="R45" s="427"/>
      <c r="S45" s="83"/>
      <c r="T45" s="482">
        <f>T43/12</f>
        <v>0</v>
      </c>
      <c r="U45" s="427"/>
      <c r="V45" s="83"/>
      <c r="W45" s="482">
        <f>W43/12</f>
        <v>0</v>
      </c>
      <c r="X45" s="427"/>
      <c r="Y45" s="83"/>
      <c r="Z45" s="482">
        <f>Z43/12</f>
        <v>0</v>
      </c>
      <c r="AA45" s="427"/>
      <c r="AB45" s="83"/>
      <c r="AC45" s="482">
        <f>AC43/12</f>
        <v>0</v>
      </c>
      <c r="AD45" s="83"/>
    </row>
    <row r="46" spans="1:30" x14ac:dyDescent="0.25">
      <c r="A46" s="102"/>
      <c r="B46" s="83"/>
      <c r="C46" s="83"/>
      <c r="D46" s="83"/>
      <c r="E46" s="83"/>
      <c r="F46" s="83"/>
      <c r="G46" s="83"/>
      <c r="H46" s="83"/>
      <c r="I46" s="83"/>
      <c r="J46" s="83"/>
      <c r="K46" s="83"/>
      <c r="L46" s="83"/>
      <c r="M46" s="83"/>
      <c r="N46" s="427"/>
      <c r="O46" s="427"/>
      <c r="P46" s="427"/>
      <c r="Q46" s="486"/>
      <c r="R46" s="427"/>
      <c r="S46" s="83"/>
      <c r="T46" s="427"/>
      <c r="U46" s="427"/>
      <c r="V46" s="83"/>
      <c r="W46" s="83"/>
      <c r="X46" s="427"/>
      <c r="Y46" s="83"/>
      <c r="Z46" s="427"/>
      <c r="AA46" s="427"/>
      <c r="AB46" s="83"/>
      <c r="AC46" s="83"/>
      <c r="AD46" s="83"/>
    </row>
    <row r="47" spans="1:30" ht="12.75" customHeight="1" x14ac:dyDescent="0.25">
      <c r="A47" s="1748" t="s">
        <v>878</v>
      </c>
      <c r="B47" s="1748"/>
      <c r="C47" s="1748"/>
      <c r="D47" s="1748"/>
      <c r="E47" s="1748"/>
      <c r="F47" s="1748"/>
      <c r="G47" s="1748"/>
      <c r="H47" s="1748"/>
      <c r="I47" s="1748"/>
      <c r="J47" s="1748"/>
      <c r="K47" s="1748"/>
      <c r="L47" s="1748"/>
      <c r="M47" s="1748"/>
      <c r="N47" s="1748"/>
      <c r="O47" s="1748"/>
      <c r="P47" s="1748"/>
      <c r="Q47" s="1748"/>
      <c r="R47" s="1748"/>
      <c r="S47" s="1748"/>
      <c r="T47" s="1748"/>
      <c r="U47" s="1748"/>
      <c r="V47" s="1748"/>
      <c r="W47" s="1748"/>
      <c r="X47" s="83"/>
      <c r="Y47" s="83"/>
      <c r="Z47" s="83"/>
      <c r="AA47" s="83"/>
      <c r="AB47" s="83"/>
      <c r="AC47" s="83"/>
      <c r="AD47" s="83"/>
    </row>
    <row r="48" spans="1:30" ht="12.75" customHeight="1" x14ac:dyDescent="0.25">
      <c r="A48" s="487" t="s">
        <v>879</v>
      </c>
      <c r="B48" s="1074"/>
      <c r="C48" s="1074"/>
      <c r="D48" s="1074"/>
      <c r="E48" s="1074"/>
      <c r="F48" s="1074"/>
      <c r="G48" s="1074"/>
      <c r="H48" s="1074"/>
      <c r="I48" s="1074"/>
      <c r="J48" s="1074"/>
      <c r="K48" s="1074"/>
      <c r="L48" s="1074"/>
      <c r="M48" s="1074"/>
      <c r="N48" s="1074"/>
      <c r="O48" s="1074"/>
      <c r="P48" s="1074"/>
      <c r="Q48" s="1074"/>
      <c r="R48" s="1074"/>
      <c r="S48" s="1074"/>
      <c r="T48" s="1074"/>
      <c r="U48" s="1074"/>
      <c r="V48" s="1074"/>
      <c r="W48" s="1074"/>
      <c r="X48" s="83"/>
      <c r="Y48" s="83"/>
      <c r="Z48" s="83"/>
      <c r="AA48" s="83"/>
      <c r="AB48" s="83"/>
      <c r="AC48" s="83"/>
      <c r="AD48" s="83"/>
    </row>
    <row r="49" spans="1:30" x14ac:dyDescent="0.25">
      <c r="A49" s="1748" t="s">
        <v>1029</v>
      </c>
      <c r="B49" s="1748"/>
      <c r="C49" s="1748"/>
      <c r="D49" s="1748"/>
      <c r="E49" s="1748"/>
      <c r="F49" s="1748"/>
      <c r="G49" s="1748"/>
      <c r="H49" s="1748"/>
      <c r="I49" s="1748"/>
      <c r="J49" s="1748"/>
      <c r="K49" s="1748"/>
      <c r="L49" s="1748"/>
      <c r="M49" s="1748"/>
      <c r="N49" s="1748"/>
      <c r="O49" s="1748"/>
      <c r="P49" s="1748"/>
      <c r="Q49" s="1748"/>
      <c r="R49" s="1748"/>
      <c r="S49" s="1748"/>
      <c r="T49" s="1748"/>
      <c r="U49" s="1748"/>
      <c r="V49" s="1748"/>
      <c r="W49" s="1748"/>
      <c r="X49" s="83"/>
      <c r="Y49" s="83"/>
      <c r="Z49" s="83"/>
      <c r="AA49" s="83"/>
      <c r="AB49" s="83"/>
      <c r="AC49" s="83"/>
      <c r="AD49" s="83"/>
    </row>
    <row r="50" spans="1:30" x14ac:dyDescent="0.25">
      <c r="A50" s="1749"/>
      <c r="B50" s="1749"/>
      <c r="C50" s="1075"/>
      <c r="D50" s="1075"/>
      <c r="E50" s="1075"/>
      <c r="F50" s="1075"/>
      <c r="G50" s="1075"/>
      <c r="H50" s="1075"/>
      <c r="I50" s="1075"/>
      <c r="J50" s="1075"/>
      <c r="K50" s="1075"/>
      <c r="L50" s="1075"/>
      <c r="M50" s="1075"/>
      <c r="N50" s="488"/>
      <c r="O50" s="488"/>
      <c r="P50" s="488"/>
      <c r="Q50" s="488"/>
      <c r="R50" s="436"/>
      <c r="S50" s="83"/>
      <c r="T50" s="83"/>
      <c r="U50" s="83"/>
      <c r="V50" s="83"/>
      <c r="W50" s="83"/>
      <c r="X50" s="83"/>
      <c r="Y50" s="83"/>
      <c r="Z50" s="83"/>
      <c r="AA50" s="83"/>
      <c r="AB50" s="83"/>
      <c r="AC50" s="83"/>
      <c r="AD50" s="83"/>
    </row>
    <row r="51" spans="1:30" ht="16.5" thickBot="1" x14ac:dyDescent="0.3">
      <c r="A51" s="489" t="s">
        <v>670</v>
      </c>
      <c r="B51" s="1075"/>
      <c r="C51" s="1075"/>
      <c r="D51" s="1075"/>
      <c r="E51" s="1075"/>
      <c r="F51" s="1075"/>
      <c r="G51" s="1075"/>
      <c r="H51" s="1075"/>
      <c r="I51" s="1075"/>
      <c r="J51" s="1075"/>
      <c r="K51" s="1075"/>
      <c r="L51" s="1075"/>
      <c r="M51" s="1075"/>
      <c r="N51" s="488"/>
      <c r="O51" s="488"/>
      <c r="P51" s="488"/>
      <c r="Q51" s="488"/>
      <c r="R51" s="436"/>
      <c r="S51" s="83"/>
      <c r="T51" s="83"/>
      <c r="U51" s="83"/>
      <c r="V51" s="83"/>
      <c r="W51" s="83"/>
      <c r="X51" s="83"/>
      <c r="Y51" s="83"/>
      <c r="Z51" s="83"/>
      <c r="AA51" s="83"/>
      <c r="AB51" s="83"/>
      <c r="AC51" s="83"/>
      <c r="AD51" s="83"/>
    </row>
    <row r="52" spans="1:30" s="452" customFormat="1" ht="15.75" thickBot="1" x14ac:dyDescent="0.3">
      <c r="A52" s="490"/>
      <c r="B52" s="1075"/>
      <c r="C52" s="1075"/>
      <c r="D52" s="1746">
        <f>C17</f>
        <v>2013</v>
      </c>
      <c r="E52" s="1747"/>
      <c r="F52" s="451"/>
      <c r="G52" s="1746">
        <f>F17</f>
        <v>2014</v>
      </c>
      <c r="H52" s="1747"/>
      <c r="I52" s="451"/>
      <c r="J52" s="1746">
        <f>I17</f>
        <v>2015</v>
      </c>
      <c r="K52" s="1747"/>
      <c r="L52" s="451"/>
      <c r="M52" s="1746">
        <f>L17</f>
        <v>2016</v>
      </c>
      <c r="N52" s="1747"/>
      <c r="O52" s="451"/>
      <c r="P52" s="1746" t="str">
        <f>O17</f>
        <v>2017 Test Year</v>
      </c>
      <c r="Q52" s="1747"/>
      <c r="R52" s="451"/>
      <c r="S52" s="1746">
        <f>R17</f>
        <v>2018</v>
      </c>
      <c r="T52" s="1747"/>
      <c r="U52" s="451"/>
      <c r="V52" s="1746">
        <f>U17</f>
        <v>2019</v>
      </c>
      <c r="W52" s="1747"/>
      <c r="X52" s="451"/>
      <c r="Y52" s="1746">
        <f>X17</f>
        <v>2020</v>
      </c>
      <c r="Z52" s="1747"/>
      <c r="AA52" s="451"/>
      <c r="AB52" s="1746">
        <f>AA17</f>
        <v>2021</v>
      </c>
      <c r="AC52" s="1747"/>
      <c r="AD52" s="451"/>
    </row>
    <row r="53" spans="1:30" x14ac:dyDescent="0.25">
      <c r="A53" s="491" t="s">
        <v>671</v>
      </c>
      <c r="B53" s="1075"/>
      <c r="C53" s="1075"/>
      <c r="D53" s="60" t="s">
        <v>654</v>
      </c>
      <c r="E53" s="422" t="s">
        <v>655</v>
      </c>
      <c r="F53" s="83"/>
      <c r="G53" s="60" t="s">
        <v>654</v>
      </c>
      <c r="H53" s="422" t="s">
        <v>655</v>
      </c>
      <c r="I53" s="83"/>
      <c r="J53" s="60" t="s">
        <v>654</v>
      </c>
      <c r="K53" s="422" t="s">
        <v>655</v>
      </c>
      <c r="L53" s="83"/>
      <c r="M53" s="60" t="s">
        <v>654</v>
      </c>
      <c r="N53" s="422" t="s">
        <v>655</v>
      </c>
      <c r="O53" s="83"/>
      <c r="P53" s="60" t="s">
        <v>654</v>
      </c>
      <c r="Q53" s="422" t="s">
        <v>655</v>
      </c>
      <c r="R53" s="83"/>
      <c r="S53" s="60" t="s">
        <v>654</v>
      </c>
      <c r="T53" s="422" t="s">
        <v>655</v>
      </c>
      <c r="U53" s="83"/>
      <c r="V53" s="60" t="s">
        <v>654</v>
      </c>
      <c r="W53" s="422" t="s">
        <v>655</v>
      </c>
      <c r="X53" s="83"/>
      <c r="Y53" s="60" t="s">
        <v>654</v>
      </c>
      <c r="Z53" s="422" t="s">
        <v>655</v>
      </c>
      <c r="AA53" s="83"/>
      <c r="AB53" s="60" t="s">
        <v>654</v>
      </c>
      <c r="AC53" s="422" t="s">
        <v>655</v>
      </c>
      <c r="AD53" s="83"/>
    </row>
    <row r="54" spans="1:30" x14ac:dyDescent="0.25">
      <c r="A54" s="492"/>
      <c r="B54" s="1075"/>
      <c r="C54" s="1075"/>
      <c r="D54" s="60"/>
      <c r="E54" s="422"/>
      <c r="F54" s="454"/>
      <c r="G54" s="60"/>
      <c r="H54" s="422"/>
      <c r="I54" s="454"/>
      <c r="J54" s="60"/>
      <c r="K54" s="422"/>
      <c r="L54" s="454"/>
      <c r="M54" s="60"/>
      <c r="N54" s="422"/>
      <c r="O54" s="454"/>
      <c r="P54" s="60"/>
      <c r="Q54" s="422"/>
      <c r="R54" s="454"/>
      <c r="S54" s="60"/>
      <c r="T54" s="422"/>
      <c r="U54" s="454"/>
      <c r="V54" s="60"/>
      <c r="W54" s="422"/>
      <c r="X54" s="454" t="s">
        <v>295</v>
      </c>
      <c r="Y54" s="60"/>
      <c r="Z54" s="422"/>
      <c r="AA54" s="454" t="s">
        <v>295</v>
      </c>
      <c r="AB54" s="60"/>
      <c r="AC54" s="422"/>
      <c r="AD54" s="83"/>
    </row>
    <row r="55" spans="1:30" x14ac:dyDescent="0.25">
      <c r="A55" s="493" t="s">
        <v>672</v>
      </c>
      <c r="B55" s="1075"/>
      <c r="C55" s="1075"/>
      <c r="D55" s="439">
        <f>D33</f>
        <v>0</v>
      </c>
      <c r="E55" s="494">
        <f>E33</f>
        <v>0</v>
      </c>
      <c r="F55" s="439"/>
      <c r="G55" s="439">
        <f>G33</f>
        <v>0</v>
      </c>
      <c r="H55" s="494">
        <f>H33</f>
        <v>0</v>
      </c>
      <c r="I55" s="439"/>
      <c r="J55" s="439">
        <f>J33</f>
        <v>0</v>
      </c>
      <c r="K55" s="494">
        <f>K33</f>
        <v>0</v>
      </c>
      <c r="L55" s="439"/>
      <c r="M55" s="439">
        <f>M33</f>
        <v>0</v>
      </c>
      <c r="N55" s="494">
        <f>N33</f>
        <v>0</v>
      </c>
      <c r="O55" s="439"/>
      <c r="P55" s="439">
        <f>P33</f>
        <v>0</v>
      </c>
      <c r="Q55" s="494">
        <f>Q33</f>
        <v>0</v>
      </c>
      <c r="R55" s="439"/>
      <c r="S55" s="439">
        <f>S33</f>
        <v>0</v>
      </c>
      <c r="T55" s="494">
        <f>T33</f>
        <v>0</v>
      </c>
      <c r="U55" s="439"/>
      <c r="V55" s="439">
        <f>V33</f>
        <v>0</v>
      </c>
      <c r="W55" s="494">
        <f>W33</f>
        <v>0</v>
      </c>
      <c r="X55" s="439"/>
      <c r="Y55" s="439">
        <f>Y33</f>
        <v>0</v>
      </c>
      <c r="Z55" s="494">
        <f>Z33</f>
        <v>0</v>
      </c>
      <c r="AA55" s="439"/>
      <c r="AB55" s="439">
        <f>AB33</f>
        <v>0</v>
      </c>
      <c r="AC55" s="494">
        <f>AC33</f>
        <v>0</v>
      </c>
      <c r="AD55" s="83"/>
    </row>
    <row r="56" spans="1:30" x14ac:dyDescent="0.25">
      <c r="A56" s="493" t="s">
        <v>673</v>
      </c>
      <c r="B56" s="1075"/>
      <c r="C56" s="1075"/>
      <c r="D56" s="459">
        <f>D37</f>
        <v>0</v>
      </c>
      <c r="E56" s="459">
        <f>E37</f>
        <v>0</v>
      </c>
      <c r="F56" s="438"/>
      <c r="G56" s="459">
        <f>G37</f>
        <v>0</v>
      </c>
      <c r="H56" s="459">
        <f>H37</f>
        <v>0</v>
      </c>
      <c r="I56" s="438"/>
      <c r="J56" s="459">
        <f>J37</f>
        <v>0</v>
      </c>
      <c r="K56" s="459">
        <f>K37</f>
        <v>0</v>
      </c>
      <c r="L56" s="438"/>
      <c r="M56" s="459">
        <f>M37</f>
        <v>0</v>
      </c>
      <c r="N56" s="459">
        <f>N37</f>
        <v>0</v>
      </c>
      <c r="O56" s="438"/>
      <c r="P56" s="459">
        <f>P37</f>
        <v>0</v>
      </c>
      <c r="Q56" s="459">
        <f>Q37</f>
        <v>0</v>
      </c>
      <c r="R56" s="438"/>
      <c r="S56" s="459">
        <f>S37</f>
        <v>0</v>
      </c>
      <c r="T56" s="459">
        <f>T37</f>
        <v>0</v>
      </c>
      <c r="U56" s="438"/>
      <c r="V56" s="459">
        <f>V37</f>
        <v>0</v>
      </c>
      <c r="W56" s="459">
        <f>W37</f>
        <v>0</v>
      </c>
      <c r="X56" s="438"/>
      <c r="Y56" s="459">
        <f>Y37</f>
        <v>0</v>
      </c>
      <c r="Z56" s="459">
        <f>Z37</f>
        <v>0</v>
      </c>
      <c r="AA56" s="438"/>
      <c r="AB56" s="459">
        <f>AB37</f>
        <v>0</v>
      </c>
      <c r="AC56" s="459">
        <f>AC37</f>
        <v>0</v>
      </c>
      <c r="AD56" s="83"/>
    </row>
    <row r="57" spans="1:30" x14ac:dyDescent="0.25">
      <c r="A57" s="493" t="s">
        <v>674</v>
      </c>
      <c r="B57" s="1075"/>
      <c r="C57" s="1075"/>
      <c r="D57" s="438">
        <f>-D94*D$19</f>
        <v>0</v>
      </c>
      <c r="E57" s="438">
        <f>-D94*E$19</f>
        <v>0</v>
      </c>
      <c r="F57" s="438"/>
      <c r="G57" s="438">
        <f>-E94*G19</f>
        <v>0</v>
      </c>
      <c r="H57" s="438">
        <f>-E94*H$19</f>
        <v>0</v>
      </c>
      <c r="I57" s="438"/>
      <c r="J57" s="438">
        <f>-F94*J$19</f>
        <v>0</v>
      </c>
      <c r="K57" s="438">
        <f>-F94*K$19</f>
        <v>0</v>
      </c>
      <c r="L57" s="438"/>
      <c r="M57" s="438">
        <f>-G94*M$19</f>
        <v>0</v>
      </c>
      <c r="N57" s="438">
        <f>-G94*N$19</f>
        <v>0</v>
      </c>
      <c r="O57" s="438"/>
      <c r="P57" s="438">
        <f>-H94*P$19</f>
        <v>0</v>
      </c>
      <c r="Q57" s="438">
        <f>-H94*Q$19</f>
        <v>0</v>
      </c>
      <c r="R57" s="438"/>
      <c r="S57" s="438">
        <f>-I94*S$19</f>
        <v>0</v>
      </c>
      <c r="T57" s="438">
        <f>-I94*T$19</f>
        <v>0</v>
      </c>
      <c r="U57" s="438"/>
      <c r="V57" s="438">
        <f>-J94*V$19</f>
        <v>0</v>
      </c>
      <c r="W57" s="438">
        <f>-J94*W$19</f>
        <v>0</v>
      </c>
      <c r="X57" s="495"/>
      <c r="Y57" s="438">
        <f>-K94*Y$19</f>
        <v>0</v>
      </c>
      <c r="Z57" s="438">
        <f>-K94*Z$19</f>
        <v>0</v>
      </c>
      <c r="AA57" s="438"/>
      <c r="AB57" s="438">
        <f>-L94*AB$19</f>
        <v>0</v>
      </c>
      <c r="AC57" s="438">
        <f>-L94*AC$19</f>
        <v>0</v>
      </c>
      <c r="AD57" s="83"/>
    </row>
    <row r="58" spans="1:30" x14ac:dyDescent="0.25">
      <c r="A58" s="492" t="s">
        <v>675</v>
      </c>
      <c r="B58" s="1075"/>
      <c r="C58" s="1075"/>
      <c r="D58" s="496">
        <f>SUM(D55:D57)</f>
        <v>0</v>
      </c>
      <c r="E58" s="496">
        <f>SUM(E55:E57)</f>
        <v>0</v>
      </c>
      <c r="F58" s="438"/>
      <c r="G58" s="496">
        <f>SUM(G55:G57)</f>
        <v>0</v>
      </c>
      <c r="H58" s="496">
        <f>SUM(H55:H57)</f>
        <v>0</v>
      </c>
      <c r="I58" s="438"/>
      <c r="J58" s="496">
        <f>SUM(J55:J57)</f>
        <v>0</v>
      </c>
      <c r="K58" s="496">
        <f>SUM(K55:K57)</f>
        <v>0</v>
      </c>
      <c r="L58" s="438"/>
      <c r="M58" s="496">
        <f>SUM(M55:M57)</f>
        <v>0</v>
      </c>
      <c r="N58" s="496">
        <f>SUM(N55:N57)</f>
        <v>0</v>
      </c>
      <c r="O58" s="438"/>
      <c r="P58" s="496">
        <f>SUM(P55:P57)</f>
        <v>0</v>
      </c>
      <c r="Q58" s="496">
        <f>SUM(Q55:Q57)</f>
        <v>0</v>
      </c>
      <c r="R58" s="438"/>
      <c r="S58" s="496">
        <f>SUM(S55:S57)</f>
        <v>0</v>
      </c>
      <c r="T58" s="496">
        <f>SUM(T55:T57)</f>
        <v>0</v>
      </c>
      <c r="U58" s="438"/>
      <c r="V58" s="496">
        <f>SUM(V55:V57)</f>
        <v>0</v>
      </c>
      <c r="W58" s="496">
        <f>SUM(W55:W57)</f>
        <v>0</v>
      </c>
      <c r="X58" s="495"/>
      <c r="Y58" s="496">
        <f>SUM(Y55:Y57)</f>
        <v>0</v>
      </c>
      <c r="Z58" s="496">
        <f>SUM(Z55:Z57)</f>
        <v>0</v>
      </c>
      <c r="AA58" s="438"/>
      <c r="AB58" s="496">
        <f>SUM(AB55:AB57)</f>
        <v>0</v>
      </c>
      <c r="AC58" s="496">
        <f>SUM(AC55:AC57)</f>
        <v>0</v>
      </c>
      <c r="AD58" s="83"/>
    </row>
    <row r="59" spans="1:30" x14ac:dyDescent="0.25">
      <c r="A59" s="493"/>
      <c r="B59" s="1075"/>
      <c r="C59" s="1075"/>
      <c r="D59" s="438"/>
      <c r="E59" s="438"/>
      <c r="F59" s="438"/>
      <c r="G59" s="438"/>
      <c r="H59" s="438"/>
      <c r="I59" s="438"/>
      <c r="J59" s="438"/>
      <c r="K59" s="438"/>
      <c r="L59" s="438"/>
      <c r="M59" s="438"/>
      <c r="N59" s="438"/>
      <c r="O59" s="438"/>
      <c r="P59" s="438"/>
      <c r="Q59" s="438"/>
      <c r="R59" s="438"/>
      <c r="S59" s="438"/>
      <c r="T59" s="438"/>
      <c r="U59" s="438"/>
      <c r="V59" s="438"/>
      <c r="W59" s="438"/>
      <c r="X59" s="495"/>
      <c r="Y59" s="438"/>
      <c r="Z59" s="438"/>
      <c r="AA59" s="438"/>
      <c r="AB59" s="438"/>
      <c r="AC59" s="438"/>
      <c r="AD59" s="83"/>
    </row>
    <row r="60" spans="1:30" x14ac:dyDescent="0.25">
      <c r="A60" s="493" t="s">
        <v>676</v>
      </c>
      <c r="B60" s="488"/>
      <c r="C60" s="488"/>
      <c r="D60" s="497"/>
      <c r="E60" s="497"/>
      <c r="F60" s="495"/>
      <c r="G60" s="497"/>
      <c r="H60" s="497"/>
      <c r="I60" s="495"/>
      <c r="J60" s="497"/>
      <c r="K60" s="497"/>
      <c r="L60" s="495"/>
      <c r="M60" s="497"/>
      <c r="N60" s="497"/>
      <c r="O60" s="495"/>
      <c r="P60" s="497"/>
      <c r="Q60" s="497"/>
      <c r="R60" s="495"/>
      <c r="S60" s="497"/>
      <c r="T60" s="497"/>
      <c r="U60" s="495"/>
      <c r="V60" s="497"/>
      <c r="W60" s="497"/>
      <c r="X60" s="495"/>
      <c r="Y60" s="497"/>
      <c r="Z60" s="497"/>
      <c r="AA60" s="438"/>
      <c r="AB60" s="497"/>
      <c r="AC60" s="497"/>
      <c r="AD60" s="83"/>
    </row>
    <row r="61" spans="1:3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row>
    <row r="62" spans="1:30" x14ac:dyDescent="0.25">
      <c r="A62" s="493" t="s">
        <v>677</v>
      </c>
      <c r="B62" s="1075"/>
      <c r="C62" s="1075"/>
      <c r="D62" s="498">
        <f>D58*D60</f>
        <v>0</v>
      </c>
      <c r="E62" s="498">
        <f>E58*E60</f>
        <v>0</v>
      </c>
      <c r="F62" s="438"/>
      <c r="G62" s="498">
        <f>G58*G60</f>
        <v>0</v>
      </c>
      <c r="H62" s="498">
        <f>H58*H60</f>
        <v>0</v>
      </c>
      <c r="I62" s="438"/>
      <c r="J62" s="498">
        <f>J58*J60</f>
        <v>0</v>
      </c>
      <c r="K62" s="498">
        <f>K58*K60</f>
        <v>0</v>
      </c>
      <c r="L62" s="438"/>
      <c r="M62" s="498">
        <f>M58*M60</f>
        <v>0</v>
      </c>
      <c r="N62" s="498">
        <f>N58*N60</f>
        <v>0</v>
      </c>
      <c r="O62" s="438"/>
      <c r="P62" s="498">
        <f>P58*P60</f>
        <v>0</v>
      </c>
      <c r="Q62" s="498">
        <f>Q58*Q60</f>
        <v>0</v>
      </c>
      <c r="R62" s="438"/>
      <c r="S62" s="498">
        <f>S58*S60</f>
        <v>0</v>
      </c>
      <c r="T62" s="498">
        <f>T58*T60</f>
        <v>0</v>
      </c>
      <c r="U62" s="438"/>
      <c r="V62" s="498">
        <f>V58*V60</f>
        <v>0</v>
      </c>
      <c r="W62" s="498">
        <f>W58*W60</f>
        <v>0</v>
      </c>
      <c r="X62" s="438"/>
      <c r="Y62" s="498">
        <f>Y58*Y60</f>
        <v>0</v>
      </c>
      <c r="Z62" s="498">
        <f>Z58*Z60</f>
        <v>0</v>
      </c>
      <c r="AA62" s="438"/>
      <c r="AB62" s="498">
        <f>AB58*AB60</f>
        <v>0</v>
      </c>
      <c r="AC62" s="498">
        <f>AC58*AC60</f>
        <v>0</v>
      </c>
      <c r="AD62" s="83"/>
    </row>
    <row r="63" spans="1:30" x14ac:dyDescent="0.25">
      <c r="A63" s="499" t="s">
        <v>678</v>
      </c>
      <c r="B63" s="1075"/>
      <c r="C63" s="1075"/>
      <c r="D63" s="493"/>
      <c r="E63" s="493"/>
      <c r="F63" s="490"/>
      <c r="G63" s="493"/>
      <c r="H63" s="493"/>
      <c r="I63" s="490"/>
      <c r="J63" s="493"/>
      <c r="K63" s="493"/>
      <c r="L63" s="490"/>
      <c r="M63" s="493"/>
      <c r="N63" s="493"/>
      <c r="O63" s="490"/>
      <c r="P63" s="493"/>
      <c r="Q63" s="493"/>
      <c r="R63" s="490"/>
      <c r="S63" s="493"/>
      <c r="T63" s="493"/>
      <c r="U63" s="490"/>
      <c r="V63" s="493"/>
      <c r="W63" s="493"/>
      <c r="X63" s="490"/>
      <c r="Y63" s="493"/>
      <c r="Z63" s="493"/>
      <c r="AA63" s="490"/>
      <c r="AB63" s="493"/>
      <c r="AC63" s="493"/>
      <c r="AD63" s="83"/>
    </row>
    <row r="64" spans="1:30" x14ac:dyDescent="0.25">
      <c r="A64" s="493" t="s">
        <v>677</v>
      </c>
      <c r="B64" s="1075"/>
      <c r="C64" s="1075"/>
      <c r="D64" s="500">
        <f>D62/(1-D60)</f>
        <v>0</v>
      </c>
      <c r="E64" s="500">
        <f>E62/(1-E60)</f>
        <v>0</v>
      </c>
      <c r="F64" s="501"/>
      <c r="G64" s="500">
        <f>G62/(1-G60)</f>
        <v>0</v>
      </c>
      <c r="H64" s="500">
        <f>H62/(1-H60)</f>
        <v>0</v>
      </c>
      <c r="I64" s="501"/>
      <c r="J64" s="500">
        <f>J62/(1-J60)</f>
        <v>0</v>
      </c>
      <c r="K64" s="500">
        <f>K62/(1-K60)</f>
        <v>0</v>
      </c>
      <c r="L64" s="501"/>
      <c r="M64" s="500">
        <f>M62/(1-M60)</f>
        <v>0</v>
      </c>
      <c r="N64" s="500">
        <f>N62/(1-N60)</f>
        <v>0</v>
      </c>
      <c r="O64" s="501"/>
      <c r="P64" s="500">
        <f>P62/(1-P60)</f>
        <v>0</v>
      </c>
      <c r="Q64" s="500">
        <f>Q62/(1-Q60)</f>
        <v>0</v>
      </c>
      <c r="R64" s="501"/>
      <c r="S64" s="500">
        <f>S62/(1-S60)</f>
        <v>0</v>
      </c>
      <c r="T64" s="500">
        <f>T62/(1-T60)</f>
        <v>0</v>
      </c>
      <c r="U64" s="501"/>
      <c r="V64" s="500">
        <f>V62/(1-V60)</f>
        <v>0</v>
      </c>
      <c r="W64" s="500">
        <f>W62/(1-W60)</f>
        <v>0</v>
      </c>
      <c r="X64" s="501"/>
      <c r="Y64" s="500">
        <f>Y62/(1-Y60)</f>
        <v>0</v>
      </c>
      <c r="Z64" s="500">
        <f>Z62/(1-Z60)</f>
        <v>0</v>
      </c>
      <c r="AA64" s="501"/>
      <c r="AB64" s="500">
        <f>AB62/(1-AB60)</f>
        <v>0</v>
      </c>
      <c r="AC64" s="500">
        <f>AC62/(1-AC60)</f>
        <v>0</v>
      </c>
      <c r="AD64" s="83"/>
    </row>
    <row r="65" spans="1:30" x14ac:dyDescent="0.25">
      <c r="A65" s="492" t="s">
        <v>679</v>
      </c>
      <c r="B65" s="1075"/>
      <c r="C65" s="1075"/>
      <c r="D65" s="502">
        <f>SUM(D64:D64)</f>
        <v>0</v>
      </c>
      <c r="E65" s="502">
        <f>SUM(E64:E64)</f>
        <v>0</v>
      </c>
      <c r="F65" s="503"/>
      <c r="G65" s="502">
        <f>SUM(G64:G64)</f>
        <v>0</v>
      </c>
      <c r="H65" s="502">
        <f>SUM(H64:H64)</f>
        <v>0</v>
      </c>
      <c r="I65" s="503"/>
      <c r="J65" s="502">
        <f>SUM(J64:J64)</f>
        <v>0</v>
      </c>
      <c r="K65" s="502">
        <f>SUM(K64:K64)</f>
        <v>0</v>
      </c>
      <c r="L65" s="503"/>
      <c r="M65" s="502">
        <f>SUM(M64:M64)</f>
        <v>0</v>
      </c>
      <c r="N65" s="502">
        <f>SUM(N64:N64)</f>
        <v>0</v>
      </c>
      <c r="O65" s="503"/>
      <c r="P65" s="502">
        <f>SUM(P64:P64)</f>
        <v>0</v>
      </c>
      <c r="Q65" s="502">
        <f>SUM(Q64:Q64)</f>
        <v>0</v>
      </c>
      <c r="R65" s="503"/>
      <c r="S65" s="502">
        <f>SUM(S64:S64)</f>
        <v>0</v>
      </c>
      <c r="T65" s="502">
        <f>SUM(T64:T64)</f>
        <v>0</v>
      </c>
      <c r="U65" s="503"/>
      <c r="V65" s="502">
        <f>SUM(V64:V64)</f>
        <v>0</v>
      </c>
      <c r="W65" s="502">
        <f>SUM(W64:W64)</f>
        <v>0</v>
      </c>
      <c r="X65" s="503"/>
      <c r="Y65" s="502">
        <f>SUM(Y64:Y64)</f>
        <v>0</v>
      </c>
      <c r="Z65" s="502">
        <f>SUM(Z64:Z64)</f>
        <v>0</v>
      </c>
      <c r="AA65" s="503"/>
      <c r="AB65" s="502">
        <f>SUM(AB64:AB64)</f>
        <v>0</v>
      </c>
      <c r="AC65" s="502">
        <f>SUM(AC64:AC64)</f>
        <v>0</v>
      </c>
      <c r="AD65" s="83"/>
    </row>
    <row r="66" spans="1:30" x14ac:dyDescent="0.25">
      <c r="A66" s="83"/>
      <c r="B66" s="1074"/>
      <c r="C66" s="1074"/>
      <c r="D66" s="1074"/>
      <c r="E66" s="1074"/>
      <c r="F66" s="1074"/>
      <c r="G66" s="1074"/>
      <c r="H66" s="1074"/>
      <c r="I66" s="1074"/>
      <c r="J66" s="1074"/>
      <c r="K66" s="1074"/>
      <c r="L66" s="1074"/>
      <c r="M66" s="1074"/>
      <c r="N66" s="504"/>
      <c r="O66" s="504"/>
      <c r="P66" s="504"/>
      <c r="Q66" s="504"/>
      <c r="R66" s="83"/>
      <c r="S66" s="83"/>
      <c r="T66" s="83"/>
      <c r="U66" s="83"/>
      <c r="V66" s="83"/>
      <c r="W66" s="83"/>
      <c r="X66" s="83"/>
      <c r="Y66" s="83"/>
      <c r="Z66" s="83"/>
      <c r="AA66" s="83"/>
      <c r="AB66" s="83"/>
      <c r="AC66" s="83"/>
      <c r="AD66" s="83"/>
    </row>
    <row r="67" spans="1:30" ht="15.75" thickBot="1" x14ac:dyDescent="0.3">
      <c r="A67" s="83"/>
      <c r="B67" s="1074"/>
      <c r="C67" s="1074"/>
      <c r="D67" s="1074"/>
      <c r="E67" s="1074"/>
      <c r="F67" s="1074"/>
      <c r="G67" s="1074"/>
      <c r="H67" s="1074"/>
      <c r="I67" s="1074"/>
      <c r="J67" s="1074"/>
      <c r="K67" s="1074"/>
      <c r="L67" s="1074"/>
      <c r="M67" s="1074"/>
      <c r="N67" s="504"/>
      <c r="O67" s="504"/>
      <c r="P67" s="504"/>
      <c r="Q67" s="504"/>
      <c r="R67" s="83"/>
      <c r="S67" s="83"/>
      <c r="T67" s="83"/>
      <c r="U67" s="43"/>
      <c r="V67" s="43"/>
      <c r="W67" s="43"/>
      <c r="X67" s="43"/>
      <c r="Y67" s="43"/>
      <c r="Z67" s="43"/>
      <c r="AA67" s="43"/>
      <c r="AB67" s="43"/>
      <c r="AC67" s="43"/>
      <c r="AD67" s="43"/>
    </row>
    <row r="68" spans="1:30" ht="16.5" thickBot="1" x14ac:dyDescent="0.3">
      <c r="A68" s="505"/>
      <c r="B68" s="505"/>
      <c r="C68" s="505"/>
      <c r="D68" s="506">
        <f>E68-1</f>
        <v>2013</v>
      </c>
      <c r="E68" s="506">
        <f>F68-1</f>
        <v>2014</v>
      </c>
      <c r="F68" s="506">
        <f>G68-1</f>
        <v>2015</v>
      </c>
      <c r="G68" s="506">
        <f>H68-1</f>
        <v>2016</v>
      </c>
      <c r="H68" s="506">
        <f>TestYear</f>
        <v>2017</v>
      </c>
      <c r="I68" s="507">
        <f>H68+1</f>
        <v>2018</v>
      </c>
      <c r="J68" s="507">
        <f>I68+1</f>
        <v>2019</v>
      </c>
      <c r="K68" s="507">
        <f>J68+1</f>
        <v>2020</v>
      </c>
      <c r="L68" s="507">
        <f>K68+1</f>
        <v>2021</v>
      </c>
      <c r="M68" s="83"/>
      <c r="N68" s="508"/>
      <c r="O68" s="509"/>
      <c r="P68" s="509"/>
      <c r="Q68" s="509"/>
      <c r="R68" s="509"/>
      <c r="S68" s="509"/>
      <c r="T68" s="43"/>
      <c r="U68" s="43"/>
      <c r="V68" s="43"/>
      <c r="W68" s="43"/>
    </row>
    <row r="69" spans="1:30" x14ac:dyDescent="0.25">
      <c r="A69" s="510" t="s">
        <v>680</v>
      </c>
      <c r="B69" s="511"/>
      <c r="C69" s="511"/>
      <c r="D69" s="511"/>
      <c r="E69" s="511"/>
      <c r="F69" s="511"/>
      <c r="G69" s="512"/>
      <c r="H69" s="512"/>
      <c r="I69" s="512"/>
      <c r="J69" s="102"/>
      <c r="K69" s="512"/>
      <c r="L69" s="102"/>
      <c r="M69" s="83"/>
      <c r="N69" s="513"/>
      <c r="O69" s="514"/>
      <c r="P69" s="102"/>
      <c r="Q69" s="102"/>
      <c r="R69" s="509"/>
      <c r="S69" s="509"/>
      <c r="T69" s="509"/>
      <c r="U69" s="43"/>
      <c r="V69" s="43"/>
      <c r="W69" s="43"/>
    </row>
    <row r="70" spans="1:30" x14ac:dyDescent="0.25">
      <c r="A70" s="505"/>
      <c r="B70" s="515" t="s">
        <v>681</v>
      </c>
      <c r="C70" s="516">
        <v>25</v>
      </c>
      <c r="D70" s="515"/>
      <c r="E70" s="515"/>
      <c r="F70" s="515"/>
      <c r="H70" s="459"/>
      <c r="I70" s="459"/>
      <c r="J70" s="102"/>
      <c r="K70" s="459"/>
      <c r="L70" s="102"/>
      <c r="M70" s="83"/>
      <c r="N70" s="102"/>
      <c r="O70" s="102"/>
      <c r="P70" s="102"/>
      <c r="Q70" s="102"/>
      <c r="R70" s="509"/>
      <c r="S70" s="509"/>
      <c r="T70" s="509"/>
      <c r="U70" s="43"/>
      <c r="V70" s="43"/>
      <c r="W70" s="43"/>
    </row>
    <row r="71" spans="1:30" x14ac:dyDescent="0.25">
      <c r="A71" s="505" t="s">
        <v>682</v>
      </c>
      <c r="B71" s="505"/>
      <c r="C71" s="505"/>
      <c r="D71" s="496"/>
      <c r="E71" s="496">
        <f t="shared" ref="E71:L71" si="9">D73</f>
        <v>0</v>
      </c>
      <c r="F71" s="496">
        <f t="shared" si="9"/>
        <v>0</v>
      </c>
      <c r="G71" s="496">
        <f t="shared" si="9"/>
        <v>0</v>
      </c>
      <c r="H71" s="496">
        <f t="shared" si="9"/>
        <v>0</v>
      </c>
      <c r="I71" s="496">
        <f t="shared" si="9"/>
        <v>0</v>
      </c>
      <c r="J71" s="496">
        <f t="shared" si="9"/>
        <v>0</v>
      </c>
      <c r="K71" s="496">
        <f t="shared" si="9"/>
        <v>0</v>
      </c>
      <c r="L71" s="496">
        <f t="shared" si="9"/>
        <v>0</v>
      </c>
      <c r="M71" s="83"/>
      <c r="N71" s="102"/>
      <c r="O71" s="102"/>
      <c r="P71" s="102"/>
      <c r="Q71" s="102"/>
      <c r="R71" s="509"/>
      <c r="S71" s="509"/>
      <c r="T71" s="509"/>
      <c r="U71" s="43"/>
      <c r="V71" s="43"/>
      <c r="W71" s="43"/>
    </row>
    <row r="72" spans="1:30" x14ac:dyDescent="0.25">
      <c r="A72" s="505" t="s">
        <v>683</v>
      </c>
      <c r="B72" s="505"/>
      <c r="C72" s="505"/>
      <c r="D72" s="512">
        <f>'App.2-FA Proposed REG Invest.'!C62</f>
        <v>0</v>
      </c>
      <c r="E72" s="512">
        <f>'App.2-FA Proposed REG Invest.'!D62</f>
        <v>0</v>
      </c>
      <c r="F72" s="512">
        <f>'App.2-FA Proposed REG Invest.'!E62</f>
        <v>0</v>
      </c>
      <c r="G72" s="512">
        <f>'App.2-FA Proposed REG Invest.'!F62</f>
        <v>0</v>
      </c>
      <c r="H72" s="512">
        <f>'App.2-FA Proposed REG Invest.'!G62</f>
        <v>0</v>
      </c>
      <c r="I72" s="512">
        <f>'App.2-FA Proposed REG Invest.'!H62</f>
        <v>0</v>
      </c>
      <c r="J72" s="512">
        <f>'App.2-FA Proposed REG Invest.'!I62</f>
        <v>0</v>
      </c>
      <c r="K72" s="512">
        <f>'App.2-FA Proposed REG Invest.'!J62</f>
        <v>0</v>
      </c>
      <c r="L72" s="512">
        <f>'App.2-FA Proposed REG Invest.'!K62</f>
        <v>0</v>
      </c>
      <c r="M72" s="83"/>
      <c r="N72" s="102"/>
      <c r="O72" s="102"/>
      <c r="P72" s="102"/>
      <c r="Q72" s="517"/>
      <c r="R72" s="509"/>
      <c r="S72" s="509"/>
      <c r="T72" s="509"/>
      <c r="U72" s="43"/>
      <c r="V72" s="43"/>
      <c r="W72" s="43"/>
    </row>
    <row r="73" spans="1:30" x14ac:dyDescent="0.25">
      <c r="A73" s="505" t="s">
        <v>684</v>
      </c>
      <c r="B73" s="505"/>
      <c r="C73" s="505"/>
      <c r="D73" s="496">
        <f t="shared" ref="D73:L73" si="10">SUM(D71:D72)</f>
        <v>0</v>
      </c>
      <c r="E73" s="496">
        <f t="shared" si="10"/>
        <v>0</v>
      </c>
      <c r="F73" s="496">
        <f t="shared" si="10"/>
        <v>0</v>
      </c>
      <c r="G73" s="496">
        <f t="shared" si="10"/>
        <v>0</v>
      </c>
      <c r="H73" s="496">
        <f t="shared" si="10"/>
        <v>0</v>
      </c>
      <c r="I73" s="496">
        <f t="shared" si="10"/>
        <v>0</v>
      </c>
      <c r="J73" s="496">
        <f t="shared" si="10"/>
        <v>0</v>
      </c>
      <c r="K73" s="496">
        <f t="shared" si="10"/>
        <v>0</v>
      </c>
      <c r="L73" s="496">
        <f t="shared" si="10"/>
        <v>0</v>
      </c>
      <c r="M73" s="83"/>
      <c r="N73" s="509"/>
      <c r="O73" s="509"/>
      <c r="P73" s="509"/>
      <c r="Q73" s="509"/>
      <c r="R73" s="509"/>
      <c r="S73" s="509"/>
      <c r="T73" s="509"/>
      <c r="U73" s="43"/>
      <c r="V73" s="43"/>
      <c r="W73" s="43"/>
    </row>
    <row r="74" spans="1:30" x14ac:dyDescent="0.25">
      <c r="A74" s="505"/>
      <c r="B74" s="505"/>
      <c r="C74" s="505"/>
      <c r="D74" s="438"/>
      <c r="E74" s="438"/>
      <c r="F74" s="438"/>
      <c r="G74" s="438"/>
      <c r="H74" s="438"/>
      <c r="I74" s="459"/>
      <c r="J74" s="102"/>
      <c r="K74" s="459"/>
      <c r="L74" s="102"/>
      <c r="M74" s="83"/>
      <c r="N74" s="102"/>
      <c r="O74" s="509"/>
      <c r="P74" s="509"/>
      <c r="Q74" s="509"/>
      <c r="R74" s="509"/>
      <c r="S74" s="509"/>
      <c r="T74" s="509"/>
      <c r="U74" s="43"/>
      <c r="V74" s="43"/>
      <c r="W74" s="43"/>
    </row>
    <row r="75" spans="1:30" x14ac:dyDescent="0.25">
      <c r="A75" s="505" t="s">
        <v>685</v>
      </c>
      <c r="B75" s="505"/>
      <c r="C75" s="505"/>
      <c r="D75" s="496"/>
      <c r="E75" s="496">
        <f>+D78</f>
        <v>0</v>
      </c>
      <c r="F75" s="496">
        <f t="shared" ref="F75:L75" si="11">E78</f>
        <v>0</v>
      </c>
      <c r="G75" s="496">
        <f t="shared" si="11"/>
        <v>0</v>
      </c>
      <c r="H75" s="496">
        <f t="shared" si="11"/>
        <v>0</v>
      </c>
      <c r="I75" s="496">
        <f t="shared" si="11"/>
        <v>0</v>
      </c>
      <c r="J75" s="496">
        <f t="shared" si="11"/>
        <v>0</v>
      </c>
      <c r="K75" s="496">
        <f t="shared" si="11"/>
        <v>0</v>
      </c>
      <c r="L75" s="496">
        <f t="shared" si="11"/>
        <v>0</v>
      </c>
      <c r="M75" s="83"/>
      <c r="N75" s="102"/>
      <c r="O75" s="509"/>
      <c r="P75" s="509"/>
      <c r="Q75" s="509"/>
      <c r="R75" s="509"/>
      <c r="S75" s="509"/>
      <c r="T75" s="509"/>
      <c r="U75" s="43"/>
      <c r="V75" s="43"/>
      <c r="W75" s="43"/>
    </row>
    <row r="76" spans="1:30" x14ac:dyDescent="0.25">
      <c r="A76" s="505" t="s">
        <v>686</v>
      </c>
      <c r="B76" s="505"/>
      <c r="C76" s="505"/>
      <c r="D76" s="438">
        <f t="shared" ref="D76:L76" si="12">IF(ISERROR(D71/$C$70), 0, D71/$C$70)</f>
        <v>0</v>
      </c>
      <c r="E76" s="438">
        <f t="shared" si="12"/>
        <v>0</v>
      </c>
      <c r="F76" s="438">
        <f t="shared" si="12"/>
        <v>0</v>
      </c>
      <c r="G76" s="438">
        <f t="shared" si="12"/>
        <v>0</v>
      </c>
      <c r="H76" s="438">
        <f t="shared" si="12"/>
        <v>0</v>
      </c>
      <c r="I76" s="438">
        <f t="shared" si="12"/>
        <v>0</v>
      </c>
      <c r="J76" s="438">
        <f t="shared" si="12"/>
        <v>0</v>
      </c>
      <c r="K76" s="438">
        <f t="shared" si="12"/>
        <v>0</v>
      </c>
      <c r="L76" s="438">
        <f t="shared" si="12"/>
        <v>0</v>
      </c>
      <c r="M76" s="83"/>
      <c r="N76" s="102"/>
      <c r="O76" s="509"/>
      <c r="P76" s="509"/>
      <c r="Q76" s="509"/>
      <c r="R76" s="509"/>
      <c r="S76" s="509"/>
      <c r="T76" s="509"/>
      <c r="U76" s="43"/>
      <c r="V76" s="43"/>
      <c r="W76" s="43"/>
    </row>
    <row r="77" spans="1:30" x14ac:dyDescent="0.25">
      <c r="A77" s="505" t="s">
        <v>687</v>
      </c>
      <c r="B77" s="83"/>
      <c r="C77" s="83"/>
      <c r="D77" s="459">
        <f>D72/$C$70/2</f>
        <v>0</v>
      </c>
      <c r="E77" s="459">
        <f>E72/$C$70/2</f>
        <v>0</v>
      </c>
      <c r="F77" s="459">
        <f>F72/$C$70/2</f>
        <v>0</v>
      </c>
      <c r="G77" s="459">
        <f>G72/$C$70/2</f>
        <v>0</v>
      </c>
      <c r="H77" s="459">
        <f>H72/$C$70/2</f>
        <v>0</v>
      </c>
      <c r="I77" s="459">
        <f>I72/C70/2</f>
        <v>0</v>
      </c>
      <c r="J77" s="459">
        <f>J72/C70/2</f>
        <v>0</v>
      </c>
      <c r="K77" s="459">
        <f>K72/C70/2</f>
        <v>0</v>
      </c>
      <c r="L77" s="459">
        <f>L72/C70/2</f>
        <v>0</v>
      </c>
      <c r="M77" s="83"/>
      <c r="N77" s="102"/>
      <c r="O77" s="509"/>
      <c r="P77" s="509"/>
      <c r="Q77" s="509"/>
      <c r="R77" s="509"/>
      <c r="S77" s="509"/>
      <c r="T77" s="509"/>
      <c r="U77" s="43"/>
      <c r="V77" s="43"/>
      <c r="W77" s="43"/>
    </row>
    <row r="78" spans="1:30" x14ac:dyDescent="0.25">
      <c r="A78" s="505" t="s">
        <v>688</v>
      </c>
      <c r="B78" s="505"/>
      <c r="C78" s="505"/>
      <c r="D78" s="496">
        <f>SUM(D75+D76+D77)</f>
        <v>0</v>
      </c>
      <c r="E78" s="496">
        <f>SUM(E75+E76+E77)</f>
        <v>0</v>
      </c>
      <c r="F78" s="496">
        <f>SUM(F75+F76+F77)</f>
        <v>0</v>
      </c>
      <c r="G78" s="496">
        <f>SUM(G75+G76+G77)</f>
        <v>0</v>
      </c>
      <c r="H78" s="496">
        <f>SUM(H75+H76+H77)</f>
        <v>0</v>
      </c>
      <c r="I78" s="496">
        <f>SUM(I75:I77)</f>
        <v>0</v>
      </c>
      <c r="J78" s="496">
        <f>SUM(J75:J77)</f>
        <v>0</v>
      </c>
      <c r="K78" s="496">
        <f>SUM(K75:K77)</f>
        <v>0</v>
      </c>
      <c r="L78" s="496">
        <f>SUM(L75:L77)</f>
        <v>0</v>
      </c>
      <c r="M78" s="83"/>
      <c r="N78" s="102"/>
      <c r="O78" s="509"/>
      <c r="P78" s="509"/>
      <c r="Q78" s="509"/>
      <c r="R78" s="509"/>
      <c r="S78" s="509"/>
      <c r="T78" s="509"/>
      <c r="U78" s="43"/>
      <c r="V78" s="43"/>
      <c r="W78" s="43"/>
    </row>
    <row r="79" spans="1:30" x14ac:dyDescent="0.25">
      <c r="A79" s="505"/>
      <c r="B79" s="505"/>
      <c r="C79" s="505"/>
      <c r="D79" s="459"/>
      <c r="E79" s="459"/>
      <c r="F79" s="459"/>
      <c r="G79" s="459"/>
      <c r="H79" s="459"/>
      <c r="I79" s="459"/>
      <c r="J79" s="459"/>
      <c r="K79" s="459"/>
      <c r="L79" s="459"/>
      <c r="M79" s="83"/>
      <c r="N79" s="102"/>
      <c r="O79" s="509"/>
      <c r="P79" s="517"/>
      <c r="Q79" s="102"/>
      <c r="R79" s="509"/>
      <c r="S79" s="509"/>
      <c r="T79" s="509"/>
      <c r="U79" s="43"/>
      <c r="V79" s="43"/>
      <c r="W79" s="43"/>
    </row>
    <row r="80" spans="1:30" x14ac:dyDescent="0.25">
      <c r="A80" s="505" t="s">
        <v>689</v>
      </c>
      <c r="B80" s="505"/>
      <c r="C80" s="505"/>
      <c r="D80" s="459">
        <f>D71-D75</f>
        <v>0</v>
      </c>
      <c r="E80" s="459">
        <f>E71-E75</f>
        <v>0</v>
      </c>
      <c r="F80" s="459">
        <f>F71-F75</f>
        <v>0</v>
      </c>
      <c r="G80" s="459">
        <f>G71-G75</f>
        <v>0</v>
      </c>
      <c r="H80" s="459">
        <f>H71-H75</f>
        <v>0</v>
      </c>
      <c r="I80" s="459">
        <f>H81</f>
        <v>0</v>
      </c>
      <c r="J80" s="459">
        <f>I81</f>
        <v>0</v>
      </c>
      <c r="K80" s="459">
        <f>J81</f>
        <v>0</v>
      </c>
      <c r="L80" s="459">
        <f>K81</f>
        <v>0</v>
      </c>
      <c r="M80" s="83"/>
      <c r="N80" s="102"/>
      <c r="O80" s="509"/>
      <c r="P80" s="102"/>
      <c r="Q80" s="509"/>
      <c r="R80" s="509"/>
      <c r="S80" s="509"/>
      <c r="T80" s="509"/>
      <c r="U80" s="43"/>
      <c r="V80" s="43"/>
      <c r="W80" s="43"/>
    </row>
    <row r="81" spans="1:23" x14ac:dyDescent="0.25">
      <c r="A81" s="505" t="s">
        <v>690</v>
      </c>
      <c r="B81" s="505"/>
      <c r="C81" s="505"/>
      <c r="D81" s="496">
        <f t="shared" ref="D81:L81" si="13">D73-D78</f>
        <v>0</v>
      </c>
      <c r="E81" s="496">
        <f t="shared" si="13"/>
        <v>0</v>
      </c>
      <c r="F81" s="496">
        <f t="shared" si="13"/>
        <v>0</v>
      </c>
      <c r="G81" s="496">
        <f t="shared" si="13"/>
        <v>0</v>
      </c>
      <c r="H81" s="496">
        <f t="shared" si="13"/>
        <v>0</v>
      </c>
      <c r="I81" s="496">
        <f t="shared" si="13"/>
        <v>0</v>
      </c>
      <c r="J81" s="496">
        <f t="shared" si="13"/>
        <v>0</v>
      </c>
      <c r="K81" s="496">
        <f t="shared" si="13"/>
        <v>0</v>
      </c>
      <c r="L81" s="496">
        <f t="shared" si="13"/>
        <v>0</v>
      </c>
      <c r="M81" s="83"/>
      <c r="N81" s="102"/>
      <c r="O81" s="509"/>
      <c r="P81" s="509"/>
      <c r="Q81" s="509"/>
      <c r="R81" s="509"/>
      <c r="S81" s="509"/>
      <c r="T81" s="509"/>
      <c r="U81" s="43"/>
      <c r="V81" s="43"/>
      <c r="W81" s="43"/>
    </row>
    <row r="82" spans="1:23" ht="15.75" thickBot="1" x14ac:dyDescent="0.3">
      <c r="A82" s="511" t="s">
        <v>691</v>
      </c>
      <c r="B82" s="505"/>
      <c r="C82" s="505"/>
      <c r="D82" s="518">
        <f t="shared" ref="D82:L82" si="14">SUM(D80:D81)/2</f>
        <v>0</v>
      </c>
      <c r="E82" s="518">
        <f t="shared" si="14"/>
        <v>0</v>
      </c>
      <c r="F82" s="518">
        <f t="shared" si="14"/>
        <v>0</v>
      </c>
      <c r="G82" s="518">
        <f t="shared" si="14"/>
        <v>0</v>
      </c>
      <c r="H82" s="518">
        <f t="shared" si="14"/>
        <v>0</v>
      </c>
      <c r="I82" s="518">
        <f t="shared" si="14"/>
        <v>0</v>
      </c>
      <c r="J82" s="518">
        <f t="shared" si="14"/>
        <v>0</v>
      </c>
      <c r="K82" s="518">
        <f t="shared" si="14"/>
        <v>0</v>
      </c>
      <c r="L82" s="518">
        <f t="shared" si="14"/>
        <v>0</v>
      </c>
      <c r="M82" s="83"/>
      <c r="N82" s="102"/>
      <c r="O82" s="509"/>
      <c r="P82" s="509"/>
      <c r="Q82" s="509"/>
      <c r="R82" s="509"/>
      <c r="S82" s="509"/>
      <c r="T82" s="509"/>
      <c r="U82" s="43"/>
      <c r="V82" s="43"/>
      <c r="W82" s="43"/>
    </row>
    <row r="83" spans="1:23" x14ac:dyDescent="0.25">
      <c r="A83" s="505"/>
      <c r="B83" s="505"/>
      <c r="C83" s="505"/>
      <c r="D83" s="459"/>
      <c r="E83" s="459"/>
      <c r="F83" s="459"/>
      <c r="G83" s="459"/>
      <c r="H83" s="459"/>
      <c r="I83" s="459"/>
      <c r="J83" s="102"/>
      <c r="K83" s="459"/>
      <c r="L83" s="102"/>
      <c r="M83" s="83"/>
      <c r="N83" s="102"/>
      <c r="O83" s="509"/>
      <c r="P83" s="509"/>
      <c r="Q83" s="509"/>
      <c r="R83" s="509"/>
      <c r="S83" s="509"/>
      <c r="T83" s="509"/>
      <c r="U83" s="43"/>
      <c r="V83" s="43"/>
      <c r="W83" s="43"/>
    </row>
    <row r="84" spans="1:23" ht="15.75" thickBot="1" x14ac:dyDescent="0.3">
      <c r="A84" s="510" t="s">
        <v>692</v>
      </c>
      <c r="B84" s="511"/>
      <c r="C84" s="511"/>
      <c r="D84" s="459"/>
      <c r="E84" s="459"/>
      <c r="F84" s="459"/>
      <c r="G84" s="459"/>
      <c r="H84" s="459"/>
      <c r="I84" s="459"/>
      <c r="J84" s="102"/>
      <c r="K84" s="459"/>
      <c r="L84" s="102"/>
      <c r="M84" s="83"/>
      <c r="N84" s="102"/>
      <c r="O84" s="509"/>
      <c r="P84" s="509"/>
      <c r="Q84" s="509"/>
      <c r="R84" s="509"/>
      <c r="S84" s="509"/>
      <c r="T84" s="509"/>
      <c r="U84" s="43"/>
      <c r="V84" s="43"/>
      <c r="W84" s="43"/>
    </row>
    <row r="85" spans="1:23" ht="15.75" thickBot="1" x14ac:dyDescent="0.3">
      <c r="A85" s="511"/>
      <c r="B85" s="102"/>
      <c r="C85" s="102"/>
      <c r="D85" s="506">
        <f>D68</f>
        <v>2013</v>
      </c>
      <c r="E85" s="506">
        <f t="shared" ref="E85:L85" si="15">E68</f>
        <v>2014</v>
      </c>
      <c r="F85" s="506">
        <f t="shared" si="15"/>
        <v>2015</v>
      </c>
      <c r="G85" s="506">
        <f t="shared" si="15"/>
        <v>2016</v>
      </c>
      <c r="H85" s="506">
        <f t="shared" si="15"/>
        <v>2017</v>
      </c>
      <c r="I85" s="506">
        <f t="shared" si="15"/>
        <v>2018</v>
      </c>
      <c r="J85" s="506">
        <f t="shared" si="15"/>
        <v>2019</v>
      </c>
      <c r="K85" s="506">
        <f t="shared" si="15"/>
        <v>2020</v>
      </c>
      <c r="L85" s="506">
        <f t="shared" si="15"/>
        <v>2021</v>
      </c>
      <c r="M85" s="83"/>
      <c r="N85" s="102"/>
      <c r="O85" s="509"/>
      <c r="P85" s="509"/>
      <c r="Q85" s="509"/>
      <c r="R85" s="509"/>
      <c r="S85" s="509"/>
      <c r="T85" s="509"/>
      <c r="U85" s="43"/>
      <c r="V85" s="43"/>
      <c r="W85" s="43"/>
    </row>
    <row r="86" spans="1:23" x14ac:dyDescent="0.25">
      <c r="A86" s="505"/>
      <c r="B86" s="102"/>
      <c r="C86" s="102"/>
      <c r="D86" s="459"/>
      <c r="E86" s="459"/>
      <c r="F86" s="459"/>
      <c r="G86" s="459"/>
      <c r="H86" s="459"/>
      <c r="I86" s="459"/>
      <c r="J86" s="459"/>
      <c r="K86" s="459"/>
      <c r="L86" s="459"/>
      <c r="M86" s="83"/>
      <c r="N86" s="102"/>
      <c r="O86" s="509"/>
      <c r="P86" s="509"/>
      <c r="Q86" s="509"/>
      <c r="R86" s="509"/>
      <c r="S86" s="509"/>
      <c r="T86" s="509"/>
      <c r="U86" s="43"/>
      <c r="V86" s="43"/>
      <c r="W86" s="43"/>
    </row>
    <row r="87" spans="1:23" x14ac:dyDescent="0.25">
      <c r="A87" s="505" t="s">
        <v>693</v>
      </c>
      <c r="B87" s="102"/>
      <c r="C87" s="102"/>
      <c r="D87" s="496"/>
      <c r="E87" s="496">
        <f t="shared" ref="E87:L87" si="16">D95</f>
        <v>0</v>
      </c>
      <c r="F87" s="496">
        <f t="shared" si="16"/>
        <v>0</v>
      </c>
      <c r="G87" s="496">
        <f t="shared" si="16"/>
        <v>0</v>
      </c>
      <c r="H87" s="496">
        <f t="shared" si="16"/>
        <v>0</v>
      </c>
      <c r="I87" s="496">
        <f t="shared" si="16"/>
        <v>0</v>
      </c>
      <c r="J87" s="496">
        <f t="shared" si="16"/>
        <v>0</v>
      </c>
      <c r="K87" s="496">
        <f t="shared" si="16"/>
        <v>0</v>
      </c>
      <c r="L87" s="496">
        <f t="shared" si="16"/>
        <v>0</v>
      </c>
      <c r="M87" s="83"/>
      <c r="N87" s="102"/>
      <c r="O87" s="509"/>
      <c r="P87" s="509"/>
      <c r="Q87" s="509"/>
      <c r="R87" s="509"/>
      <c r="S87" s="509"/>
      <c r="T87" s="509"/>
      <c r="U87" s="43"/>
      <c r="V87" s="43"/>
      <c r="W87" s="43"/>
    </row>
    <row r="88" spans="1:23" x14ac:dyDescent="0.25">
      <c r="A88" s="505" t="s">
        <v>694</v>
      </c>
      <c r="B88" s="102"/>
      <c r="C88" s="102"/>
      <c r="D88" s="459">
        <f t="shared" ref="D88:L88" si="17">D72</f>
        <v>0</v>
      </c>
      <c r="E88" s="459">
        <f t="shared" si="17"/>
        <v>0</v>
      </c>
      <c r="F88" s="459">
        <f t="shared" si="17"/>
        <v>0</v>
      </c>
      <c r="G88" s="459">
        <f t="shared" si="17"/>
        <v>0</v>
      </c>
      <c r="H88" s="459">
        <f t="shared" si="17"/>
        <v>0</v>
      </c>
      <c r="I88" s="459">
        <f t="shared" si="17"/>
        <v>0</v>
      </c>
      <c r="J88" s="459">
        <f t="shared" si="17"/>
        <v>0</v>
      </c>
      <c r="K88" s="459">
        <f t="shared" si="17"/>
        <v>0</v>
      </c>
      <c r="L88" s="459">
        <f t="shared" si="17"/>
        <v>0</v>
      </c>
      <c r="M88" s="83"/>
      <c r="N88" s="102"/>
      <c r="O88" s="509"/>
      <c r="P88" s="517"/>
      <c r="Q88" s="102"/>
      <c r="R88" s="509"/>
      <c r="S88" s="509"/>
      <c r="T88" s="509"/>
      <c r="U88" s="43"/>
      <c r="V88" s="43"/>
      <c r="W88" s="43"/>
    </row>
    <row r="89" spans="1:23" x14ac:dyDescent="0.25">
      <c r="A89" s="505" t="s">
        <v>695</v>
      </c>
      <c r="B89" s="102"/>
      <c r="C89" s="102"/>
      <c r="D89" s="496">
        <f t="shared" ref="D89:L89" si="18">SUM(D87:D88)</f>
        <v>0</v>
      </c>
      <c r="E89" s="496">
        <f t="shared" si="18"/>
        <v>0</v>
      </c>
      <c r="F89" s="496">
        <f t="shared" si="18"/>
        <v>0</v>
      </c>
      <c r="G89" s="496">
        <f t="shared" si="18"/>
        <v>0</v>
      </c>
      <c r="H89" s="496">
        <f t="shared" si="18"/>
        <v>0</v>
      </c>
      <c r="I89" s="496">
        <f t="shared" si="18"/>
        <v>0</v>
      </c>
      <c r="J89" s="496">
        <f t="shared" si="18"/>
        <v>0</v>
      </c>
      <c r="K89" s="496">
        <f t="shared" si="18"/>
        <v>0</v>
      </c>
      <c r="L89" s="496">
        <f t="shared" si="18"/>
        <v>0</v>
      </c>
      <c r="M89" s="83"/>
      <c r="N89" s="102"/>
      <c r="O89" s="509"/>
      <c r="P89" s="102"/>
      <c r="Q89" s="509"/>
      <c r="R89" s="509"/>
      <c r="S89" s="509"/>
      <c r="T89" s="509"/>
      <c r="U89" s="43"/>
      <c r="V89" s="43"/>
      <c r="W89" s="43"/>
    </row>
    <row r="90" spans="1:23" x14ac:dyDescent="0.25">
      <c r="A90" s="505" t="s">
        <v>696</v>
      </c>
      <c r="B90" s="102"/>
      <c r="C90" s="102"/>
      <c r="D90" s="459">
        <f t="shared" ref="D90:L90" si="19">D88/2</f>
        <v>0</v>
      </c>
      <c r="E90" s="459">
        <f t="shared" si="19"/>
        <v>0</v>
      </c>
      <c r="F90" s="459">
        <f t="shared" si="19"/>
        <v>0</v>
      </c>
      <c r="G90" s="459">
        <f t="shared" si="19"/>
        <v>0</v>
      </c>
      <c r="H90" s="459">
        <f t="shared" si="19"/>
        <v>0</v>
      </c>
      <c r="I90" s="459">
        <f t="shared" si="19"/>
        <v>0</v>
      </c>
      <c r="J90" s="459">
        <f t="shared" si="19"/>
        <v>0</v>
      </c>
      <c r="K90" s="459">
        <f t="shared" si="19"/>
        <v>0</v>
      </c>
      <c r="L90" s="459">
        <f t="shared" si="19"/>
        <v>0</v>
      </c>
      <c r="M90" s="83"/>
      <c r="N90" s="102"/>
      <c r="O90" s="509"/>
      <c r="P90" s="509"/>
      <c r="Q90" s="509"/>
      <c r="R90" s="509"/>
      <c r="S90" s="509"/>
      <c r="T90" s="509"/>
      <c r="U90" s="43"/>
      <c r="V90" s="43"/>
      <c r="W90" s="43"/>
    </row>
    <row r="91" spans="1:23" x14ac:dyDescent="0.25">
      <c r="A91" s="505" t="s">
        <v>697</v>
      </c>
      <c r="B91" s="102"/>
      <c r="C91" s="102"/>
      <c r="D91" s="496">
        <f t="shared" ref="D91:L91" si="20">D89-D90</f>
        <v>0</v>
      </c>
      <c r="E91" s="496">
        <f t="shared" si="20"/>
        <v>0</v>
      </c>
      <c r="F91" s="496">
        <f t="shared" si="20"/>
        <v>0</v>
      </c>
      <c r="G91" s="496">
        <f t="shared" si="20"/>
        <v>0</v>
      </c>
      <c r="H91" s="496">
        <f t="shared" si="20"/>
        <v>0</v>
      </c>
      <c r="I91" s="496">
        <f t="shared" si="20"/>
        <v>0</v>
      </c>
      <c r="J91" s="496">
        <f t="shared" si="20"/>
        <v>0</v>
      </c>
      <c r="K91" s="496">
        <f t="shared" si="20"/>
        <v>0</v>
      </c>
      <c r="L91" s="496">
        <f t="shared" si="20"/>
        <v>0</v>
      </c>
      <c r="M91" s="83"/>
      <c r="N91" s="509"/>
      <c r="O91" s="509"/>
      <c r="P91" s="509"/>
      <c r="Q91" s="509"/>
      <c r="R91" s="509"/>
      <c r="S91" s="509"/>
      <c r="T91" s="509"/>
      <c r="U91" s="43"/>
      <c r="V91" s="43"/>
      <c r="W91" s="43"/>
    </row>
    <row r="92" spans="1:23" x14ac:dyDescent="0.25">
      <c r="A92" s="505" t="s">
        <v>698</v>
      </c>
      <c r="B92" s="102"/>
      <c r="C92" s="519">
        <v>47</v>
      </c>
      <c r="D92" s="519">
        <f>C92</f>
        <v>47</v>
      </c>
      <c r="E92" s="519">
        <f t="shared" ref="E92:L93" si="21">D92</f>
        <v>47</v>
      </c>
      <c r="F92" s="519">
        <f t="shared" si="21"/>
        <v>47</v>
      </c>
      <c r="G92" s="519">
        <f t="shared" si="21"/>
        <v>47</v>
      </c>
      <c r="H92" s="519">
        <f t="shared" si="21"/>
        <v>47</v>
      </c>
      <c r="I92" s="519">
        <f t="shared" si="21"/>
        <v>47</v>
      </c>
      <c r="J92" s="519">
        <f t="shared" si="21"/>
        <v>47</v>
      </c>
      <c r="K92" s="519">
        <f t="shared" si="21"/>
        <v>47</v>
      </c>
      <c r="L92" s="519">
        <f t="shared" si="21"/>
        <v>47</v>
      </c>
      <c r="M92" s="83"/>
      <c r="N92" s="509"/>
      <c r="O92" s="509"/>
      <c r="P92" s="509"/>
      <c r="Q92" s="509"/>
      <c r="R92" s="509"/>
      <c r="S92" s="509"/>
      <c r="T92" s="509"/>
      <c r="U92" s="43"/>
      <c r="V92" s="43"/>
      <c r="W92" s="43"/>
    </row>
    <row r="93" spans="1:23" x14ac:dyDescent="0.25">
      <c r="A93" s="505" t="s">
        <v>699</v>
      </c>
      <c r="B93" s="102"/>
      <c r="C93" s="520">
        <v>0.08</v>
      </c>
      <c r="D93" s="520">
        <f>C93</f>
        <v>0.08</v>
      </c>
      <c r="E93" s="520">
        <f t="shared" si="21"/>
        <v>0.08</v>
      </c>
      <c r="F93" s="520">
        <f t="shared" si="21"/>
        <v>0.08</v>
      </c>
      <c r="G93" s="520">
        <f t="shared" si="21"/>
        <v>0.08</v>
      </c>
      <c r="H93" s="520">
        <f t="shared" si="21"/>
        <v>0.08</v>
      </c>
      <c r="I93" s="520">
        <f t="shared" si="21"/>
        <v>0.08</v>
      </c>
      <c r="J93" s="520">
        <f t="shared" si="21"/>
        <v>0.08</v>
      </c>
      <c r="K93" s="520">
        <f t="shared" si="21"/>
        <v>0.08</v>
      </c>
      <c r="L93" s="520">
        <f t="shared" si="21"/>
        <v>0.08</v>
      </c>
      <c r="M93" s="83"/>
      <c r="N93" s="102"/>
      <c r="O93" s="509"/>
      <c r="P93" s="509"/>
      <c r="Q93" s="509"/>
      <c r="R93" s="509"/>
      <c r="S93" s="509"/>
      <c r="T93" s="509"/>
      <c r="U93" s="43"/>
      <c r="V93" s="43"/>
      <c r="W93" s="43"/>
    </row>
    <row r="94" spans="1:23" x14ac:dyDescent="0.25">
      <c r="A94" s="505" t="s">
        <v>700</v>
      </c>
      <c r="B94" s="102"/>
      <c r="C94" s="102"/>
      <c r="D94" s="496">
        <f t="shared" ref="D94:L94" si="22">D91*D93</f>
        <v>0</v>
      </c>
      <c r="E94" s="496">
        <f t="shared" si="22"/>
        <v>0</v>
      </c>
      <c r="F94" s="496">
        <f t="shared" si="22"/>
        <v>0</v>
      </c>
      <c r="G94" s="496">
        <f t="shared" si="22"/>
        <v>0</v>
      </c>
      <c r="H94" s="496">
        <f t="shared" si="22"/>
        <v>0</v>
      </c>
      <c r="I94" s="496">
        <f t="shared" si="22"/>
        <v>0</v>
      </c>
      <c r="J94" s="496">
        <f t="shared" si="22"/>
        <v>0</v>
      </c>
      <c r="K94" s="496">
        <f t="shared" si="22"/>
        <v>0</v>
      </c>
      <c r="L94" s="496">
        <f t="shared" si="22"/>
        <v>0</v>
      </c>
      <c r="M94" s="83"/>
      <c r="N94" s="102"/>
      <c r="O94" s="509"/>
      <c r="P94" s="509"/>
      <c r="Q94" s="509"/>
      <c r="R94" s="509"/>
      <c r="S94" s="509"/>
      <c r="T94" s="509"/>
      <c r="U94" s="43"/>
      <c r="V94" s="43"/>
      <c r="W94" s="43"/>
    </row>
    <row r="95" spans="1:23" ht="15.75" thickBot="1" x14ac:dyDescent="0.3">
      <c r="A95" s="511" t="s">
        <v>701</v>
      </c>
      <c r="B95" s="102"/>
      <c r="C95" s="102"/>
      <c r="D95" s="518">
        <f t="shared" ref="D95:L95" si="23">D89-D94</f>
        <v>0</v>
      </c>
      <c r="E95" s="518">
        <f t="shared" si="23"/>
        <v>0</v>
      </c>
      <c r="F95" s="518">
        <f t="shared" si="23"/>
        <v>0</v>
      </c>
      <c r="G95" s="518">
        <f t="shared" si="23"/>
        <v>0</v>
      </c>
      <c r="H95" s="518">
        <f t="shared" si="23"/>
        <v>0</v>
      </c>
      <c r="I95" s="518">
        <f t="shared" si="23"/>
        <v>0</v>
      </c>
      <c r="J95" s="518">
        <f t="shared" si="23"/>
        <v>0</v>
      </c>
      <c r="K95" s="518">
        <f t="shared" si="23"/>
        <v>0</v>
      </c>
      <c r="L95" s="518">
        <f t="shared" si="23"/>
        <v>0</v>
      </c>
      <c r="M95" s="83"/>
      <c r="N95" s="102"/>
      <c r="O95" s="509"/>
      <c r="P95" s="509"/>
      <c r="Q95" s="509"/>
      <c r="R95" s="509"/>
      <c r="S95" s="509"/>
      <c r="T95" s="509"/>
      <c r="U95" s="43"/>
      <c r="V95" s="43"/>
      <c r="W95" s="43"/>
    </row>
  </sheetData>
  <mergeCells count="26">
    <mergeCell ref="AA17:AC17"/>
    <mergeCell ref="A9:R9"/>
    <mergeCell ref="A10:R10"/>
    <mergeCell ref="A12:R12"/>
    <mergeCell ref="A13:R13"/>
    <mergeCell ref="A15:R15"/>
    <mergeCell ref="A47:W47"/>
    <mergeCell ref="O17:Q17"/>
    <mergeCell ref="R17:T17"/>
    <mergeCell ref="U17:W17"/>
    <mergeCell ref="X17:Z17"/>
    <mergeCell ref="L17:N17"/>
    <mergeCell ref="I17:K17"/>
    <mergeCell ref="F17:H17"/>
    <mergeCell ref="C17:E17"/>
    <mergeCell ref="Y52:Z52"/>
    <mergeCell ref="AB52:AC52"/>
    <mergeCell ref="A49:W49"/>
    <mergeCell ref="A50:B50"/>
    <mergeCell ref="P52:Q52"/>
    <mergeCell ref="S52:T52"/>
    <mergeCell ref="V52:W52"/>
    <mergeCell ref="M52:N52"/>
    <mergeCell ref="J52:K52"/>
    <mergeCell ref="G52:H52"/>
    <mergeCell ref="D52:E52"/>
  </mergeCells>
  <dataValidations disablePrompts="1" count="1">
    <dataValidation allowBlank="1" showInputMessage="1" showErrorMessage="1" promptTitle="Date Format" prompt="E.g:  &quot;August 1, 2011&quot;" sqref="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dataValidations>
  <pageMargins left="0.7" right="0.7" top="0.75" bottom="0.75" header="0.3" footer="0.3"/>
  <pageSetup scale="27"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rgb="FF00B0F0"/>
    <pageSetUpPr fitToPage="1"/>
  </sheetPr>
  <dimension ref="A1:AD114"/>
  <sheetViews>
    <sheetView showGridLines="0" topLeftCell="J1" zoomScaleNormal="100" workbookViewId="0"/>
  </sheetViews>
  <sheetFormatPr defaultRowHeight="12.75" x14ac:dyDescent="0.2"/>
  <cols>
    <col min="1" max="1" width="54.28515625" style="43" customWidth="1"/>
    <col min="2" max="2" width="14.7109375" style="43" customWidth="1"/>
    <col min="3" max="12" width="12.7109375" style="43" customWidth="1"/>
    <col min="13" max="30" width="14.7109375" style="43" customWidth="1"/>
    <col min="31" max="16384" width="9.140625" style="43"/>
  </cols>
  <sheetData>
    <row r="1" spans="1:19" s="375" customFormat="1" ht="15" x14ac:dyDescent="0.25">
      <c r="A1" s="52"/>
      <c r="B1" s="52"/>
      <c r="C1" s="52"/>
      <c r="D1" s="52"/>
      <c r="E1" s="52"/>
      <c r="F1" s="52"/>
      <c r="G1" s="52"/>
      <c r="H1" s="52"/>
      <c r="I1" s="52"/>
      <c r="J1" s="52"/>
      <c r="K1" s="52"/>
      <c r="L1" s="52"/>
      <c r="N1" s="60" t="s">
        <v>301</v>
      </c>
      <c r="O1" s="1092" t="str">
        <f>EBNUMBER</f>
        <v>EB-2016-0066</v>
      </c>
    </row>
    <row r="2" spans="1:19" s="375" customFormat="1" ht="15" x14ac:dyDescent="0.25">
      <c r="A2" s="52"/>
      <c r="B2" s="52"/>
      <c r="C2" s="52"/>
      <c r="D2" s="52"/>
      <c r="E2" s="52"/>
      <c r="F2" s="52"/>
      <c r="G2" s="52"/>
      <c r="H2" s="52"/>
      <c r="I2" s="52"/>
      <c r="J2" s="52"/>
      <c r="K2" s="52"/>
      <c r="L2" s="52"/>
      <c r="N2" s="60" t="s">
        <v>302</v>
      </c>
      <c r="O2" s="62"/>
    </row>
    <row r="3" spans="1:19" s="375" customFormat="1" ht="15" x14ac:dyDescent="0.25">
      <c r="A3" s="52"/>
      <c r="B3" s="52"/>
      <c r="C3" s="52"/>
      <c r="D3" s="52"/>
      <c r="E3" s="52"/>
      <c r="F3" s="52"/>
      <c r="G3" s="52"/>
      <c r="H3" s="52"/>
      <c r="I3" s="52"/>
      <c r="J3" s="52"/>
      <c r="K3" s="52"/>
      <c r="L3" s="52"/>
      <c r="N3" s="60" t="s">
        <v>303</v>
      </c>
      <c r="O3" s="62"/>
    </row>
    <row r="4" spans="1:19" s="375" customFormat="1" ht="15" x14ac:dyDescent="0.25">
      <c r="A4" s="52"/>
      <c r="B4" s="52"/>
      <c r="C4" s="52"/>
      <c r="D4" s="52"/>
      <c r="E4" s="52"/>
      <c r="F4" s="52"/>
      <c r="G4" s="52"/>
      <c r="H4" s="52"/>
      <c r="I4" s="52"/>
      <c r="J4" s="52"/>
      <c r="K4" s="52"/>
      <c r="L4" s="52"/>
      <c r="N4" s="60" t="s">
        <v>304</v>
      </c>
      <c r="O4" s="62"/>
    </row>
    <row r="5" spans="1:19" s="375" customFormat="1" ht="15" x14ac:dyDescent="0.25">
      <c r="A5" s="52"/>
      <c r="B5" s="52"/>
      <c r="C5" s="52"/>
      <c r="D5" s="52"/>
      <c r="E5" s="52"/>
      <c r="F5" s="52"/>
      <c r="G5" s="52"/>
      <c r="H5" s="52"/>
      <c r="I5" s="52"/>
      <c r="J5" s="52"/>
      <c r="K5" s="52"/>
      <c r="L5" s="52"/>
      <c r="N5" s="60" t="s">
        <v>305</v>
      </c>
      <c r="O5" s="63"/>
    </row>
    <row r="6" spans="1:19" s="375" customFormat="1" ht="15" x14ac:dyDescent="0.25">
      <c r="A6" s="52"/>
      <c r="B6" s="52"/>
      <c r="C6" s="52"/>
      <c r="D6" s="52"/>
      <c r="E6" s="52"/>
      <c r="F6" s="52"/>
      <c r="G6" s="52"/>
      <c r="H6" s="52"/>
      <c r="I6" s="52"/>
      <c r="J6" s="52"/>
      <c r="K6" s="52"/>
      <c r="L6" s="52"/>
      <c r="N6" s="60"/>
      <c r="O6" s="61"/>
    </row>
    <row r="7" spans="1:19" s="375" customFormat="1" ht="15" x14ac:dyDescent="0.25">
      <c r="A7" s="52"/>
      <c r="B7" s="52"/>
      <c r="C7" s="52"/>
      <c r="D7" s="52"/>
      <c r="E7" s="52"/>
      <c r="F7" s="52"/>
      <c r="G7" s="52"/>
      <c r="H7" s="52"/>
      <c r="I7" s="52"/>
      <c r="J7" s="52"/>
      <c r="K7" s="52"/>
      <c r="L7" s="52"/>
      <c r="N7" s="60" t="s">
        <v>306</v>
      </c>
      <c r="O7" s="63"/>
    </row>
    <row r="8" spans="1:19" s="375" customFormat="1" ht="15" x14ac:dyDescent="0.25">
      <c r="A8" s="56"/>
      <c r="B8" s="56"/>
      <c r="C8" s="56"/>
      <c r="D8" s="56"/>
      <c r="E8" s="56"/>
      <c r="F8" s="56"/>
      <c r="G8" s="56"/>
      <c r="H8" s="56"/>
      <c r="I8" s="56"/>
      <c r="J8" s="56"/>
      <c r="K8" s="56"/>
      <c r="L8" s="56"/>
      <c r="M8" s="56"/>
      <c r="N8" s="56"/>
      <c r="O8" s="56"/>
      <c r="P8" s="56"/>
      <c r="Q8" s="413"/>
      <c r="R8" s="413"/>
      <c r="S8" s="413"/>
    </row>
    <row r="9" spans="1:19" s="375" customFormat="1" ht="18" x14ac:dyDescent="0.25">
      <c r="A9" s="1591" t="s">
        <v>703</v>
      </c>
      <c r="B9" s="1591"/>
      <c r="C9" s="1591"/>
      <c r="D9" s="1591"/>
      <c r="E9" s="1591"/>
      <c r="F9" s="1591"/>
      <c r="G9" s="1591"/>
      <c r="H9" s="1591"/>
      <c r="I9" s="1591"/>
      <c r="J9" s="1591"/>
      <c r="K9" s="1591"/>
      <c r="L9" s="1591"/>
      <c r="M9" s="1591"/>
      <c r="N9" s="1591"/>
      <c r="O9" s="1591"/>
      <c r="P9" s="414"/>
      <c r="Q9" s="414"/>
      <c r="R9" s="413"/>
      <c r="S9" s="413"/>
    </row>
    <row r="10" spans="1:19" s="375" customFormat="1" ht="39.75" customHeight="1" x14ac:dyDescent="0.25">
      <c r="A10" s="1680" t="s">
        <v>704</v>
      </c>
      <c r="B10" s="1680"/>
      <c r="C10" s="1680"/>
      <c r="D10" s="1680"/>
      <c r="E10" s="1680"/>
      <c r="F10" s="1680"/>
      <c r="G10" s="1680"/>
      <c r="H10" s="1680"/>
      <c r="I10" s="1680"/>
      <c r="J10" s="1680"/>
      <c r="K10" s="1680"/>
      <c r="L10" s="1680"/>
      <c r="M10" s="1680"/>
      <c r="N10" s="1680"/>
      <c r="O10" s="1680"/>
      <c r="P10" s="414"/>
      <c r="Q10" s="414"/>
      <c r="R10" s="413"/>
      <c r="S10" s="413"/>
    </row>
    <row r="11" spans="1:19" s="375" customFormat="1" ht="12.75" customHeight="1" x14ac:dyDescent="0.25">
      <c r="A11" s="414"/>
      <c r="B11" s="414"/>
      <c r="C11" s="414"/>
      <c r="D11" s="414"/>
      <c r="E11" s="414"/>
      <c r="F11" s="414"/>
      <c r="G11" s="414"/>
      <c r="H11" s="414"/>
      <c r="I11" s="414"/>
      <c r="J11" s="414"/>
      <c r="K11" s="414"/>
      <c r="L11" s="414"/>
      <c r="M11" s="414"/>
      <c r="N11" s="414"/>
      <c r="O11" s="414"/>
      <c r="P11" s="414"/>
      <c r="Q11" s="414"/>
      <c r="R11" s="413"/>
      <c r="S11" s="413"/>
    </row>
    <row r="12" spans="1:19" ht="14.25" x14ac:dyDescent="0.2">
      <c r="A12" s="1756" t="s">
        <v>705</v>
      </c>
      <c r="B12" s="1756"/>
      <c r="C12" s="1756"/>
      <c r="D12" s="1756"/>
      <c r="E12" s="1756"/>
      <c r="F12" s="1756"/>
      <c r="G12" s="1756"/>
      <c r="H12" s="1756"/>
      <c r="I12" s="1756"/>
      <c r="J12" s="1756"/>
      <c r="K12" s="1756"/>
      <c r="L12" s="1756"/>
      <c r="M12" s="1756"/>
      <c r="N12" s="1756"/>
      <c r="O12" s="1756"/>
    </row>
    <row r="13" spans="1:19" ht="12.75" customHeight="1" x14ac:dyDescent="0.2">
      <c r="A13" s="1757" t="s">
        <v>653</v>
      </c>
      <c r="B13" s="1757"/>
      <c r="C13" s="1757"/>
      <c r="D13" s="1757"/>
      <c r="E13" s="1757"/>
      <c r="F13" s="1757"/>
      <c r="G13" s="1757"/>
      <c r="H13" s="1757"/>
      <c r="I13" s="1757"/>
      <c r="J13" s="1757"/>
      <c r="K13" s="1757"/>
      <c r="L13" s="1757"/>
      <c r="M13" s="1757"/>
      <c r="N13" s="1757"/>
      <c r="O13" s="1757"/>
    </row>
    <row r="14" spans="1:19" ht="12.75" customHeight="1" x14ac:dyDescent="0.2">
      <c r="A14" s="449" t="s">
        <v>1030</v>
      </c>
      <c r="B14" s="521"/>
      <c r="C14" s="521"/>
      <c r="D14" s="521"/>
      <c r="E14" s="521"/>
      <c r="F14" s="521"/>
      <c r="G14" s="521"/>
      <c r="H14" s="521"/>
      <c r="I14" s="521"/>
      <c r="J14" s="521"/>
      <c r="K14" s="521"/>
      <c r="L14" s="521"/>
      <c r="M14" s="521"/>
      <c r="N14" s="521"/>
      <c r="O14" s="521"/>
    </row>
    <row r="15" spans="1:19" ht="14.25" x14ac:dyDescent="0.2">
      <c r="A15" s="1756" t="s">
        <v>1181</v>
      </c>
      <c r="B15" s="1756"/>
      <c r="C15" s="1756"/>
      <c r="D15" s="1756"/>
      <c r="E15" s="1756"/>
      <c r="F15" s="1756"/>
      <c r="G15" s="1756"/>
      <c r="H15" s="1756"/>
      <c r="I15" s="1756"/>
      <c r="J15" s="1756"/>
      <c r="K15" s="1756"/>
      <c r="L15" s="1756"/>
      <c r="M15" s="1756"/>
      <c r="N15" s="1756"/>
      <c r="O15" s="1756"/>
    </row>
    <row r="16" spans="1:19" ht="15" x14ac:dyDescent="0.2">
      <c r="B16" s="522"/>
    </row>
    <row r="17" spans="1:30" ht="13.5" thickBot="1" x14ac:dyDescent="0.25">
      <c r="A17" s="450"/>
      <c r="B17" s="523"/>
      <c r="C17" s="523"/>
      <c r="D17" s="523"/>
      <c r="E17" s="523"/>
      <c r="F17" s="523"/>
      <c r="G17" s="523"/>
      <c r="H17" s="523"/>
      <c r="I17" s="523"/>
      <c r="J17" s="523"/>
      <c r="K17" s="523"/>
      <c r="L17" s="523"/>
      <c r="M17" s="102"/>
      <c r="N17" s="102"/>
      <c r="O17" s="102"/>
      <c r="P17" s="102"/>
      <c r="Q17" s="524"/>
      <c r="R17" s="102"/>
      <c r="S17" s="102"/>
      <c r="T17" s="524"/>
      <c r="U17" s="102"/>
      <c r="V17" s="102"/>
      <c r="W17" s="102"/>
      <c r="X17" s="102"/>
      <c r="Y17" s="102"/>
      <c r="Z17" s="524"/>
      <c r="AA17" s="102"/>
    </row>
    <row r="18" spans="1:30" ht="13.5" thickBot="1" x14ac:dyDescent="0.25">
      <c r="A18" s="450"/>
      <c r="B18" s="450"/>
      <c r="C18" s="450"/>
      <c r="D18" s="1750">
        <f>G18-1</f>
        <v>2013</v>
      </c>
      <c r="E18" s="1751"/>
      <c r="F18" s="1752"/>
      <c r="G18" s="1750">
        <f>J18-1</f>
        <v>2014</v>
      </c>
      <c r="H18" s="1751"/>
      <c r="I18" s="1752"/>
      <c r="J18" s="1750">
        <f>M18-1</f>
        <v>2015</v>
      </c>
      <c r="K18" s="1751"/>
      <c r="L18" s="1752"/>
      <c r="M18" s="1750">
        <f>BridgeYear</f>
        <v>2016</v>
      </c>
      <c r="N18" s="1751"/>
      <c r="O18" s="1752"/>
      <c r="P18" s="1750" t="str">
        <f>CONCATENATE(TestYear," Test Year")</f>
        <v>2017 Test Year</v>
      </c>
      <c r="Q18" s="1751"/>
      <c r="R18" s="1752"/>
      <c r="S18" s="1750">
        <f>TestYear+1</f>
        <v>2018</v>
      </c>
      <c r="T18" s="1751">
        <v>2016</v>
      </c>
      <c r="U18" s="1752"/>
      <c r="V18" s="1750">
        <f>S18+1</f>
        <v>2019</v>
      </c>
      <c r="W18" s="1751"/>
      <c r="X18" s="1752"/>
      <c r="Y18" s="1750">
        <f>V18+1</f>
        <v>2020</v>
      </c>
      <c r="Z18" s="1751"/>
      <c r="AA18" s="1752"/>
      <c r="AB18" s="1750">
        <f>Y18+1</f>
        <v>2021</v>
      </c>
      <c r="AC18" s="1751"/>
      <c r="AD18" s="1752"/>
    </row>
    <row r="19" spans="1:30" x14ac:dyDescent="0.2">
      <c r="A19" s="83"/>
      <c r="B19" s="83"/>
      <c r="C19" s="83"/>
      <c r="D19" s="83"/>
      <c r="E19" s="60" t="s">
        <v>654</v>
      </c>
      <c r="F19" s="422" t="s">
        <v>655</v>
      </c>
      <c r="G19" s="83"/>
      <c r="H19" s="60" t="s">
        <v>654</v>
      </c>
      <c r="I19" s="422" t="s">
        <v>655</v>
      </c>
      <c r="J19" s="83"/>
      <c r="K19" s="60" t="s">
        <v>654</v>
      </c>
      <c r="L19" s="422" t="s">
        <v>655</v>
      </c>
      <c r="M19" s="83"/>
      <c r="N19" s="60" t="s">
        <v>654</v>
      </c>
      <c r="O19" s="422" t="s">
        <v>655</v>
      </c>
      <c r="P19" s="83"/>
      <c r="Q19" s="60" t="s">
        <v>654</v>
      </c>
      <c r="R19" s="422" t="s">
        <v>655</v>
      </c>
      <c r="S19" s="83"/>
      <c r="T19" s="60" t="s">
        <v>654</v>
      </c>
      <c r="U19" s="422" t="s">
        <v>655</v>
      </c>
      <c r="V19" s="83"/>
      <c r="W19" s="60" t="s">
        <v>654</v>
      </c>
      <c r="X19" s="422" t="s">
        <v>655</v>
      </c>
      <c r="Y19" s="83"/>
      <c r="Z19" s="60" t="s">
        <v>654</v>
      </c>
      <c r="AA19" s="422" t="s">
        <v>655</v>
      </c>
      <c r="AB19" s="83"/>
      <c r="AC19" s="60" t="s">
        <v>654</v>
      </c>
      <c r="AD19" s="422" t="s">
        <v>655</v>
      </c>
    </row>
    <row r="20" spans="1:30" s="509" customFormat="1" x14ac:dyDescent="0.2">
      <c r="A20" s="525"/>
      <c r="B20" s="454"/>
      <c r="C20" s="454"/>
      <c r="D20" s="454" t="s">
        <v>295</v>
      </c>
      <c r="E20" s="455">
        <v>0.17</v>
      </c>
      <c r="F20" s="455">
        <v>0.83</v>
      </c>
      <c r="G20" s="454" t="s">
        <v>295</v>
      </c>
      <c r="H20" s="455">
        <v>0.17</v>
      </c>
      <c r="I20" s="455">
        <v>0.83</v>
      </c>
      <c r="J20" s="454" t="s">
        <v>295</v>
      </c>
      <c r="K20" s="455">
        <v>0.17</v>
      </c>
      <c r="L20" s="455">
        <v>0.83</v>
      </c>
      <c r="M20" s="454" t="s">
        <v>295</v>
      </c>
      <c r="N20" s="455">
        <v>0.17</v>
      </c>
      <c r="O20" s="455">
        <v>0.83</v>
      </c>
      <c r="P20" s="454" t="s">
        <v>295</v>
      </c>
      <c r="Q20" s="455">
        <v>0.17</v>
      </c>
      <c r="R20" s="455">
        <v>0.83</v>
      </c>
      <c r="S20" s="454" t="s">
        <v>295</v>
      </c>
      <c r="T20" s="455">
        <v>0.17</v>
      </c>
      <c r="U20" s="455">
        <v>0.83</v>
      </c>
      <c r="V20" s="454" t="s">
        <v>295</v>
      </c>
      <c r="W20" s="455">
        <v>0.17</v>
      </c>
      <c r="X20" s="455">
        <v>0.83</v>
      </c>
      <c r="Y20" s="454" t="s">
        <v>295</v>
      </c>
      <c r="Z20" s="455">
        <v>0.17</v>
      </c>
      <c r="AA20" s="455">
        <v>0.83</v>
      </c>
      <c r="AB20" s="454" t="s">
        <v>295</v>
      </c>
      <c r="AC20" s="455">
        <v>0.17</v>
      </c>
      <c r="AD20" s="455">
        <v>0.83</v>
      </c>
    </row>
    <row r="21" spans="1:30" x14ac:dyDescent="0.2">
      <c r="A21" s="60" t="s">
        <v>656</v>
      </c>
      <c r="B21" s="456"/>
      <c r="C21" s="83"/>
      <c r="D21" s="457">
        <f>D82</f>
        <v>0</v>
      </c>
      <c r="E21" s="427">
        <f>D21*E20</f>
        <v>0</v>
      </c>
      <c r="F21" s="458">
        <f>D21*F20</f>
        <v>0</v>
      </c>
      <c r="G21" s="457">
        <f>E82</f>
        <v>0</v>
      </c>
      <c r="H21" s="427">
        <f>G21*H20</f>
        <v>0</v>
      </c>
      <c r="I21" s="458">
        <f>G21*I20</f>
        <v>0</v>
      </c>
      <c r="J21" s="457">
        <f>F82</f>
        <v>0</v>
      </c>
      <c r="K21" s="427">
        <f>J21*K20</f>
        <v>0</v>
      </c>
      <c r="L21" s="458">
        <f>J21*L20</f>
        <v>0</v>
      </c>
      <c r="M21" s="457">
        <f>G82</f>
        <v>0</v>
      </c>
      <c r="N21" s="427">
        <f>M21*N20</f>
        <v>0</v>
      </c>
      <c r="O21" s="458">
        <f>M21*O20</f>
        <v>0</v>
      </c>
      <c r="P21" s="457">
        <f>H82</f>
        <v>87511.112500000003</v>
      </c>
      <c r="Q21" s="427">
        <f>P21*Q20</f>
        <v>14876.889125000002</v>
      </c>
      <c r="R21" s="458">
        <f>P21*R20</f>
        <v>72634.223375000001</v>
      </c>
      <c r="S21" s="459">
        <f>I82</f>
        <v>173551.45</v>
      </c>
      <c r="T21" s="427">
        <f>S21*T20</f>
        <v>29503.746500000005</v>
      </c>
      <c r="U21" s="458">
        <f>S21*U20</f>
        <v>144047.7035</v>
      </c>
      <c r="V21" s="459">
        <f>J82</f>
        <v>170609.9</v>
      </c>
      <c r="W21" s="427">
        <f>V21*W20</f>
        <v>29003.683000000001</v>
      </c>
      <c r="X21" s="458">
        <f>V21*X20</f>
        <v>141606.21699999998</v>
      </c>
      <c r="Y21" s="459">
        <f>K82</f>
        <v>167668.35</v>
      </c>
      <c r="Z21" s="427">
        <f>Y21*Z20</f>
        <v>28503.619500000004</v>
      </c>
      <c r="AA21" s="458">
        <f>Y21*AA20</f>
        <v>139164.73050000001</v>
      </c>
      <c r="AB21" s="459">
        <f>L82</f>
        <v>164726.79999999999</v>
      </c>
      <c r="AC21" s="427">
        <f>AB21*AC20</f>
        <v>28003.556</v>
      </c>
      <c r="AD21" s="458">
        <f>AB21*AD20</f>
        <v>136723.24399999998</v>
      </c>
    </row>
    <row r="22" spans="1:30" x14ac:dyDescent="0.2">
      <c r="A22" s="83" t="s">
        <v>702</v>
      </c>
      <c r="B22" s="460"/>
      <c r="C22" s="83"/>
      <c r="D22" s="461">
        <f>'App.2-FA Proposed REG Invest.'!C101</f>
        <v>0</v>
      </c>
      <c r="E22" s="462">
        <f>D22</f>
        <v>0</v>
      </c>
      <c r="F22" s="463"/>
      <c r="G22" s="461">
        <f>'App.2-FA Proposed REG Invest.'!D$101</f>
        <v>0</v>
      </c>
      <c r="H22" s="462">
        <f>G22</f>
        <v>0</v>
      </c>
      <c r="I22" s="463"/>
      <c r="J22" s="461">
        <f>'App.2-FA Proposed REG Invest.'!E$101</f>
        <v>0</v>
      </c>
      <c r="K22" s="462">
        <f>J22</f>
        <v>0</v>
      </c>
      <c r="L22" s="463"/>
      <c r="M22" s="461">
        <f>'App.2-FA Proposed REG Invest.'!F$101</f>
        <v>0</v>
      </c>
      <c r="N22" s="462">
        <f>M22</f>
        <v>0</v>
      </c>
      <c r="O22" s="463"/>
      <c r="P22" s="461">
        <f>'App.2-FA Proposed REG Invest.'!G$101</f>
        <v>0</v>
      </c>
      <c r="Q22" s="462">
        <f>P22</f>
        <v>0</v>
      </c>
      <c r="R22" s="463"/>
      <c r="S22" s="461">
        <f>'App.2-FA Proposed REG Invest.'!H$101</f>
        <v>0</v>
      </c>
      <c r="T22" s="462">
        <f>S22</f>
        <v>0</v>
      </c>
      <c r="U22" s="463"/>
      <c r="V22" s="461">
        <f>'App.2-FA Proposed REG Invest.'!I$101</f>
        <v>0</v>
      </c>
      <c r="W22" s="462">
        <f>V22</f>
        <v>0</v>
      </c>
      <c r="X22" s="463"/>
      <c r="Y22" s="461">
        <f>'App.2-FA Proposed REG Invest.'!J$101</f>
        <v>0</v>
      </c>
      <c r="Z22" s="462">
        <f>Y22</f>
        <v>0</v>
      </c>
      <c r="AA22" s="463"/>
      <c r="AB22" s="461">
        <f>'App.2-FA Proposed REG Invest.'!K$101</f>
        <v>0</v>
      </c>
      <c r="AC22" s="462">
        <f>AB22</f>
        <v>0</v>
      </c>
      <c r="AD22" s="463"/>
    </row>
    <row r="23" spans="1:30" x14ac:dyDescent="0.2">
      <c r="A23" s="83" t="s">
        <v>657</v>
      </c>
      <c r="B23" s="460"/>
      <c r="C23" s="83"/>
      <c r="D23" s="461">
        <f>'App.2-FA Proposed REG Invest.'!C100</f>
        <v>0</v>
      </c>
      <c r="E23" s="462">
        <f>D23*E20</f>
        <v>0</v>
      </c>
      <c r="F23" s="462">
        <f>D23*F20</f>
        <v>0</v>
      </c>
      <c r="G23" s="461">
        <f>'App.2-FA Proposed REG Invest.'!D$100</f>
        <v>0</v>
      </c>
      <c r="H23" s="462">
        <f>G23*H20</f>
        <v>0</v>
      </c>
      <c r="I23" s="462">
        <f>G23*I20</f>
        <v>0</v>
      </c>
      <c r="J23" s="461">
        <f>'App.2-FA Proposed REG Invest.'!E$100</f>
        <v>0</v>
      </c>
      <c r="K23" s="462">
        <f>J23*K20</f>
        <v>0</v>
      </c>
      <c r="L23" s="462">
        <f>J23*L20</f>
        <v>0</v>
      </c>
      <c r="M23" s="461">
        <f>'App.2-FA Proposed REG Invest.'!F$100</f>
        <v>0</v>
      </c>
      <c r="N23" s="462">
        <f>M23*N20</f>
        <v>0</v>
      </c>
      <c r="O23" s="462">
        <f>M23*O20</f>
        <v>0</v>
      </c>
      <c r="P23" s="461">
        <f>'App.2-FA Proposed REG Invest.'!G$100</f>
        <v>0</v>
      </c>
      <c r="Q23" s="462">
        <f>P23*Q20</f>
        <v>0</v>
      </c>
      <c r="R23" s="462">
        <f>P23*R20</f>
        <v>0</v>
      </c>
      <c r="S23" s="461">
        <f>'App.2-FA Proposed REG Invest.'!H$100</f>
        <v>0</v>
      </c>
      <c r="T23" s="462">
        <f>S23*T20</f>
        <v>0</v>
      </c>
      <c r="U23" s="462">
        <f>S23*U20</f>
        <v>0</v>
      </c>
      <c r="V23" s="461">
        <f>'App.2-FA Proposed REG Invest.'!I$100</f>
        <v>0</v>
      </c>
      <c r="W23" s="462">
        <f>V23*W20</f>
        <v>0</v>
      </c>
      <c r="X23" s="462">
        <f>V23*X20</f>
        <v>0</v>
      </c>
      <c r="Y23" s="461">
        <f>'App.2-FA Proposed REG Invest.'!J$100</f>
        <v>0</v>
      </c>
      <c r="Z23" s="462">
        <f>Y23*Z20</f>
        <v>0</v>
      </c>
      <c r="AA23" s="462">
        <f>Y23*AA20</f>
        <v>0</v>
      </c>
      <c r="AB23" s="461">
        <f>'App.2-FA Proposed REG Invest.'!K$100</f>
        <v>0</v>
      </c>
      <c r="AC23" s="462">
        <f>AB23*AC20</f>
        <v>0</v>
      </c>
      <c r="AD23" s="462">
        <f>AB23*AD20</f>
        <v>0</v>
      </c>
    </row>
    <row r="24" spans="1:30" x14ac:dyDescent="0.2">
      <c r="A24" s="83" t="s">
        <v>658</v>
      </c>
      <c r="B24" s="464">
        <v>7.4999999999999997E-2</v>
      </c>
      <c r="C24" s="480"/>
      <c r="D24" s="465"/>
      <c r="E24" s="466">
        <f>(E22+E23)*$B$24</f>
        <v>0</v>
      </c>
      <c r="F24" s="467">
        <f>F23*$B$24</f>
        <v>0</v>
      </c>
      <c r="G24" s="465"/>
      <c r="H24" s="466">
        <f>(H22+H23)*$B$24</f>
        <v>0</v>
      </c>
      <c r="I24" s="467">
        <f>I23*$B$24</f>
        <v>0</v>
      </c>
      <c r="J24" s="465"/>
      <c r="K24" s="466">
        <f>(K22+K23)*$B$24</f>
        <v>0</v>
      </c>
      <c r="L24" s="467">
        <f>L23*$B$24</f>
        <v>0</v>
      </c>
      <c r="M24" s="465"/>
      <c r="N24" s="466">
        <f>(N22+N23)*$B$24</f>
        <v>0</v>
      </c>
      <c r="O24" s="467">
        <f>O23*$B$24</f>
        <v>0</v>
      </c>
      <c r="P24" s="465"/>
      <c r="Q24" s="466">
        <f>(Q22+Q23)*$B$24</f>
        <v>0</v>
      </c>
      <c r="R24" s="467">
        <f>R23*$B$24</f>
        <v>0</v>
      </c>
      <c r="S24" s="465"/>
      <c r="T24" s="466">
        <f>(T22+T23)*$B$24</f>
        <v>0</v>
      </c>
      <c r="U24" s="467">
        <f>U23*$B$24</f>
        <v>0</v>
      </c>
      <c r="V24" s="465"/>
      <c r="W24" s="466">
        <f>(W22+W23)*$B$24</f>
        <v>0</v>
      </c>
      <c r="X24" s="467">
        <f>X23*$B$24</f>
        <v>0</v>
      </c>
      <c r="Y24" s="465"/>
      <c r="Z24" s="466">
        <f>(Z22+Z23)*$B$24</f>
        <v>0</v>
      </c>
      <c r="AA24" s="467">
        <f>AA23*$B$24</f>
        <v>0</v>
      </c>
      <c r="AB24" s="465"/>
      <c r="AC24" s="466">
        <f>(AC22+AC23)*$B$24</f>
        <v>0</v>
      </c>
      <c r="AD24" s="467">
        <f>AD23*$B$24</f>
        <v>0</v>
      </c>
    </row>
    <row r="25" spans="1:30" x14ac:dyDescent="0.2">
      <c r="A25" s="60" t="s">
        <v>529</v>
      </c>
      <c r="B25" s="83"/>
      <c r="C25" s="480"/>
      <c r="D25" s="83"/>
      <c r="E25" s="468">
        <f>SUM(E21+E24)</f>
        <v>0</v>
      </c>
      <c r="F25" s="468">
        <f>SUM(F21+F24)</f>
        <v>0</v>
      </c>
      <c r="G25" s="83"/>
      <c r="H25" s="468">
        <f>SUM(H21+H24)</f>
        <v>0</v>
      </c>
      <c r="I25" s="468">
        <f>SUM(I21+I24)</f>
        <v>0</v>
      </c>
      <c r="J25" s="83"/>
      <c r="K25" s="468">
        <f>SUM(K21+K24)</f>
        <v>0</v>
      </c>
      <c r="L25" s="468">
        <f>SUM(L21+L24)</f>
        <v>0</v>
      </c>
      <c r="M25" s="83"/>
      <c r="N25" s="468">
        <f>SUM(N21+N24)</f>
        <v>0</v>
      </c>
      <c r="O25" s="468">
        <f>SUM(O21+O24)</f>
        <v>0</v>
      </c>
      <c r="P25" s="83"/>
      <c r="Q25" s="468">
        <f>SUM(Q21+Q24)</f>
        <v>14876.889125000002</v>
      </c>
      <c r="R25" s="468">
        <f>SUM(R21+R24)</f>
        <v>72634.223375000001</v>
      </c>
      <c r="S25" s="83"/>
      <c r="T25" s="468">
        <f>SUM(T21+T24)</f>
        <v>29503.746500000005</v>
      </c>
      <c r="U25" s="468">
        <f>SUM(U21+U24)</f>
        <v>144047.7035</v>
      </c>
      <c r="V25" s="83"/>
      <c r="W25" s="468">
        <f>SUM(W21+W24)</f>
        <v>29003.683000000001</v>
      </c>
      <c r="X25" s="468">
        <f>SUM(X21+X24)</f>
        <v>141606.21699999998</v>
      </c>
      <c r="Y25" s="83"/>
      <c r="Z25" s="468">
        <f>SUM(Z21+Z24)</f>
        <v>28503.619500000004</v>
      </c>
      <c r="AA25" s="468">
        <f>SUM(AA21+AA24)</f>
        <v>139164.73050000001</v>
      </c>
      <c r="AB25" s="83"/>
      <c r="AC25" s="468">
        <f>SUM(AC21+AC24)</f>
        <v>28003.556</v>
      </c>
      <c r="AD25" s="468">
        <f>SUM(AD21+AD24)</f>
        <v>136723.24399999998</v>
      </c>
    </row>
    <row r="26" spans="1:30" x14ac:dyDescent="0.2">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row>
    <row r="27" spans="1:30" x14ac:dyDescent="0.2">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row>
    <row r="28" spans="1:30" x14ac:dyDescent="0.2">
      <c r="A28" s="83" t="s">
        <v>659</v>
      </c>
      <c r="B28" s="464">
        <v>0.04</v>
      </c>
      <c r="C28" s="480"/>
      <c r="D28" s="456"/>
      <c r="E28" s="468">
        <f>E25*$B$28</f>
        <v>0</v>
      </c>
      <c r="F28" s="468">
        <f>F25*$B$28</f>
        <v>0</v>
      </c>
      <c r="G28" s="456"/>
      <c r="H28" s="468">
        <f>H25*$B$28</f>
        <v>0</v>
      </c>
      <c r="I28" s="468">
        <f>I25*$B$28</f>
        <v>0</v>
      </c>
      <c r="J28" s="456"/>
      <c r="K28" s="468">
        <f>K25*$B$28</f>
        <v>0</v>
      </c>
      <c r="L28" s="468">
        <f>L25*$B$28</f>
        <v>0</v>
      </c>
      <c r="M28" s="456"/>
      <c r="N28" s="468">
        <f>N25*$B$28</f>
        <v>0</v>
      </c>
      <c r="O28" s="468">
        <f>O25*$B$28</f>
        <v>0</v>
      </c>
      <c r="P28" s="456"/>
      <c r="Q28" s="468">
        <f>Q25*$B$28</f>
        <v>595.0755650000001</v>
      </c>
      <c r="R28" s="468">
        <f>R25*$B$28</f>
        <v>2905.368935</v>
      </c>
      <c r="S28" s="456"/>
      <c r="T28" s="468">
        <f>T25*$B$28</f>
        <v>1180.1498600000002</v>
      </c>
      <c r="U28" s="468">
        <f>U25*$B$28</f>
        <v>5761.9081400000005</v>
      </c>
      <c r="V28" s="456"/>
      <c r="W28" s="468">
        <f>W25*$B$28</f>
        <v>1160.14732</v>
      </c>
      <c r="X28" s="468">
        <f>X25*$B$28</f>
        <v>5664.2486799999988</v>
      </c>
      <c r="Y28" s="456"/>
      <c r="Z28" s="468">
        <f>Z25*$B$28</f>
        <v>1140.1447800000003</v>
      </c>
      <c r="AA28" s="468">
        <f>AA25*$B$28</f>
        <v>5566.5892200000008</v>
      </c>
      <c r="AB28" s="456"/>
      <c r="AC28" s="468">
        <f>AC25*$B$28</f>
        <v>1120.1422400000001</v>
      </c>
      <c r="AD28" s="468">
        <f>AD25*$B$28</f>
        <v>5468.9297599999991</v>
      </c>
    </row>
    <row r="29" spans="1:30" x14ac:dyDescent="0.2">
      <c r="A29" s="83" t="s">
        <v>660</v>
      </c>
      <c r="B29" s="464">
        <v>0.56000000000000005</v>
      </c>
      <c r="C29" s="480"/>
      <c r="D29" s="469"/>
      <c r="E29" s="468">
        <f>E25*$B$29</f>
        <v>0</v>
      </c>
      <c r="F29" s="468">
        <f>F25*$B$29</f>
        <v>0</v>
      </c>
      <c r="G29" s="469"/>
      <c r="H29" s="468">
        <f>H25*$B$29</f>
        <v>0</v>
      </c>
      <c r="I29" s="468">
        <f>I25*$B$29</f>
        <v>0</v>
      </c>
      <c r="J29" s="469"/>
      <c r="K29" s="468">
        <f>K25*$B$29</f>
        <v>0</v>
      </c>
      <c r="L29" s="468">
        <f>L25*$B$29</f>
        <v>0</v>
      </c>
      <c r="M29" s="469"/>
      <c r="N29" s="468">
        <f>N25*$B$29</f>
        <v>0</v>
      </c>
      <c r="O29" s="468">
        <f>O25*$B$29</f>
        <v>0</v>
      </c>
      <c r="P29" s="469"/>
      <c r="Q29" s="468">
        <f>Q25*$B$29</f>
        <v>8331.0579100000014</v>
      </c>
      <c r="R29" s="468">
        <f>R25*$B$29</f>
        <v>40675.165090000002</v>
      </c>
      <c r="S29" s="469"/>
      <c r="T29" s="468">
        <f>T25*$B$29</f>
        <v>16522.098040000004</v>
      </c>
      <c r="U29" s="468">
        <f>U25*$B$29</f>
        <v>80666.713960000008</v>
      </c>
      <c r="V29" s="469"/>
      <c r="W29" s="468">
        <f>W25*$B$29</f>
        <v>16242.062480000002</v>
      </c>
      <c r="X29" s="468">
        <f>X25*$B$29</f>
        <v>79299.481519999987</v>
      </c>
      <c r="Y29" s="469"/>
      <c r="Z29" s="468">
        <f>Z25*$B$29</f>
        <v>15962.026920000004</v>
      </c>
      <c r="AA29" s="468">
        <f>AA25*$B$29</f>
        <v>77932.249080000009</v>
      </c>
      <c r="AB29" s="469"/>
      <c r="AC29" s="468">
        <f>AC25*$B$29</f>
        <v>15681.991360000002</v>
      </c>
      <c r="AD29" s="468">
        <f>AD25*$B$29</f>
        <v>76565.016640000002</v>
      </c>
    </row>
    <row r="30" spans="1:30" x14ac:dyDescent="0.2">
      <c r="A30" s="83" t="s">
        <v>661</v>
      </c>
      <c r="B30" s="464">
        <v>0.4</v>
      </c>
      <c r="C30" s="480"/>
      <c r="D30" s="470"/>
      <c r="E30" s="468">
        <f>E25*$B$30</f>
        <v>0</v>
      </c>
      <c r="F30" s="468">
        <f>F25*$B$30</f>
        <v>0</v>
      </c>
      <c r="G30" s="470"/>
      <c r="H30" s="468">
        <f>H25*$B$30</f>
        <v>0</v>
      </c>
      <c r="I30" s="468">
        <f>I25*$B$30</f>
        <v>0</v>
      </c>
      <c r="J30" s="470"/>
      <c r="K30" s="468">
        <f>K25*$B$30</f>
        <v>0</v>
      </c>
      <c r="L30" s="468">
        <f>L25*$B$30</f>
        <v>0</v>
      </c>
      <c r="M30" s="470"/>
      <c r="N30" s="468">
        <f>N25*$B$30</f>
        <v>0</v>
      </c>
      <c r="O30" s="468">
        <f>O25*$B$30</f>
        <v>0</v>
      </c>
      <c r="P30" s="470"/>
      <c r="Q30" s="468">
        <f>Q25*$B$30</f>
        <v>5950.755650000001</v>
      </c>
      <c r="R30" s="468">
        <f>R25*$B$30</f>
        <v>29053.689350000001</v>
      </c>
      <c r="S30" s="470"/>
      <c r="T30" s="468">
        <f>T25*$B$30</f>
        <v>11801.498600000003</v>
      </c>
      <c r="U30" s="468">
        <f>U25*$B$30</f>
        <v>57619.081400000003</v>
      </c>
      <c r="V30" s="470"/>
      <c r="W30" s="468">
        <f>W25*$B$30</f>
        <v>11601.4732</v>
      </c>
      <c r="X30" s="468">
        <f>X25*$B$30</f>
        <v>56642.486799999991</v>
      </c>
      <c r="Y30" s="470"/>
      <c r="Z30" s="468">
        <f>Z25*$B$30</f>
        <v>11401.447800000002</v>
      </c>
      <c r="AA30" s="468">
        <f>AA25*$B$30</f>
        <v>55665.892200000002</v>
      </c>
      <c r="AB30" s="470"/>
      <c r="AC30" s="468">
        <f>AC25*$B$30</f>
        <v>11201.422400000001</v>
      </c>
      <c r="AD30" s="468">
        <f>AD25*$B$30</f>
        <v>54689.297599999991</v>
      </c>
    </row>
    <row r="31" spans="1:30" x14ac:dyDescent="0.2">
      <c r="A31" s="83"/>
      <c r="B31" s="83"/>
      <c r="C31" s="526"/>
      <c r="D31" s="83"/>
      <c r="E31" s="471"/>
      <c r="F31" s="83"/>
      <c r="G31" s="83"/>
      <c r="H31" s="471"/>
      <c r="I31" s="83"/>
      <c r="J31" s="83"/>
      <c r="K31" s="471"/>
      <c r="L31" s="83"/>
      <c r="M31" s="83"/>
      <c r="N31" s="471"/>
      <c r="O31" s="83"/>
      <c r="P31" s="83"/>
      <c r="Q31" s="427"/>
      <c r="R31" s="83"/>
      <c r="S31" s="83"/>
      <c r="T31" s="427"/>
      <c r="U31" s="83"/>
      <c r="V31" s="83"/>
      <c r="W31" s="427"/>
      <c r="X31" s="83"/>
      <c r="Y31" s="83"/>
      <c r="Z31" s="427"/>
      <c r="AA31" s="83"/>
      <c r="AB31" s="83"/>
      <c r="AC31" s="427"/>
      <c r="AD31" s="83"/>
    </row>
    <row r="32" spans="1:30" x14ac:dyDescent="0.2">
      <c r="A32" s="83" t="s">
        <v>662</v>
      </c>
      <c r="B32" s="527">
        <v>1.6500000000000001E-2</v>
      </c>
      <c r="C32" s="480"/>
      <c r="D32" s="472"/>
      <c r="E32" s="468">
        <f>E28*$B$32</f>
        <v>0</v>
      </c>
      <c r="F32" s="468">
        <f>F28*$B$32</f>
        <v>0</v>
      </c>
      <c r="G32" s="472"/>
      <c r="H32" s="468">
        <f>H28*$B$32</f>
        <v>0</v>
      </c>
      <c r="I32" s="468">
        <f>I28*$B$32</f>
        <v>0</v>
      </c>
      <c r="J32" s="472"/>
      <c r="K32" s="468">
        <f>K28*$B$32</f>
        <v>0</v>
      </c>
      <c r="L32" s="468">
        <f>L28*$B$32</f>
        <v>0</v>
      </c>
      <c r="M32" s="472"/>
      <c r="N32" s="468">
        <f>N28*$B$32</f>
        <v>0</v>
      </c>
      <c r="O32" s="468">
        <f>O28*$B$32</f>
        <v>0</v>
      </c>
      <c r="P32" s="472"/>
      <c r="Q32" s="468">
        <f>Q28*$B$32</f>
        <v>9.8187468225000014</v>
      </c>
      <c r="R32" s="468">
        <f>R28*$B$32</f>
        <v>47.938587427500003</v>
      </c>
      <c r="S32" s="472"/>
      <c r="T32" s="468">
        <f>T28*$B$32</f>
        <v>19.472472690000004</v>
      </c>
      <c r="U32" s="468">
        <f>U28*$B$32</f>
        <v>95.071484310000017</v>
      </c>
      <c r="V32" s="472"/>
      <c r="W32" s="468">
        <f>W28*$B$32</f>
        <v>19.142430780000002</v>
      </c>
      <c r="X32" s="468">
        <f>X28*$B$32</f>
        <v>93.460103219999979</v>
      </c>
      <c r="Y32" s="472"/>
      <c r="Z32" s="468">
        <f>Z28*$B$32</f>
        <v>18.812388870000007</v>
      </c>
      <c r="AA32" s="468">
        <f>AA28*$B$32</f>
        <v>91.848722130000013</v>
      </c>
      <c r="AB32" s="472"/>
      <c r="AC32" s="468">
        <f>AC28*$B$32</f>
        <v>18.482346960000005</v>
      </c>
      <c r="AD32" s="468">
        <f>AD28*$B$32</f>
        <v>90.23734103999999</v>
      </c>
    </row>
    <row r="33" spans="1:30" x14ac:dyDescent="0.2">
      <c r="A33" s="83" t="s">
        <v>663</v>
      </c>
      <c r="B33" s="527">
        <v>2.9499999999999998E-2</v>
      </c>
      <c r="C33" s="480"/>
      <c r="D33" s="472"/>
      <c r="E33" s="468">
        <f>E29*$B$33</f>
        <v>0</v>
      </c>
      <c r="F33" s="468">
        <f>F29*$B$33</f>
        <v>0</v>
      </c>
      <c r="G33" s="472"/>
      <c r="H33" s="468">
        <f>H29*$B$33</f>
        <v>0</v>
      </c>
      <c r="I33" s="468">
        <f>I29*$B$33</f>
        <v>0</v>
      </c>
      <c r="J33" s="472"/>
      <c r="K33" s="468">
        <f>K29*$B$33</f>
        <v>0</v>
      </c>
      <c r="L33" s="468">
        <f>L29*$B$33</f>
        <v>0</v>
      </c>
      <c r="M33" s="472"/>
      <c r="N33" s="468">
        <f>N29*$B$33</f>
        <v>0</v>
      </c>
      <c r="O33" s="468">
        <f>O29*$B$33</f>
        <v>0</v>
      </c>
      <c r="P33" s="472"/>
      <c r="Q33" s="468">
        <f>Q29*$B$33</f>
        <v>245.76620834500002</v>
      </c>
      <c r="R33" s="468">
        <f>R29*$B$33</f>
        <v>1199.9173701550001</v>
      </c>
      <c r="S33" s="472"/>
      <c r="T33" s="468">
        <f>T29*$B$33</f>
        <v>487.40189218000012</v>
      </c>
      <c r="U33" s="468">
        <f>U29*$B$33</f>
        <v>2379.6680618200003</v>
      </c>
      <c r="V33" s="472"/>
      <c r="W33" s="468">
        <f>W29*$B$33</f>
        <v>479.14084316000003</v>
      </c>
      <c r="X33" s="468">
        <f>X29*$B$33</f>
        <v>2339.3347048399996</v>
      </c>
      <c r="Y33" s="472"/>
      <c r="Z33" s="468">
        <f>Z29*$B$33</f>
        <v>470.87979414000012</v>
      </c>
      <c r="AA33" s="468">
        <f>AA29*$B$33</f>
        <v>2299.0013478600004</v>
      </c>
      <c r="AB33" s="472"/>
      <c r="AC33" s="468">
        <f>AC29*$B$33</f>
        <v>462.61874512000003</v>
      </c>
      <c r="AD33" s="468">
        <f>AD29*$B$33</f>
        <v>2258.6679908799997</v>
      </c>
    </row>
    <row r="34" spans="1:30" x14ac:dyDescent="0.2">
      <c r="A34" s="83" t="s">
        <v>664</v>
      </c>
      <c r="B34" s="527">
        <v>9.1899999999999996E-2</v>
      </c>
      <c r="C34" s="480"/>
      <c r="D34" s="472"/>
      <c r="E34" s="468">
        <f>E30*$B$34</f>
        <v>0</v>
      </c>
      <c r="F34" s="466">
        <f>F30*$B$34</f>
        <v>0</v>
      </c>
      <c r="G34" s="472"/>
      <c r="H34" s="468">
        <f>H30*$B$34</f>
        <v>0</v>
      </c>
      <c r="I34" s="466">
        <f>I30*$B$34</f>
        <v>0</v>
      </c>
      <c r="J34" s="472"/>
      <c r="K34" s="468">
        <f>K30*$B$34</f>
        <v>0</v>
      </c>
      <c r="L34" s="466">
        <f>L30*$B$34</f>
        <v>0</v>
      </c>
      <c r="M34" s="472"/>
      <c r="N34" s="468">
        <f>N30*$B$34</f>
        <v>0</v>
      </c>
      <c r="O34" s="466">
        <f>O30*$B$34</f>
        <v>0</v>
      </c>
      <c r="P34" s="472"/>
      <c r="Q34" s="468">
        <f>Q30*$B$34</f>
        <v>546.87444423500006</v>
      </c>
      <c r="R34" s="466">
        <f>R30*$B$34</f>
        <v>2670.034051265</v>
      </c>
      <c r="S34" s="472"/>
      <c r="T34" s="468">
        <f>T30*$B$34</f>
        <v>1084.5577213400002</v>
      </c>
      <c r="U34" s="466">
        <f>U30*$B$34</f>
        <v>5295.1935806600004</v>
      </c>
      <c r="V34" s="472"/>
      <c r="W34" s="468">
        <f>W30*$B$34</f>
        <v>1066.1753870800001</v>
      </c>
      <c r="X34" s="466">
        <f>X30*$B$34</f>
        <v>5205.4445369199993</v>
      </c>
      <c r="Y34" s="472"/>
      <c r="Z34" s="468">
        <f>Z30*$B$34</f>
        <v>1047.7930528200002</v>
      </c>
      <c r="AA34" s="466">
        <f>AA30*$B$34</f>
        <v>5115.6954931800001</v>
      </c>
      <c r="AB34" s="472"/>
      <c r="AC34" s="468">
        <f>AC30*$B$34</f>
        <v>1029.4107185600001</v>
      </c>
      <c r="AD34" s="466">
        <f>AD30*$B$34</f>
        <v>5025.946449439999</v>
      </c>
    </row>
    <row r="35" spans="1:30" x14ac:dyDescent="0.2">
      <c r="A35" s="473" t="s">
        <v>665</v>
      </c>
      <c r="B35" s="83"/>
      <c r="C35" s="480"/>
      <c r="D35" s="83"/>
      <c r="E35" s="474">
        <f>SUM(E32:E34)</f>
        <v>0</v>
      </c>
      <c r="F35" s="474">
        <f>SUM(F32:F34)</f>
        <v>0</v>
      </c>
      <c r="G35" s="83"/>
      <c r="H35" s="474">
        <f>SUM(H32:H34)</f>
        <v>0</v>
      </c>
      <c r="I35" s="474">
        <f>SUM(I32:I34)</f>
        <v>0</v>
      </c>
      <c r="J35" s="83"/>
      <c r="K35" s="474">
        <f>SUM(K32:K34)</f>
        <v>0</v>
      </c>
      <c r="L35" s="474">
        <f>SUM(L32:L34)</f>
        <v>0</v>
      </c>
      <c r="M35" s="83"/>
      <c r="N35" s="474">
        <f>SUM(N32:N34)</f>
        <v>0</v>
      </c>
      <c r="O35" s="474">
        <f>SUM(O32:O34)</f>
        <v>0</v>
      </c>
      <c r="P35" s="83"/>
      <c r="Q35" s="474">
        <f>SUM(Q32:Q34)</f>
        <v>802.45939940250014</v>
      </c>
      <c r="R35" s="474">
        <f>SUM(R32:R34)</f>
        <v>3917.8900088475002</v>
      </c>
      <c r="S35" s="83"/>
      <c r="T35" s="474">
        <f>SUM(T32:T34)</f>
        <v>1591.4320862100003</v>
      </c>
      <c r="U35" s="474">
        <f>SUM(U32:U34)</f>
        <v>7769.9331267900006</v>
      </c>
      <c r="V35" s="83"/>
      <c r="W35" s="474">
        <f>SUM(W32:W34)</f>
        <v>1564.4586610200001</v>
      </c>
      <c r="X35" s="474">
        <f>SUM(X32:X34)</f>
        <v>7638.2393449799984</v>
      </c>
      <c r="Y35" s="83"/>
      <c r="Z35" s="474">
        <f>SUM(Z32:Z34)</f>
        <v>1537.4852358300004</v>
      </c>
      <c r="AA35" s="474">
        <f>SUM(AA32:AA34)</f>
        <v>7506.5455631700006</v>
      </c>
      <c r="AB35" s="83"/>
      <c r="AC35" s="474">
        <f>SUM(AC32:AC34)</f>
        <v>1510.51181064</v>
      </c>
      <c r="AD35" s="474">
        <f>SUM(AD32:AD34)</f>
        <v>7374.8517813599992</v>
      </c>
    </row>
    <row r="36" spans="1:30" x14ac:dyDescent="0.2">
      <c r="A36" s="83"/>
      <c r="B36" s="83"/>
      <c r="C36" s="451"/>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row>
    <row r="37" spans="1:30" x14ac:dyDescent="0.2">
      <c r="A37" s="83" t="s">
        <v>119</v>
      </c>
      <c r="B37" s="83"/>
      <c r="C37" s="528"/>
      <c r="D37" s="83"/>
      <c r="E37" s="475">
        <f>E22+E23</f>
        <v>0</v>
      </c>
      <c r="F37" s="468">
        <f>F23</f>
        <v>0</v>
      </c>
      <c r="G37" s="83"/>
      <c r="H37" s="475">
        <f>H22+H23</f>
        <v>0</v>
      </c>
      <c r="I37" s="468">
        <f>I23</f>
        <v>0</v>
      </c>
      <c r="J37" s="83"/>
      <c r="K37" s="475">
        <f>K22+K23</f>
        <v>0</v>
      </c>
      <c r="L37" s="468">
        <f>L23</f>
        <v>0</v>
      </c>
      <c r="M37" s="83"/>
      <c r="N37" s="475">
        <f>N22+N23</f>
        <v>0</v>
      </c>
      <c r="O37" s="468">
        <f>O23</f>
        <v>0</v>
      </c>
      <c r="P37" s="83"/>
      <c r="Q37" s="475">
        <f>Q22+Q23</f>
        <v>0</v>
      </c>
      <c r="R37" s="468">
        <f>R23</f>
        <v>0</v>
      </c>
      <c r="S37" s="83"/>
      <c r="T37" s="475">
        <f>T22+T23</f>
        <v>0</v>
      </c>
      <c r="U37" s="468">
        <f>U23</f>
        <v>0</v>
      </c>
      <c r="V37" s="102"/>
      <c r="W37" s="475">
        <f>W22+W23</f>
        <v>0</v>
      </c>
      <c r="X37" s="468">
        <f>X23</f>
        <v>0</v>
      </c>
      <c r="Y37" s="83"/>
      <c r="Z37" s="475">
        <f>Z22+Z23</f>
        <v>0</v>
      </c>
      <c r="AA37" s="475">
        <f>AA23</f>
        <v>0</v>
      </c>
      <c r="AB37" s="83"/>
      <c r="AC37" s="475">
        <f>AC22+AC23</f>
        <v>0</v>
      </c>
      <c r="AD37" s="475">
        <f>AD23</f>
        <v>0</v>
      </c>
    </row>
    <row r="38" spans="1:30" x14ac:dyDescent="0.2">
      <c r="A38" s="83" t="s">
        <v>666</v>
      </c>
      <c r="B38" s="476"/>
      <c r="C38" s="480"/>
      <c r="D38" s="427">
        <f>D78</f>
        <v>0</v>
      </c>
      <c r="E38" s="468">
        <f>D38*E$20</f>
        <v>0</v>
      </c>
      <c r="F38" s="468">
        <f>D38*F$20</f>
        <v>0</v>
      </c>
      <c r="G38" s="427">
        <f>E78</f>
        <v>0</v>
      </c>
      <c r="H38" s="468">
        <f>G38*H$20</f>
        <v>0</v>
      </c>
      <c r="I38" s="468">
        <f>G38*I$20</f>
        <v>0</v>
      </c>
      <c r="J38" s="427">
        <f>F78</f>
        <v>0</v>
      </c>
      <c r="K38" s="468">
        <f>J38*K$20</f>
        <v>0</v>
      </c>
      <c r="L38" s="468">
        <f>J38*L$20</f>
        <v>0</v>
      </c>
      <c r="M38" s="427">
        <f>G78</f>
        <v>0</v>
      </c>
      <c r="N38" s="468">
        <f>M38*N$20</f>
        <v>0</v>
      </c>
      <c r="O38" s="468">
        <f>M38*O$20</f>
        <v>0</v>
      </c>
      <c r="P38" s="477">
        <f>H76+H77</f>
        <v>1470.7750000000001</v>
      </c>
      <c r="Q38" s="468">
        <f>P38*Q$20</f>
        <v>250.03175000000005</v>
      </c>
      <c r="R38" s="468">
        <f>P38*R$20</f>
        <v>1220.74325</v>
      </c>
      <c r="S38" s="477">
        <f>I76+I77</f>
        <v>2941.55</v>
      </c>
      <c r="T38" s="468">
        <f>S38*T$20</f>
        <v>500.06350000000009</v>
      </c>
      <c r="U38" s="468">
        <f>S38*U$20</f>
        <v>2441.4865</v>
      </c>
      <c r="V38" s="477">
        <f>J76+J77</f>
        <v>2941.55</v>
      </c>
      <c r="W38" s="468">
        <f>V38*W$20</f>
        <v>500.06350000000009</v>
      </c>
      <c r="X38" s="468">
        <f>V38*X$20</f>
        <v>2441.4865</v>
      </c>
      <c r="Y38" s="477">
        <f>K76+K77</f>
        <v>2941.55</v>
      </c>
      <c r="Z38" s="468">
        <f>Y38*Z$20</f>
        <v>500.06350000000009</v>
      </c>
      <c r="AA38" s="468">
        <f>Y38*AA$20</f>
        <v>2441.4865</v>
      </c>
      <c r="AB38" s="477">
        <f>L76+L77</f>
        <v>2941.55</v>
      </c>
      <c r="AC38" s="468">
        <f>AB38*AC$20</f>
        <v>500.06350000000009</v>
      </c>
      <c r="AD38" s="468">
        <f>AB38*AD$20</f>
        <v>2441.4865</v>
      </c>
    </row>
    <row r="39" spans="1:30" x14ac:dyDescent="0.2">
      <c r="A39" s="83" t="s">
        <v>667</v>
      </c>
      <c r="B39" s="476"/>
      <c r="C39" s="529"/>
      <c r="D39" s="83"/>
      <c r="E39" s="427">
        <f>E66</f>
        <v>0</v>
      </c>
      <c r="F39" s="427">
        <f>F66</f>
        <v>0</v>
      </c>
      <c r="G39" s="83"/>
      <c r="H39" s="427">
        <f>H66</f>
        <v>0</v>
      </c>
      <c r="I39" s="427">
        <f>I66</f>
        <v>0</v>
      </c>
      <c r="J39" s="83"/>
      <c r="K39" s="427">
        <f>K66</f>
        <v>0</v>
      </c>
      <c r="L39" s="427">
        <f>L66</f>
        <v>0</v>
      </c>
      <c r="M39" s="83"/>
      <c r="N39" s="427">
        <f>N66</f>
        <v>0</v>
      </c>
      <c r="O39" s="427">
        <f>O66</f>
        <v>0</v>
      </c>
      <c r="P39" s="476"/>
      <c r="Q39" s="427">
        <f>Q66</f>
        <v>0</v>
      </c>
      <c r="R39" s="427">
        <f>R66</f>
        <v>0</v>
      </c>
      <c r="S39" s="476"/>
      <c r="T39" s="427">
        <f>T66</f>
        <v>0</v>
      </c>
      <c r="U39" s="427">
        <f>U66</f>
        <v>0</v>
      </c>
      <c r="V39" s="476"/>
      <c r="W39" s="427">
        <f>W66</f>
        <v>0</v>
      </c>
      <c r="X39" s="427">
        <f>X66</f>
        <v>0</v>
      </c>
      <c r="Y39" s="476"/>
      <c r="Z39" s="427">
        <f>Z66</f>
        <v>0</v>
      </c>
      <c r="AA39" s="427">
        <f>AA66</f>
        <v>0</v>
      </c>
      <c r="AB39" s="476"/>
      <c r="AC39" s="427">
        <f>AC66</f>
        <v>0</v>
      </c>
      <c r="AD39" s="427">
        <f>AD66</f>
        <v>0</v>
      </c>
    </row>
    <row r="40" spans="1:30" x14ac:dyDescent="0.2">
      <c r="A40" s="83"/>
      <c r="B40" s="83"/>
      <c r="C40" s="451"/>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row>
    <row r="41" spans="1:30" ht="13.5" thickBot="1" x14ac:dyDescent="0.25">
      <c r="A41" s="60" t="s">
        <v>668</v>
      </c>
      <c r="B41" s="83"/>
      <c r="C41" s="480"/>
      <c r="D41" s="83"/>
      <c r="E41" s="478">
        <f>SUM(E35:E39)</f>
        <v>0</v>
      </c>
      <c r="F41" s="478">
        <f>SUM(F35:F39)</f>
        <v>0</v>
      </c>
      <c r="G41" s="83"/>
      <c r="H41" s="478">
        <f>SUM(H35:H39)</f>
        <v>0</v>
      </c>
      <c r="I41" s="478">
        <f>SUM(I35:I39)</f>
        <v>0</v>
      </c>
      <c r="J41" s="83"/>
      <c r="K41" s="478">
        <f>SUM(K35:K39)</f>
        <v>0</v>
      </c>
      <c r="L41" s="478">
        <f>SUM(L35:L39)</f>
        <v>0</v>
      </c>
      <c r="M41" s="83"/>
      <c r="N41" s="478">
        <f>SUM(N35:N39)</f>
        <v>0</v>
      </c>
      <c r="O41" s="478">
        <f>SUM(O35:O39)</f>
        <v>0</v>
      </c>
      <c r="P41" s="83"/>
      <c r="Q41" s="478">
        <f>SUM(Q35:Q39)</f>
        <v>1052.4911494025002</v>
      </c>
      <c r="R41" s="478">
        <f>SUM(R35:R39)</f>
        <v>5138.6332588474997</v>
      </c>
      <c r="S41" s="83"/>
      <c r="T41" s="478">
        <f>SUM(T35:T39)</f>
        <v>2091.4955862100005</v>
      </c>
      <c r="U41" s="478">
        <f>SUM(U35:U39)</f>
        <v>10211.419626790001</v>
      </c>
      <c r="V41" s="83"/>
      <c r="W41" s="478">
        <f>SUM(W35:W39)</f>
        <v>2064.5221610200001</v>
      </c>
      <c r="X41" s="478">
        <f>SUM(X35:X39)</f>
        <v>10079.725844979999</v>
      </c>
      <c r="Y41" s="83"/>
      <c r="Z41" s="478">
        <f>SUM(Z35:Z39)</f>
        <v>2037.5487358300006</v>
      </c>
      <c r="AA41" s="478">
        <f>SUM(AA35:AA39)</f>
        <v>9948.0320631700015</v>
      </c>
      <c r="AB41" s="83"/>
      <c r="AC41" s="478">
        <f>SUM(AC35:AC39)</f>
        <v>2010.5753106400002</v>
      </c>
      <c r="AD41" s="478">
        <f>SUM(AD35:AD39)</f>
        <v>9816.3382813600001</v>
      </c>
    </row>
    <row r="42" spans="1:30" x14ac:dyDescent="0.2">
      <c r="A42" s="83"/>
      <c r="B42" s="83"/>
      <c r="C42" s="480"/>
      <c r="D42" s="83"/>
      <c r="E42" s="480"/>
      <c r="F42" s="480"/>
      <c r="G42" s="83"/>
      <c r="H42" s="480"/>
      <c r="I42" s="480"/>
      <c r="J42" s="83"/>
      <c r="K42" s="480"/>
      <c r="L42" s="480"/>
      <c r="M42" s="83"/>
      <c r="N42" s="480"/>
      <c r="O42" s="480"/>
      <c r="P42" s="83"/>
      <c r="Q42" s="480"/>
      <c r="R42" s="480"/>
      <c r="S42" s="83"/>
      <c r="T42" s="480"/>
      <c r="U42" s="480"/>
      <c r="V42" s="83"/>
      <c r="W42" s="480"/>
      <c r="X42" s="480"/>
      <c r="Y42" s="83"/>
      <c r="Z42" s="480"/>
      <c r="AA42" s="480"/>
      <c r="AB42" s="83"/>
      <c r="AC42" s="480"/>
      <c r="AD42" s="480"/>
    </row>
    <row r="43" spans="1:30" x14ac:dyDescent="0.2">
      <c r="A43" s="83"/>
      <c r="B43" s="481"/>
      <c r="C43" s="468"/>
      <c r="D43" s="83"/>
      <c r="E43" s="468"/>
      <c r="F43" s="436"/>
      <c r="G43" s="83"/>
      <c r="H43" s="468"/>
      <c r="I43" s="436"/>
      <c r="J43" s="83"/>
      <c r="K43" s="468"/>
      <c r="L43" s="436"/>
      <c r="M43" s="83"/>
      <c r="N43" s="468"/>
      <c r="O43" s="436"/>
      <c r="P43" s="468"/>
      <c r="Q43" s="83"/>
      <c r="R43" s="468"/>
      <c r="S43" s="468"/>
      <c r="T43" s="83"/>
      <c r="U43" s="468"/>
      <c r="V43" s="468"/>
      <c r="W43" s="83"/>
      <c r="X43" s="468"/>
      <c r="Y43" s="468"/>
      <c r="Z43" s="83"/>
      <c r="AA43" s="468"/>
      <c r="AB43" s="468"/>
      <c r="AC43" s="83"/>
      <c r="AD43" s="468"/>
    </row>
    <row r="44" spans="1:30" x14ac:dyDescent="0.2">
      <c r="A44" s="83" t="s">
        <v>669</v>
      </c>
      <c r="B44" s="481"/>
      <c r="C44" s="468"/>
      <c r="D44" s="83"/>
      <c r="E44" s="468"/>
      <c r="F44" s="482">
        <f>F41</f>
        <v>0</v>
      </c>
      <c r="G44" s="83"/>
      <c r="H44" s="468"/>
      <c r="I44" s="482">
        <f>I41</f>
        <v>0</v>
      </c>
      <c r="J44" s="83"/>
      <c r="K44" s="468"/>
      <c r="L44" s="482">
        <f>L41</f>
        <v>0</v>
      </c>
      <c r="M44" s="83"/>
      <c r="N44" s="468"/>
      <c r="O44" s="482">
        <f>O41</f>
        <v>0</v>
      </c>
      <c r="P44" s="468"/>
      <c r="Q44" s="83"/>
      <c r="R44" s="482">
        <f>R41</f>
        <v>5138.6332588474997</v>
      </c>
      <c r="S44" s="468"/>
      <c r="T44" s="83"/>
      <c r="U44" s="482">
        <f>U41</f>
        <v>10211.419626790001</v>
      </c>
      <c r="V44" s="468"/>
      <c r="W44" s="83"/>
      <c r="X44" s="482">
        <f>X41</f>
        <v>10079.725844979999</v>
      </c>
      <c r="Y44" s="468"/>
      <c r="Z44" s="83"/>
      <c r="AA44" s="482">
        <f>AA41</f>
        <v>9948.0320631700015</v>
      </c>
      <c r="AB44" s="468"/>
      <c r="AC44" s="83"/>
      <c r="AD44" s="482">
        <f>AD41</f>
        <v>9816.3382813600001</v>
      </c>
    </row>
    <row r="45" spans="1:30" x14ac:dyDescent="0.2">
      <c r="A45" s="83"/>
      <c r="B45" s="483"/>
      <c r="C45" s="83"/>
      <c r="D45" s="83"/>
      <c r="E45" s="484"/>
      <c r="F45" s="436"/>
      <c r="G45" s="83"/>
      <c r="H45" s="484"/>
      <c r="I45" s="436"/>
      <c r="J45" s="83"/>
      <c r="K45" s="484"/>
      <c r="L45" s="436"/>
      <c r="M45" s="83"/>
      <c r="N45" s="484"/>
      <c r="O45" s="436"/>
      <c r="P45" s="83"/>
      <c r="Q45" s="485"/>
      <c r="R45" s="436"/>
      <c r="S45" s="83"/>
      <c r="T45" s="485"/>
      <c r="U45" s="436"/>
      <c r="V45" s="83"/>
      <c r="W45" s="485"/>
      <c r="X45" s="436"/>
      <c r="Y45" s="83"/>
      <c r="Z45" s="485"/>
      <c r="AA45" s="436"/>
      <c r="AB45" s="83"/>
      <c r="AC45" s="485"/>
      <c r="AD45" s="436"/>
    </row>
    <row r="46" spans="1:30" x14ac:dyDescent="0.2">
      <c r="A46" s="102" t="s">
        <v>869</v>
      </c>
      <c r="B46" s="83"/>
      <c r="C46" s="427"/>
      <c r="D46" s="427"/>
      <c r="E46" s="427"/>
      <c r="F46" s="482">
        <f>F44/12</f>
        <v>0</v>
      </c>
      <c r="G46" s="427"/>
      <c r="H46" s="427"/>
      <c r="I46" s="482">
        <f>I44/12</f>
        <v>0</v>
      </c>
      <c r="J46" s="427"/>
      <c r="K46" s="427"/>
      <c r="L46" s="482">
        <f>L44/12</f>
        <v>0</v>
      </c>
      <c r="M46" s="427"/>
      <c r="N46" s="427"/>
      <c r="O46" s="482">
        <f>O44/12</f>
        <v>0</v>
      </c>
      <c r="P46" s="427"/>
      <c r="Q46" s="83"/>
      <c r="R46" s="482">
        <f>R44/12</f>
        <v>428.21943823729163</v>
      </c>
      <c r="S46" s="427"/>
      <c r="T46" s="83"/>
      <c r="U46" s="482">
        <f>U44/12</f>
        <v>850.95163556583339</v>
      </c>
      <c r="V46" s="427"/>
      <c r="W46" s="83"/>
      <c r="X46" s="482">
        <f>X44/12</f>
        <v>839.97715374833331</v>
      </c>
      <c r="Y46" s="427"/>
      <c r="Z46" s="83"/>
      <c r="AA46" s="482">
        <f>AA44/12</f>
        <v>829.00267193083346</v>
      </c>
      <c r="AB46" s="427"/>
      <c r="AC46" s="83"/>
      <c r="AD46" s="482">
        <f>AD44/12</f>
        <v>818.02819011333338</v>
      </c>
    </row>
    <row r="47" spans="1:30" x14ac:dyDescent="0.2">
      <c r="A47" s="102"/>
      <c r="B47" s="83"/>
      <c r="C47" s="427"/>
      <c r="D47" s="427"/>
      <c r="E47" s="427"/>
      <c r="F47" s="427"/>
      <c r="G47" s="427"/>
      <c r="H47" s="427"/>
      <c r="I47" s="427"/>
      <c r="J47" s="427"/>
      <c r="K47" s="427"/>
      <c r="L47" s="427"/>
      <c r="M47" s="427"/>
      <c r="N47" s="427"/>
      <c r="O47" s="486"/>
      <c r="P47" s="427"/>
      <c r="Q47" s="83"/>
      <c r="R47" s="427"/>
      <c r="S47" s="427"/>
      <c r="T47" s="83"/>
      <c r="U47" s="83"/>
      <c r="V47" s="427"/>
      <c r="W47" s="83"/>
      <c r="X47" s="427"/>
      <c r="Y47" s="427"/>
      <c r="Z47" s="83"/>
      <c r="AA47" s="83"/>
      <c r="AB47" s="427"/>
      <c r="AC47" s="83"/>
      <c r="AD47" s="83"/>
    </row>
    <row r="48" spans="1:30" x14ac:dyDescent="0.2">
      <c r="A48" s="1748" t="s">
        <v>878</v>
      </c>
      <c r="B48" s="1748"/>
      <c r="C48" s="1748"/>
      <c r="D48" s="1748"/>
      <c r="E48" s="1748"/>
      <c r="F48" s="1748"/>
      <c r="G48" s="1748"/>
      <c r="H48" s="1748"/>
      <c r="I48" s="1748"/>
      <c r="J48" s="1748"/>
      <c r="K48" s="1748"/>
      <c r="L48" s="1748"/>
      <c r="M48" s="1748"/>
      <c r="N48" s="1748"/>
      <c r="O48" s="1748"/>
      <c r="P48" s="1748"/>
      <c r="Q48" s="1748"/>
      <c r="R48" s="1748"/>
      <c r="S48" s="1748"/>
      <c r="T48" s="1748"/>
      <c r="U48" s="1748"/>
    </row>
    <row r="49" spans="1:30" x14ac:dyDescent="0.2">
      <c r="A49" s="487" t="s">
        <v>879</v>
      </c>
      <c r="B49" s="1074"/>
      <c r="C49" s="1074"/>
      <c r="D49" s="1074"/>
      <c r="E49" s="1074"/>
      <c r="F49" s="1074"/>
      <c r="G49" s="1074"/>
      <c r="H49" s="1074"/>
      <c r="I49" s="1074"/>
      <c r="J49" s="1074"/>
      <c r="K49" s="1074"/>
      <c r="L49" s="1074"/>
      <c r="M49" s="1074"/>
      <c r="N49" s="1074"/>
      <c r="O49" s="1074"/>
      <c r="P49" s="1074"/>
      <c r="Q49" s="1074"/>
      <c r="R49" s="1074"/>
      <c r="S49" s="1074"/>
      <c r="T49" s="1074"/>
      <c r="U49" s="1074"/>
    </row>
    <row r="50" spans="1:30" x14ac:dyDescent="0.2">
      <c r="A50" s="1754" t="s">
        <v>1031</v>
      </c>
      <c r="B50" s="1754"/>
      <c r="C50" s="1754"/>
      <c r="D50" s="1754"/>
      <c r="E50" s="1754"/>
      <c r="F50" s="1754"/>
      <c r="G50" s="1754"/>
      <c r="H50" s="1754"/>
      <c r="I50" s="1754"/>
      <c r="J50" s="1754"/>
      <c r="K50" s="1754"/>
      <c r="L50" s="1754"/>
      <c r="M50" s="1754"/>
      <c r="N50" s="1754"/>
      <c r="O50" s="1754"/>
      <c r="P50" s="1754"/>
      <c r="Q50" s="1754"/>
      <c r="R50" s="1754"/>
      <c r="S50" s="1754"/>
      <c r="T50" s="1754"/>
      <c r="U50" s="1754"/>
      <c r="V50" s="1754"/>
    </row>
    <row r="51" spans="1:30" ht="15" x14ac:dyDescent="0.2">
      <c r="A51" s="1755"/>
      <c r="B51" s="1755"/>
      <c r="C51" s="530"/>
      <c r="D51" s="530"/>
      <c r="E51" s="530"/>
      <c r="F51" s="530"/>
      <c r="G51" s="530"/>
      <c r="H51" s="530"/>
      <c r="I51" s="530"/>
      <c r="J51" s="530"/>
      <c r="K51" s="530"/>
      <c r="L51" s="530"/>
      <c r="M51" s="530"/>
      <c r="N51" s="530"/>
      <c r="O51" s="530"/>
      <c r="P51" s="121"/>
    </row>
    <row r="52" spans="1:30" ht="16.5" thickBot="1" x14ac:dyDescent="0.3">
      <c r="A52" s="489" t="s">
        <v>670</v>
      </c>
      <c r="B52" s="1076"/>
      <c r="C52" s="530"/>
      <c r="D52" s="530"/>
      <c r="E52" s="530"/>
      <c r="F52" s="530"/>
      <c r="G52" s="530"/>
      <c r="H52" s="530"/>
      <c r="I52" s="530"/>
      <c r="J52" s="530"/>
      <c r="K52" s="530"/>
      <c r="L52" s="530"/>
      <c r="M52" s="530"/>
      <c r="N52" s="530"/>
      <c r="O52" s="530"/>
      <c r="P52" s="121"/>
    </row>
    <row r="53" spans="1:30" ht="13.5" thickBot="1" x14ac:dyDescent="0.25">
      <c r="A53" s="493"/>
      <c r="B53" s="1075"/>
      <c r="C53" s="488"/>
      <c r="D53" s="488"/>
      <c r="E53" s="1746">
        <f>D18</f>
        <v>2013</v>
      </c>
      <c r="F53" s="1747"/>
      <c r="G53" s="451"/>
      <c r="H53" s="1746">
        <f>G18</f>
        <v>2014</v>
      </c>
      <c r="I53" s="1747"/>
      <c r="J53" s="451"/>
      <c r="K53" s="1746">
        <f>J18</f>
        <v>2015</v>
      </c>
      <c r="L53" s="1747"/>
      <c r="M53" s="451"/>
      <c r="N53" s="1746">
        <f>M18</f>
        <v>2016</v>
      </c>
      <c r="O53" s="1747"/>
      <c r="P53" s="451"/>
      <c r="Q53" s="1746" t="str">
        <f>P18</f>
        <v>2017 Test Year</v>
      </c>
      <c r="R53" s="1747"/>
      <c r="S53" s="451"/>
      <c r="T53" s="1746">
        <f>S18</f>
        <v>2018</v>
      </c>
      <c r="U53" s="1747"/>
      <c r="V53" s="451"/>
      <c r="W53" s="1746">
        <f>V18</f>
        <v>2019</v>
      </c>
      <c r="X53" s="1747"/>
      <c r="Y53" s="451"/>
      <c r="Z53" s="1746">
        <f>Y18</f>
        <v>2020</v>
      </c>
      <c r="AA53" s="1747"/>
      <c r="AB53" s="451"/>
      <c r="AC53" s="1746">
        <f>AB18</f>
        <v>2021</v>
      </c>
      <c r="AD53" s="1747"/>
    </row>
    <row r="54" spans="1:30" x14ac:dyDescent="0.2">
      <c r="A54" s="491" t="s">
        <v>671</v>
      </c>
      <c r="B54" s="1075"/>
      <c r="C54" s="488"/>
      <c r="D54" s="488"/>
      <c r="E54" s="60" t="s">
        <v>654</v>
      </c>
      <c r="F54" s="422" t="s">
        <v>655</v>
      </c>
      <c r="G54" s="83"/>
      <c r="H54" s="60" t="s">
        <v>654</v>
      </c>
      <c r="I54" s="422" t="s">
        <v>655</v>
      </c>
      <c r="J54" s="83"/>
      <c r="K54" s="60" t="s">
        <v>654</v>
      </c>
      <c r="L54" s="422" t="s">
        <v>655</v>
      </c>
      <c r="M54" s="83"/>
      <c r="N54" s="60" t="s">
        <v>654</v>
      </c>
      <c r="O54" s="422" t="s">
        <v>655</v>
      </c>
      <c r="P54" s="83"/>
      <c r="Q54" s="60" t="s">
        <v>654</v>
      </c>
      <c r="R54" s="422" t="s">
        <v>655</v>
      </c>
      <c r="S54" s="83"/>
      <c r="T54" s="60" t="s">
        <v>654</v>
      </c>
      <c r="U54" s="422" t="s">
        <v>655</v>
      </c>
      <c r="V54" s="83"/>
      <c r="W54" s="60" t="s">
        <v>654</v>
      </c>
      <c r="X54" s="422" t="s">
        <v>655</v>
      </c>
      <c r="Y54" s="83"/>
      <c r="Z54" s="60" t="s">
        <v>654</v>
      </c>
      <c r="AA54" s="422" t="s">
        <v>655</v>
      </c>
      <c r="AB54" s="83"/>
      <c r="AC54" s="60" t="s">
        <v>654</v>
      </c>
      <c r="AD54" s="422" t="s">
        <v>655</v>
      </c>
    </row>
    <row r="55" spans="1:30" x14ac:dyDescent="0.2">
      <c r="A55" s="492"/>
      <c r="B55" s="1075"/>
      <c r="C55" s="488"/>
      <c r="D55" s="488"/>
      <c r="E55" s="60"/>
      <c r="F55" s="422"/>
      <c r="G55" s="454"/>
      <c r="H55" s="60"/>
      <c r="I55" s="422"/>
      <c r="J55" s="454"/>
      <c r="K55" s="60"/>
      <c r="L55" s="422"/>
      <c r="M55" s="454"/>
      <c r="N55" s="60"/>
      <c r="O55" s="422"/>
      <c r="P55" s="454"/>
      <c r="Q55" s="60"/>
      <c r="R55" s="422"/>
      <c r="S55" s="454"/>
      <c r="T55" s="60"/>
      <c r="U55" s="422"/>
      <c r="V55" s="454" t="s">
        <v>295</v>
      </c>
      <c r="W55" s="60"/>
      <c r="X55" s="422"/>
      <c r="Y55" s="454" t="s">
        <v>295</v>
      </c>
      <c r="Z55" s="60"/>
      <c r="AA55" s="422"/>
      <c r="AB55" s="454" t="s">
        <v>295</v>
      </c>
      <c r="AC55" s="60"/>
      <c r="AD55" s="422"/>
    </row>
    <row r="56" spans="1:30" x14ac:dyDescent="0.2">
      <c r="A56" s="493" t="s">
        <v>672</v>
      </c>
      <c r="B56" s="1075"/>
      <c r="C56" s="488"/>
      <c r="D56" s="488"/>
      <c r="E56" s="439">
        <f>E34</f>
        <v>0</v>
      </c>
      <c r="F56" s="494">
        <f>F34</f>
        <v>0</v>
      </c>
      <c r="G56" s="439"/>
      <c r="H56" s="439">
        <f>H34</f>
        <v>0</v>
      </c>
      <c r="I56" s="494">
        <f>I34</f>
        <v>0</v>
      </c>
      <c r="J56" s="439"/>
      <c r="K56" s="439">
        <f>K34</f>
        <v>0</v>
      </c>
      <c r="L56" s="494">
        <f>L34</f>
        <v>0</v>
      </c>
      <c r="M56" s="439"/>
      <c r="N56" s="439">
        <f>N34</f>
        <v>0</v>
      </c>
      <c r="O56" s="494">
        <f>O34</f>
        <v>0</v>
      </c>
      <c r="P56" s="439"/>
      <c r="Q56" s="439">
        <f>Q34</f>
        <v>546.87444423500006</v>
      </c>
      <c r="R56" s="494">
        <f>R34</f>
        <v>2670.034051265</v>
      </c>
      <c r="S56" s="439"/>
      <c r="T56" s="439">
        <f>T34</f>
        <v>1084.5577213400002</v>
      </c>
      <c r="U56" s="494">
        <f>U34</f>
        <v>5295.1935806600004</v>
      </c>
      <c r="V56" s="439"/>
      <c r="W56" s="439">
        <f>W34</f>
        <v>1066.1753870800001</v>
      </c>
      <c r="X56" s="494">
        <f>X34</f>
        <v>5205.4445369199993</v>
      </c>
      <c r="Y56" s="439"/>
      <c r="Z56" s="439">
        <f>Z34</f>
        <v>1047.7930528200002</v>
      </c>
      <c r="AA56" s="494">
        <f>AA34</f>
        <v>5115.6954931800001</v>
      </c>
      <c r="AB56" s="439"/>
      <c r="AC56" s="439">
        <f>AC34</f>
        <v>1029.4107185600001</v>
      </c>
      <c r="AD56" s="494">
        <f>AD34</f>
        <v>5025.946449439999</v>
      </c>
    </row>
    <row r="57" spans="1:30" x14ac:dyDescent="0.2">
      <c r="A57" s="493" t="s">
        <v>880</v>
      </c>
      <c r="B57" s="1075"/>
      <c r="C57" s="488"/>
      <c r="D57" s="488"/>
      <c r="E57" s="459">
        <f>E38</f>
        <v>0</v>
      </c>
      <c r="F57" s="459">
        <f>F38</f>
        <v>0</v>
      </c>
      <c r="G57" s="438"/>
      <c r="H57" s="459">
        <f>H38</f>
        <v>0</v>
      </c>
      <c r="I57" s="459">
        <f>I38</f>
        <v>0</v>
      </c>
      <c r="J57" s="438"/>
      <c r="K57" s="459">
        <f>K38</f>
        <v>0</v>
      </c>
      <c r="L57" s="459">
        <f>L38</f>
        <v>0</v>
      </c>
      <c r="M57" s="438"/>
      <c r="N57" s="459">
        <f>N38</f>
        <v>0</v>
      </c>
      <c r="O57" s="459">
        <f>O38</f>
        <v>0</v>
      </c>
      <c r="P57" s="438"/>
      <c r="Q57" s="459">
        <f>Q38</f>
        <v>250.03175000000005</v>
      </c>
      <c r="R57" s="459">
        <f>R38</f>
        <v>1220.74325</v>
      </c>
      <c r="S57" s="438"/>
      <c r="T57" s="459">
        <f>T38</f>
        <v>500.06350000000009</v>
      </c>
      <c r="U57" s="459">
        <f>U38</f>
        <v>2441.4865</v>
      </c>
      <c r="V57" s="438"/>
      <c r="W57" s="459">
        <f>W38</f>
        <v>500.06350000000009</v>
      </c>
      <c r="X57" s="459">
        <f>X38</f>
        <v>2441.4865</v>
      </c>
      <c r="Y57" s="438"/>
      <c r="Z57" s="459">
        <f>Z38</f>
        <v>500.06350000000009</v>
      </c>
      <c r="AA57" s="459">
        <f>AA38</f>
        <v>2441.4865</v>
      </c>
      <c r="AB57" s="438"/>
      <c r="AC57" s="459">
        <f>AC38</f>
        <v>500.06350000000009</v>
      </c>
      <c r="AD57" s="459">
        <f>AD38</f>
        <v>2441.4865</v>
      </c>
    </row>
    <row r="58" spans="1:30" x14ac:dyDescent="0.2">
      <c r="A58" s="493" t="s">
        <v>881</v>
      </c>
      <c r="B58" s="1075"/>
      <c r="C58" s="488"/>
      <c r="D58" s="488"/>
      <c r="E58" s="438">
        <f>-D94*E$20</f>
        <v>0</v>
      </c>
      <c r="F58" s="438">
        <f>-D94*F$20</f>
        <v>0</v>
      </c>
      <c r="G58" s="438"/>
      <c r="H58" s="438">
        <f>-E94*H$20</f>
        <v>0</v>
      </c>
      <c r="I58" s="438">
        <f>-E94*I$20</f>
        <v>0</v>
      </c>
      <c r="J58" s="438"/>
      <c r="K58" s="438">
        <f>-F94*K$20</f>
        <v>0</v>
      </c>
      <c r="L58" s="438">
        <f>-F94*L$20</f>
        <v>0</v>
      </c>
      <c r="M58" s="438"/>
      <c r="N58" s="438">
        <f>-G94*N$20</f>
        <v>0</v>
      </c>
      <c r="O58" s="438">
        <f>-G94*O$20</f>
        <v>0</v>
      </c>
      <c r="P58" s="438"/>
      <c r="Q58" s="438">
        <f>-H94*Q$20</f>
        <v>-1200.1524000000002</v>
      </c>
      <c r="R58" s="438">
        <f>-H94*R$20</f>
        <v>-5859.5676000000003</v>
      </c>
      <c r="S58" s="438"/>
      <c r="T58" s="438">
        <f>-I94*T$20</f>
        <v>-2304.2926080000002</v>
      </c>
      <c r="U58" s="438">
        <f>-I94*U$20</f>
        <v>-11250.369792</v>
      </c>
      <c r="V58" s="438"/>
      <c r="W58" s="438">
        <f>-J94*W$20</f>
        <v>-2119.9491993600004</v>
      </c>
      <c r="X58" s="438">
        <f>-J94*X$20</f>
        <v>-10350.34020864</v>
      </c>
      <c r="Y58" s="438"/>
      <c r="Z58" s="438">
        <f>-K94*Z$20</f>
        <v>-1950.3532634112</v>
      </c>
      <c r="AA58" s="438">
        <f>-K94*AA$20</f>
        <v>-9522.3129919488001</v>
      </c>
      <c r="AB58" s="438"/>
      <c r="AC58" s="438">
        <f>-L94*AC$20</f>
        <v>-1794.3250023383039</v>
      </c>
      <c r="AD58" s="438">
        <f>-L94*AD$20</f>
        <v>-8760.5279525928945</v>
      </c>
    </row>
    <row r="59" spans="1:30" x14ac:dyDescent="0.2">
      <c r="A59" s="492" t="s">
        <v>675</v>
      </c>
      <c r="B59" s="1075"/>
      <c r="C59" s="488"/>
      <c r="D59" s="488"/>
      <c r="E59" s="496">
        <f>SUM(E56:E58)</f>
        <v>0</v>
      </c>
      <c r="F59" s="496">
        <f>SUM(F56:F58)</f>
        <v>0</v>
      </c>
      <c r="G59" s="438"/>
      <c r="H59" s="496">
        <f>SUM(H56:H58)</f>
        <v>0</v>
      </c>
      <c r="I59" s="496">
        <f>SUM(I56:I58)</f>
        <v>0</v>
      </c>
      <c r="J59" s="438"/>
      <c r="K59" s="496">
        <f>SUM(K56:K58)</f>
        <v>0</v>
      </c>
      <c r="L59" s="496">
        <f>SUM(L56:L58)</f>
        <v>0</v>
      </c>
      <c r="M59" s="438"/>
      <c r="N59" s="496">
        <f>SUM(N56:N58)</f>
        <v>0</v>
      </c>
      <c r="O59" s="496">
        <f>SUM(O56:O58)</f>
        <v>0</v>
      </c>
      <c r="P59" s="438"/>
      <c r="Q59" s="496">
        <f>SUM(Q56:Q58)</f>
        <v>-403.24620576500001</v>
      </c>
      <c r="R59" s="496">
        <f>SUM(R56:R58)</f>
        <v>-1968.7902987350003</v>
      </c>
      <c r="S59" s="438"/>
      <c r="T59" s="496">
        <f>SUM(T56:T58)</f>
        <v>-719.67138665999983</v>
      </c>
      <c r="U59" s="496">
        <f>SUM(U56:U58)</f>
        <v>-3513.6897113399991</v>
      </c>
      <c r="V59" s="496"/>
      <c r="W59" s="496">
        <f>SUM(W56:W58)</f>
        <v>-553.71031228000038</v>
      </c>
      <c r="X59" s="496">
        <f>SUM(X56:X58)</f>
        <v>-2703.4091717200008</v>
      </c>
      <c r="Y59" s="496"/>
      <c r="Z59" s="496">
        <f>SUM(Z56:Z58)</f>
        <v>-402.49671059119987</v>
      </c>
      <c r="AA59" s="496">
        <f>SUM(AA56:AA58)</f>
        <v>-1965.1309987688001</v>
      </c>
      <c r="AB59" s="496"/>
      <c r="AC59" s="496">
        <f>SUM(AC56:AC58)</f>
        <v>-264.85078377830359</v>
      </c>
      <c r="AD59" s="496">
        <f>SUM(AD56:AD58)</f>
        <v>-1293.0950031528955</v>
      </c>
    </row>
    <row r="60" spans="1:30" x14ac:dyDescent="0.2">
      <c r="A60" s="102"/>
      <c r="B60" s="1075"/>
      <c r="C60" s="488"/>
      <c r="D60" s="488"/>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row>
    <row r="61" spans="1:30" x14ac:dyDescent="0.2">
      <c r="A61" s="493" t="s">
        <v>676</v>
      </c>
      <c r="B61" s="488"/>
      <c r="C61" s="488"/>
      <c r="D61" s="488"/>
      <c r="E61" s="497"/>
      <c r="F61" s="497"/>
      <c r="G61" s="495"/>
      <c r="H61" s="497"/>
      <c r="I61" s="497"/>
      <c r="J61" s="495"/>
      <c r="K61" s="497"/>
      <c r="L61" s="497"/>
      <c r="M61" s="495"/>
      <c r="N61" s="497"/>
      <c r="O61" s="497"/>
      <c r="P61" s="495"/>
      <c r="Q61" s="497"/>
      <c r="R61" s="497"/>
      <c r="S61" s="495"/>
      <c r="T61" s="497"/>
      <c r="U61" s="497"/>
      <c r="V61" s="495"/>
      <c r="W61" s="497"/>
      <c r="X61" s="497"/>
      <c r="Y61" s="438"/>
      <c r="Z61" s="497"/>
      <c r="AA61" s="497"/>
      <c r="AB61" s="438"/>
      <c r="AC61" s="497"/>
      <c r="AD61" s="497"/>
    </row>
    <row r="62" spans="1:30" x14ac:dyDescent="0.2">
      <c r="A62" s="493"/>
      <c r="B62" s="488"/>
      <c r="C62" s="488"/>
      <c r="D62" s="488"/>
      <c r="E62" s="531"/>
      <c r="F62" s="531"/>
      <c r="G62" s="495"/>
      <c r="H62" s="531"/>
      <c r="I62" s="531"/>
      <c r="J62" s="495"/>
      <c r="K62" s="531"/>
      <c r="L62" s="531"/>
      <c r="M62" s="495"/>
      <c r="N62" s="531"/>
      <c r="O62" s="531"/>
      <c r="P62" s="495"/>
      <c r="Q62" s="531"/>
      <c r="R62" s="531"/>
      <c r="S62" s="495"/>
      <c r="T62" s="531"/>
      <c r="U62" s="531"/>
      <c r="V62" s="495"/>
      <c r="W62" s="531"/>
      <c r="X62" s="531"/>
      <c r="Y62" s="438"/>
      <c r="Z62" s="531"/>
      <c r="AA62" s="531"/>
      <c r="AB62" s="438"/>
      <c r="AC62" s="531"/>
      <c r="AD62" s="531"/>
    </row>
    <row r="63" spans="1:30" x14ac:dyDescent="0.2">
      <c r="A63" s="493" t="s">
        <v>677</v>
      </c>
      <c r="B63" s="1075"/>
      <c r="C63" s="488"/>
      <c r="D63" s="488"/>
      <c r="E63" s="498">
        <f>E59*E61</f>
        <v>0</v>
      </c>
      <c r="F63" s="498">
        <f>F59*F61</f>
        <v>0</v>
      </c>
      <c r="G63" s="438"/>
      <c r="H63" s="498">
        <f>H59*H61</f>
        <v>0</v>
      </c>
      <c r="I63" s="498">
        <f>I59*I61</f>
        <v>0</v>
      </c>
      <c r="J63" s="438"/>
      <c r="K63" s="498">
        <f>K59*K61</f>
        <v>0</v>
      </c>
      <c r="L63" s="498">
        <f>L59*L61</f>
        <v>0</v>
      </c>
      <c r="M63" s="438"/>
      <c r="N63" s="498">
        <f>N59*N61</f>
        <v>0</v>
      </c>
      <c r="O63" s="498">
        <f>O59*O61</f>
        <v>0</v>
      </c>
      <c r="P63" s="438"/>
      <c r="Q63" s="498">
        <f>Q59*Q61</f>
        <v>0</v>
      </c>
      <c r="R63" s="498">
        <f>R59*R61</f>
        <v>0</v>
      </c>
      <c r="S63" s="438"/>
      <c r="T63" s="498">
        <f>T59*T61</f>
        <v>0</v>
      </c>
      <c r="U63" s="498">
        <f>U59*U61</f>
        <v>0</v>
      </c>
      <c r="V63" s="438"/>
      <c r="W63" s="498">
        <f>W59*W61</f>
        <v>0</v>
      </c>
      <c r="X63" s="498">
        <f>X59*X61</f>
        <v>0</v>
      </c>
      <c r="Y63" s="438"/>
      <c r="Z63" s="498">
        <f>Z59*Z61</f>
        <v>0</v>
      </c>
      <c r="AA63" s="498">
        <f>AA59*AA61</f>
        <v>0</v>
      </c>
      <c r="AB63" s="438"/>
      <c r="AC63" s="498">
        <f>AC59*AC61</f>
        <v>0</v>
      </c>
      <c r="AD63" s="498">
        <f>AD59*AD61</f>
        <v>0</v>
      </c>
    </row>
    <row r="64" spans="1:30" x14ac:dyDescent="0.2">
      <c r="A64" s="499" t="s">
        <v>678</v>
      </c>
      <c r="B64" s="1075"/>
      <c r="C64" s="488"/>
      <c r="D64" s="488"/>
      <c r="E64" s="493"/>
      <c r="F64" s="493"/>
      <c r="G64" s="490"/>
      <c r="H64" s="493"/>
      <c r="I64" s="493"/>
      <c r="J64" s="490"/>
      <c r="K64" s="493"/>
      <c r="L64" s="493"/>
      <c r="M64" s="490"/>
      <c r="N64" s="493"/>
      <c r="O64" s="493"/>
      <c r="P64" s="490"/>
      <c r="Q64" s="493"/>
      <c r="R64" s="493"/>
      <c r="S64" s="490"/>
      <c r="T64" s="493"/>
      <c r="U64" s="493"/>
      <c r="V64" s="490"/>
      <c r="W64" s="493"/>
      <c r="X64" s="493"/>
      <c r="Y64" s="490"/>
      <c r="Z64" s="493"/>
      <c r="AA64" s="493"/>
      <c r="AB64" s="490"/>
      <c r="AC64" s="493"/>
      <c r="AD64" s="493"/>
    </row>
    <row r="65" spans="1:30" x14ac:dyDescent="0.2">
      <c r="A65" s="493" t="s">
        <v>677</v>
      </c>
      <c r="B65" s="1075"/>
      <c r="C65" s="488"/>
      <c r="D65" s="488"/>
      <c r="E65" s="500">
        <f>E63/(1-E61)</f>
        <v>0</v>
      </c>
      <c r="F65" s="500">
        <f>F63/(1-F61)</f>
        <v>0</v>
      </c>
      <c r="G65" s="501"/>
      <c r="H65" s="500">
        <f>H63/(1-H61)</f>
        <v>0</v>
      </c>
      <c r="I65" s="500">
        <f>I63/(1-I61)</f>
        <v>0</v>
      </c>
      <c r="J65" s="501"/>
      <c r="K65" s="500">
        <f>K63/(1-K61)</f>
        <v>0</v>
      </c>
      <c r="L65" s="500">
        <f>L63/(1-L61)</f>
        <v>0</v>
      </c>
      <c r="M65" s="501"/>
      <c r="N65" s="500">
        <f>N63/(1-N61)</f>
        <v>0</v>
      </c>
      <c r="O65" s="500">
        <f>O63/(1-O61)</f>
        <v>0</v>
      </c>
      <c r="P65" s="501"/>
      <c r="Q65" s="500">
        <f>Q63/(1-Q61)</f>
        <v>0</v>
      </c>
      <c r="R65" s="500">
        <f>R63/(1-R61)</f>
        <v>0</v>
      </c>
      <c r="S65" s="501"/>
      <c r="T65" s="500">
        <f>T63/(1-T61)</f>
        <v>0</v>
      </c>
      <c r="U65" s="500">
        <f>U63/(1-U61)</f>
        <v>0</v>
      </c>
      <c r="V65" s="501"/>
      <c r="W65" s="500">
        <f>W63/(1-W61)</f>
        <v>0</v>
      </c>
      <c r="X65" s="500">
        <f>X63/(1-X61)</f>
        <v>0</v>
      </c>
      <c r="Y65" s="501"/>
      <c r="Z65" s="500">
        <f>Z63/(1-Z61)</f>
        <v>0</v>
      </c>
      <c r="AA65" s="500">
        <f>AA63/(1-AA61)</f>
        <v>0</v>
      </c>
      <c r="AB65" s="501"/>
      <c r="AC65" s="500">
        <f>AC63/(1-AC61)</f>
        <v>0</v>
      </c>
      <c r="AD65" s="500">
        <f>AD63/(1-AD61)</f>
        <v>0</v>
      </c>
    </row>
    <row r="66" spans="1:30" x14ac:dyDescent="0.2">
      <c r="A66" s="492" t="s">
        <v>679</v>
      </c>
      <c r="B66" s="1075"/>
      <c r="C66" s="488"/>
      <c r="D66" s="488"/>
      <c r="E66" s="502">
        <f>SUM(E65:E65)</f>
        <v>0</v>
      </c>
      <c r="F66" s="502">
        <f>SUM(F65:F65)</f>
        <v>0</v>
      </c>
      <c r="G66" s="503"/>
      <c r="H66" s="502">
        <f>SUM(H65:H65)</f>
        <v>0</v>
      </c>
      <c r="I66" s="502">
        <f>SUM(I65:I65)</f>
        <v>0</v>
      </c>
      <c r="J66" s="503"/>
      <c r="K66" s="502">
        <f>SUM(K65:K65)</f>
        <v>0</v>
      </c>
      <c r="L66" s="502">
        <f>SUM(L65:L65)</f>
        <v>0</v>
      </c>
      <c r="M66" s="503"/>
      <c r="N66" s="502">
        <f>SUM(N65:N65)</f>
        <v>0</v>
      </c>
      <c r="O66" s="502">
        <f>SUM(O65:O65)</f>
        <v>0</v>
      </c>
      <c r="P66" s="503"/>
      <c r="Q66" s="502">
        <f>SUM(Q65:Q65)</f>
        <v>0</v>
      </c>
      <c r="R66" s="502">
        <f>SUM(R65:R65)</f>
        <v>0</v>
      </c>
      <c r="S66" s="503"/>
      <c r="T66" s="502">
        <f>SUM(T65:T65)</f>
        <v>0</v>
      </c>
      <c r="U66" s="502">
        <f>SUM(U65:U65)</f>
        <v>0</v>
      </c>
      <c r="V66" s="503"/>
      <c r="W66" s="502">
        <f>SUM(W65:W65)</f>
        <v>0</v>
      </c>
      <c r="X66" s="502">
        <f>SUM(X65:X65)</f>
        <v>0</v>
      </c>
      <c r="Y66" s="503"/>
      <c r="Z66" s="502">
        <f>SUM(Z65:Z65)</f>
        <v>0</v>
      </c>
      <c r="AA66" s="502">
        <f>SUM(AA65:AA65)</f>
        <v>0</v>
      </c>
      <c r="AB66" s="503"/>
      <c r="AC66" s="502">
        <f>SUM(AC65:AC65)</f>
        <v>0</v>
      </c>
      <c r="AD66" s="502">
        <f>SUM(AD65:AD65)</f>
        <v>0</v>
      </c>
    </row>
    <row r="67" spans="1:30" x14ac:dyDescent="0.2">
      <c r="A67" s="83"/>
      <c r="B67" s="1074"/>
      <c r="C67" s="504"/>
      <c r="D67" s="504"/>
      <c r="E67" s="504"/>
      <c r="F67" s="504"/>
      <c r="G67" s="504"/>
      <c r="H67" s="504"/>
      <c r="I67" s="504"/>
      <c r="J67" s="504"/>
      <c r="K67" s="504"/>
      <c r="L67" s="504"/>
      <c r="M67" s="504"/>
      <c r="N67" s="504"/>
      <c r="O67" s="504"/>
      <c r="P67" s="83"/>
      <c r="Q67" s="83"/>
      <c r="R67" s="83"/>
      <c r="S67" s="83"/>
      <c r="T67" s="83"/>
      <c r="U67" s="83"/>
      <c r="V67" s="83"/>
      <c r="W67" s="83"/>
      <c r="X67" s="83"/>
      <c r="Y67" s="83"/>
      <c r="Z67" s="83"/>
      <c r="AA67" s="83"/>
    </row>
    <row r="68" spans="1:30" ht="13.5" thickBot="1" x14ac:dyDescent="0.25">
      <c r="A68" s="83"/>
      <c r="B68" s="1074"/>
      <c r="C68" s="504"/>
      <c r="D68" s="504"/>
      <c r="E68" s="504"/>
      <c r="F68" s="504"/>
      <c r="G68" s="504"/>
      <c r="H68" s="504"/>
      <c r="I68" s="504"/>
      <c r="J68" s="504"/>
      <c r="K68" s="504"/>
      <c r="L68" s="504"/>
      <c r="M68" s="504"/>
      <c r="N68" s="504"/>
      <c r="O68" s="504"/>
      <c r="P68" s="83"/>
      <c r="Q68" s="83"/>
    </row>
    <row r="69" spans="1:30" ht="15.75" thickBot="1" x14ac:dyDescent="0.25">
      <c r="A69" s="510" t="s">
        <v>680</v>
      </c>
      <c r="B69" s="505"/>
      <c r="C69" s="532"/>
      <c r="D69" s="506">
        <v>2011</v>
      </c>
      <c r="E69" s="506">
        <v>2012</v>
      </c>
      <c r="F69" s="506">
        <v>2013</v>
      </c>
      <c r="G69" s="506">
        <v>2014</v>
      </c>
      <c r="H69" s="507">
        <v>2015</v>
      </c>
      <c r="I69" s="507">
        <v>2016</v>
      </c>
      <c r="J69" s="507">
        <v>2017</v>
      </c>
      <c r="K69" s="533">
        <v>2018</v>
      </c>
      <c r="L69" s="533">
        <v>2019</v>
      </c>
      <c r="M69" s="508"/>
      <c r="N69" s="509"/>
      <c r="O69" s="509"/>
      <c r="P69" s="509"/>
      <c r="Q69" s="509"/>
      <c r="R69" s="509"/>
    </row>
    <row r="70" spans="1:30" x14ac:dyDescent="0.2">
      <c r="A70" s="505"/>
      <c r="B70" s="515" t="s">
        <v>681</v>
      </c>
      <c r="C70" s="516">
        <v>60</v>
      </c>
      <c r="D70" s="459"/>
      <c r="E70" s="459"/>
      <c r="F70" s="459"/>
      <c r="G70" s="459"/>
      <c r="H70" s="459"/>
      <c r="I70" s="102"/>
      <c r="J70" s="459"/>
      <c r="K70" s="102"/>
      <c r="L70" s="102"/>
      <c r="M70" s="102"/>
      <c r="N70" s="102"/>
      <c r="O70" s="102"/>
      <c r="P70" s="102"/>
      <c r="Q70" s="509"/>
      <c r="R70" s="509"/>
    </row>
    <row r="71" spans="1:30" x14ac:dyDescent="0.2">
      <c r="A71" s="505" t="s">
        <v>682</v>
      </c>
      <c r="B71" s="505"/>
      <c r="C71" s="438"/>
      <c r="D71" s="496"/>
      <c r="E71" s="496">
        <f t="shared" ref="E71:L71" si="0">D73</f>
        <v>0</v>
      </c>
      <c r="F71" s="496">
        <f t="shared" si="0"/>
        <v>0</v>
      </c>
      <c r="G71" s="496">
        <f t="shared" si="0"/>
        <v>0</v>
      </c>
      <c r="H71" s="496">
        <f t="shared" si="0"/>
        <v>0</v>
      </c>
      <c r="I71" s="496">
        <f t="shared" si="0"/>
        <v>176493</v>
      </c>
      <c r="J71" s="496">
        <f t="shared" si="0"/>
        <v>176493</v>
      </c>
      <c r="K71" s="496">
        <f t="shared" si="0"/>
        <v>176493</v>
      </c>
      <c r="L71" s="496">
        <f t="shared" si="0"/>
        <v>176493</v>
      </c>
      <c r="M71" s="102"/>
      <c r="N71" s="102"/>
      <c r="O71" s="102"/>
      <c r="P71" s="102"/>
      <c r="Q71" s="509"/>
      <c r="R71" s="509"/>
    </row>
    <row r="72" spans="1:30" x14ac:dyDescent="0.2">
      <c r="A72" s="505" t="s">
        <v>683</v>
      </c>
      <c r="B72" s="505"/>
      <c r="C72" s="534"/>
      <c r="D72" s="512">
        <f>'App.2-FA Proposed REG Invest.'!C99</f>
        <v>0</v>
      </c>
      <c r="E72" s="512">
        <f>'App.2-FA Proposed REG Invest.'!D99</f>
        <v>0</v>
      </c>
      <c r="F72" s="512">
        <f>'App.2-FA Proposed REG Invest.'!E99</f>
        <v>0</v>
      </c>
      <c r="G72" s="512">
        <f>'App.2-FA Proposed REG Invest.'!F99</f>
        <v>0</v>
      </c>
      <c r="H72" s="512">
        <f>'App.2-FA Proposed REG Invest.'!G99</f>
        <v>176493</v>
      </c>
      <c r="I72" s="512">
        <f>'App.2-FA Proposed REG Invest.'!H99</f>
        <v>0</v>
      </c>
      <c r="J72" s="512">
        <f>'App.2-FA Proposed REG Invest.'!I99</f>
        <v>0</v>
      </c>
      <c r="K72" s="512">
        <f>'App.2-FA Proposed REG Invest.'!J99</f>
        <v>0</v>
      </c>
      <c r="L72" s="512">
        <f>'App.2-FA Proposed REG Invest.'!K99</f>
        <v>0</v>
      </c>
      <c r="M72" s="102"/>
      <c r="N72" s="102"/>
      <c r="O72" s="102"/>
      <c r="P72" s="517"/>
      <c r="Q72" s="509"/>
      <c r="R72" s="509"/>
    </row>
    <row r="73" spans="1:30" x14ac:dyDescent="0.2">
      <c r="A73" s="505" t="s">
        <v>684</v>
      </c>
      <c r="B73" s="505"/>
      <c r="C73" s="438"/>
      <c r="D73" s="496">
        <f t="shared" ref="D73:L73" si="1">SUM(D71:D72)</f>
        <v>0</v>
      </c>
      <c r="E73" s="496">
        <f t="shared" si="1"/>
        <v>0</v>
      </c>
      <c r="F73" s="496">
        <f t="shared" si="1"/>
        <v>0</v>
      </c>
      <c r="G73" s="496">
        <f t="shared" si="1"/>
        <v>0</v>
      </c>
      <c r="H73" s="496">
        <f t="shared" si="1"/>
        <v>176493</v>
      </c>
      <c r="I73" s="496">
        <f t="shared" si="1"/>
        <v>176493</v>
      </c>
      <c r="J73" s="496">
        <f t="shared" si="1"/>
        <v>176493</v>
      </c>
      <c r="K73" s="496">
        <f t="shared" si="1"/>
        <v>176493</v>
      </c>
      <c r="L73" s="496">
        <f t="shared" si="1"/>
        <v>176493</v>
      </c>
      <c r="M73" s="509"/>
      <c r="N73" s="509"/>
      <c r="O73" s="509"/>
      <c r="P73" s="509"/>
      <c r="Q73" s="509"/>
      <c r="R73" s="509"/>
    </row>
    <row r="74" spans="1:30" x14ac:dyDescent="0.2">
      <c r="A74" s="505"/>
      <c r="B74" s="505"/>
      <c r="C74" s="438"/>
      <c r="D74" s="438"/>
      <c r="E74" s="438"/>
      <c r="F74" s="438"/>
      <c r="G74" s="438"/>
      <c r="H74" s="459"/>
      <c r="I74" s="102"/>
      <c r="J74" s="459"/>
      <c r="K74" s="102"/>
      <c r="L74" s="102"/>
      <c r="M74" s="102"/>
      <c r="N74" s="509"/>
      <c r="O74" s="509"/>
      <c r="P74" s="509"/>
      <c r="Q74" s="509"/>
      <c r="R74" s="509"/>
    </row>
    <row r="75" spans="1:30" x14ac:dyDescent="0.2">
      <c r="A75" s="505" t="s">
        <v>685</v>
      </c>
      <c r="B75" s="505"/>
      <c r="C75" s="438"/>
      <c r="D75" s="496"/>
      <c r="E75" s="496">
        <f>+D78</f>
        <v>0</v>
      </c>
      <c r="F75" s="496">
        <f t="shared" ref="F75:L75" si="2">E78</f>
        <v>0</v>
      </c>
      <c r="G75" s="496">
        <f t="shared" si="2"/>
        <v>0</v>
      </c>
      <c r="H75" s="496">
        <f t="shared" si="2"/>
        <v>0</v>
      </c>
      <c r="I75" s="496">
        <f t="shared" si="2"/>
        <v>1470.7750000000001</v>
      </c>
      <c r="J75" s="496">
        <f t="shared" si="2"/>
        <v>4412.3250000000007</v>
      </c>
      <c r="K75" s="496">
        <f t="shared" si="2"/>
        <v>7353.8750000000009</v>
      </c>
      <c r="L75" s="496">
        <f t="shared" si="2"/>
        <v>10295.425000000001</v>
      </c>
      <c r="M75" s="102"/>
      <c r="N75" s="509"/>
      <c r="O75" s="509"/>
      <c r="P75" s="509"/>
      <c r="Q75" s="509"/>
      <c r="R75" s="509"/>
    </row>
    <row r="76" spans="1:30" x14ac:dyDescent="0.2">
      <c r="A76" s="505" t="s">
        <v>686</v>
      </c>
      <c r="B76" s="505"/>
      <c r="C76" s="438"/>
      <c r="D76" s="535"/>
      <c r="E76" s="438">
        <f>IF(ISERROR(E71/$C$70), 0, E71/$C$70)</f>
        <v>0</v>
      </c>
      <c r="F76" s="438">
        <f>IF(ISERROR(F71/$C$70), 0, F71/$C$70)</f>
        <v>0</v>
      </c>
      <c r="G76" s="438">
        <f>IF(ISERROR(G71/$C$70), 0, G71/$C$70)</f>
        <v>0</v>
      </c>
      <c r="H76" s="438">
        <f>H71/$C$70</f>
        <v>0</v>
      </c>
      <c r="I76" s="438">
        <f>I71/$C$70</f>
        <v>2941.55</v>
      </c>
      <c r="J76" s="438">
        <f>J71/$C$70</f>
        <v>2941.55</v>
      </c>
      <c r="K76" s="438">
        <f>K71/$C$70</f>
        <v>2941.55</v>
      </c>
      <c r="L76" s="438">
        <f>L71/$C$70</f>
        <v>2941.55</v>
      </c>
      <c r="M76" s="102"/>
      <c r="N76" s="509"/>
      <c r="O76" s="509"/>
      <c r="P76" s="509"/>
      <c r="Q76" s="509"/>
      <c r="R76" s="509"/>
    </row>
    <row r="77" spans="1:30" x14ac:dyDescent="0.2">
      <c r="A77" s="505" t="s">
        <v>687</v>
      </c>
      <c r="B77" s="83"/>
      <c r="C77" s="83"/>
      <c r="D77" s="459">
        <f>D72/C70/2</f>
        <v>0</v>
      </c>
      <c r="E77" s="459">
        <f>E72/C70/2</f>
        <v>0</v>
      </c>
      <c r="F77" s="459">
        <f>F72/C70/2</f>
        <v>0</v>
      </c>
      <c r="G77" s="459">
        <f>G72/C70/2</f>
        <v>0</v>
      </c>
      <c r="H77" s="459">
        <f>H72/C70/2</f>
        <v>1470.7750000000001</v>
      </c>
      <c r="I77" s="459">
        <f>I72/C70/2</f>
        <v>0</v>
      </c>
      <c r="J77" s="459">
        <f>J72/C70/2</f>
        <v>0</v>
      </c>
      <c r="K77" s="459">
        <f>K72/C70/2</f>
        <v>0</v>
      </c>
      <c r="L77" s="536">
        <f>L72/C70/2</f>
        <v>0</v>
      </c>
      <c r="M77" s="102"/>
      <c r="N77" s="509"/>
      <c r="O77" s="509"/>
      <c r="P77" s="509"/>
      <c r="Q77" s="509"/>
      <c r="R77" s="509"/>
    </row>
    <row r="78" spans="1:30" x14ac:dyDescent="0.2">
      <c r="A78" s="505" t="s">
        <v>688</v>
      </c>
      <c r="B78" s="505"/>
      <c r="C78" s="438"/>
      <c r="D78" s="496">
        <f>SUM(D75+D77)</f>
        <v>0</v>
      </c>
      <c r="E78" s="496">
        <f t="shared" ref="E78:L78" si="3">SUM(E75:E77)</f>
        <v>0</v>
      </c>
      <c r="F78" s="496">
        <f t="shared" si="3"/>
        <v>0</v>
      </c>
      <c r="G78" s="496">
        <f t="shared" si="3"/>
        <v>0</v>
      </c>
      <c r="H78" s="496">
        <f t="shared" si="3"/>
        <v>1470.7750000000001</v>
      </c>
      <c r="I78" s="496">
        <f t="shared" si="3"/>
        <v>4412.3250000000007</v>
      </c>
      <c r="J78" s="496">
        <f t="shared" si="3"/>
        <v>7353.8750000000009</v>
      </c>
      <c r="K78" s="496">
        <f t="shared" si="3"/>
        <v>10295.425000000001</v>
      </c>
      <c r="L78" s="496">
        <f t="shared" si="3"/>
        <v>13236.975000000002</v>
      </c>
      <c r="M78" s="102"/>
      <c r="N78" s="509"/>
      <c r="O78" s="509"/>
      <c r="P78" s="509"/>
      <c r="Q78" s="509"/>
      <c r="R78" s="509"/>
    </row>
    <row r="79" spans="1:30" x14ac:dyDescent="0.2">
      <c r="A79" s="505"/>
      <c r="B79" s="505"/>
      <c r="C79" s="438"/>
      <c r="D79" s="459"/>
      <c r="E79" s="459"/>
      <c r="F79" s="459"/>
      <c r="G79" s="459"/>
      <c r="H79" s="459"/>
      <c r="I79" s="459"/>
      <c r="J79" s="459"/>
      <c r="K79" s="459"/>
      <c r="L79" s="459"/>
      <c r="M79" s="102"/>
      <c r="N79" s="509"/>
      <c r="O79" s="517"/>
      <c r="P79" s="102"/>
      <c r="Q79" s="509"/>
      <c r="R79" s="509"/>
    </row>
    <row r="80" spans="1:30" x14ac:dyDescent="0.2">
      <c r="A80" s="505" t="s">
        <v>689</v>
      </c>
      <c r="B80" s="505"/>
      <c r="C80" s="438"/>
      <c r="D80" s="459">
        <f>D71-D75</f>
        <v>0</v>
      </c>
      <c r="E80" s="459">
        <f>E71-E75</f>
        <v>0</v>
      </c>
      <c r="F80" s="459">
        <f>F71-F75</f>
        <v>0</v>
      </c>
      <c r="G80" s="459">
        <f>G71-G75</f>
        <v>0</v>
      </c>
      <c r="H80" s="459">
        <f>G81</f>
        <v>0</v>
      </c>
      <c r="I80" s="459">
        <f>H81</f>
        <v>175022.22500000001</v>
      </c>
      <c r="J80" s="459">
        <f>I81</f>
        <v>172080.67499999999</v>
      </c>
      <c r="K80" s="459">
        <f>J81</f>
        <v>169139.125</v>
      </c>
      <c r="L80" s="459">
        <f>K81</f>
        <v>166197.57500000001</v>
      </c>
      <c r="M80" s="102"/>
      <c r="N80" s="509"/>
      <c r="O80" s="102"/>
      <c r="P80" s="509"/>
      <c r="Q80" s="509"/>
      <c r="R80" s="509"/>
    </row>
    <row r="81" spans="1:18" x14ac:dyDescent="0.2">
      <c r="A81" s="505" t="s">
        <v>690</v>
      </c>
      <c r="B81" s="505"/>
      <c r="C81" s="438"/>
      <c r="D81" s="496">
        <f t="shared" ref="D81:L81" si="4">D73-D78</f>
        <v>0</v>
      </c>
      <c r="E81" s="496">
        <f t="shared" si="4"/>
        <v>0</v>
      </c>
      <c r="F81" s="496">
        <f t="shared" si="4"/>
        <v>0</v>
      </c>
      <c r="G81" s="496">
        <f t="shared" si="4"/>
        <v>0</v>
      </c>
      <c r="H81" s="496">
        <f t="shared" si="4"/>
        <v>175022.22500000001</v>
      </c>
      <c r="I81" s="496">
        <f t="shared" si="4"/>
        <v>172080.67499999999</v>
      </c>
      <c r="J81" s="496">
        <f t="shared" si="4"/>
        <v>169139.125</v>
      </c>
      <c r="K81" s="496">
        <f t="shared" si="4"/>
        <v>166197.57500000001</v>
      </c>
      <c r="L81" s="496">
        <f t="shared" si="4"/>
        <v>163256.02499999999</v>
      </c>
      <c r="M81" s="102"/>
      <c r="N81" s="509"/>
      <c r="O81" s="509"/>
      <c r="P81" s="509"/>
      <c r="Q81" s="509"/>
      <c r="R81" s="509"/>
    </row>
    <row r="82" spans="1:18" ht="13.5" thickBot="1" x14ac:dyDescent="0.25">
      <c r="A82" s="511" t="s">
        <v>691</v>
      </c>
      <c r="B82" s="505"/>
      <c r="C82" s="438"/>
      <c r="D82" s="518">
        <f t="shared" ref="D82:L82" si="5">SUM(D80:D81)/2</f>
        <v>0</v>
      </c>
      <c r="E82" s="518">
        <f t="shared" si="5"/>
        <v>0</v>
      </c>
      <c r="F82" s="518">
        <f t="shared" si="5"/>
        <v>0</v>
      </c>
      <c r="G82" s="518">
        <f t="shared" si="5"/>
        <v>0</v>
      </c>
      <c r="H82" s="518">
        <f t="shared" si="5"/>
        <v>87511.112500000003</v>
      </c>
      <c r="I82" s="518">
        <f t="shared" si="5"/>
        <v>173551.45</v>
      </c>
      <c r="J82" s="518">
        <f t="shared" si="5"/>
        <v>170609.9</v>
      </c>
      <c r="K82" s="518">
        <f t="shared" si="5"/>
        <v>167668.35</v>
      </c>
      <c r="L82" s="518">
        <f t="shared" si="5"/>
        <v>164726.79999999999</v>
      </c>
      <c r="M82" s="102"/>
      <c r="N82" s="509"/>
      <c r="O82" s="509"/>
      <c r="P82" s="509"/>
      <c r="Q82" s="509"/>
      <c r="R82" s="509"/>
    </row>
    <row r="83" spans="1:18" x14ac:dyDescent="0.2">
      <c r="A83" s="505"/>
      <c r="B83" s="505"/>
      <c r="C83" s="438"/>
      <c r="D83" s="459"/>
      <c r="E83" s="459"/>
      <c r="F83" s="459"/>
      <c r="G83" s="459"/>
      <c r="H83" s="459"/>
      <c r="I83" s="102"/>
      <c r="J83" s="459"/>
      <c r="K83" s="102"/>
      <c r="L83" s="102"/>
      <c r="M83" s="102"/>
      <c r="N83" s="509"/>
      <c r="O83" s="509"/>
      <c r="P83" s="509"/>
      <c r="Q83" s="509"/>
      <c r="R83" s="509"/>
    </row>
    <row r="84" spans="1:18" ht="13.5" thickBot="1" x14ac:dyDescent="0.25">
      <c r="A84" s="510" t="s">
        <v>692</v>
      </c>
      <c r="B84" s="511"/>
      <c r="C84" s="459"/>
      <c r="D84" s="459"/>
      <c r="E84" s="459"/>
      <c r="F84" s="459"/>
      <c r="G84" s="459"/>
      <c r="H84" s="459"/>
      <c r="I84" s="102"/>
      <c r="J84" s="459"/>
      <c r="K84" s="102"/>
      <c r="L84" s="102"/>
      <c r="M84" s="102"/>
      <c r="N84" s="509"/>
      <c r="O84" s="509"/>
      <c r="P84" s="509"/>
      <c r="Q84" s="509"/>
      <c r="R84" s="509"/>
    </row>
    <row r="85" spans="1:18" ht="13.5" thickBot="1" x14ac:dyDescent="0.25">
      <c r="A85" s="511"/>
      <c r="B85" s="102"/>
      <c r="C85" s="511"/>
      <c r="D85" s="506">
        <v>2014</v>
      </c>
      <c r="E85" s="506">
        <v>2014</v>
      </c>
      <c r="F85" s="506">
        <v>2014</v>
      </c>
      <c r="G85" s="506">
        <v>2014</v>
      </c>
      <c r="H85" s="507">
        <v>2015</v>
      </c>
      <c r="I85" s="507">
        <v>2016</v>
      </c>
      <c r="J85" s="507">
        <v>2017</v>
      </c>
      <c r="K85" s="533">
        <v>2018</v>
      </c>
      <c r="L85" s="533">
        <v>2019</v>
      </c>
      <c r="M85" s="102"/>
      <c r="N85" s="509"/>
      <c r="O85" s="509"/>
      <c r="P85" s="509"/>
      <c r="Q85" s="509"/>
      <c r="R85" s="509"/>
    </row>
    <row r="86" spans="1:18" x14ac:dyDescent="0.2">
      <c r="A86" s="505"/>
      <c r="B86" s="102"/>
      <c r="C86" s="505"/>
      <c r="D86" s="459"/>
      <c r="E86" s="459"/>
      <c r="F86" s="459"/>
      <c r="G86" s="459"/>
      <c r="H86" s="459"/>
      <c r="I86" s="459"/>
      <c r="J86" s="459"/>
      <c r="K86" s="459"/>
      <c r="L86" s="459"/>
      <c r="M86" s="102"/>
      <c r="N86" s="509"/>
      <c r="O86" s="509"/>
      <c r="P86" s="509"/>
      <c r="Q86" s="509"/>
      <c r="R86" s="509"/>
    </row>
    <row r="87" spans="1:18" x14ac:dyDescent="0.2">
      <c r="A87" s="505" t="s">
        <v>693</v>
      </c>
      <c r="B87" s="102"/>
      <c r="C87" s="505"/>
      <c r="D87" s="496"/>
      <c r="E87" s="496">
        <f t="shared" ref="E87:L87" si="6">D95</f>
        <v>0</v>
      </c>
      <c r="F87" s="496">
        <f t="shared" si="6"/>
        <v>0</v>
      </c>
      <c r="G87" s="496">
        <f t="shared" si="6"/>
        <v>0</v>
      </c>
      <c r="H87" s="496">
        <f t="shared" si="6"/>
        <v>0</v>
      </c>
      <c r="I87" s="496">
        <f t="shared" si="6"/>
        <v>169433.28</v>
      </c>
      <c r="J87" s="496">
        <f t="shared" si="6"/>
        <v>155878.6176</v>
      </c>
      <c r="K87" s="496">
        <f t="shared" si="6"/>
        <v>143408.32819199999</v>
      </c>
      <c r="L87" s="496">
        <f t="shared" si="6"/>
        <v>131935.66193663998</v>
      </c>
      <c r="M87" s="102"/>
      <c r="N87" s="509"/>
      <c r="O87" s="509"/>
      <c r="P87" s="509"/>
      <c r="Q87" s="509"/>
      <c r="R87" s="509"/>
    </row>
    <row r="88" spans="1:18" x14ac:dyDescent="0.2">
      <c r="A88" s="505" t="s">
        <v>694</v>
      </c>
      <c r="B88" s="102"/>
      <c r="C88" s="505"/>
      <c r="D88" s="459">
        <f t="shared" ref="D88:L88" si="7">D72</f>
        <v>0</v>
      </c>
      <c r="E88" s="459">
        <f t="shared" si="7"/>
        <v>0</v>
      </c>
      <c r="F88" s="459">
        <f t="shared" si="7"/>
        <v>0</v>
      </c>
      <c r="G88" s="459">
        <f t="shared" si="7"/>
        <v>0</v>
      </c>
      <c r="H88" s="459">
        <f t="shared" si="7"/>
        <v>176493</v>
      </c>
      <c r="I88" s="459">
        <f t="shared" si="7"/>
        <v>0</v>
      </c>
      <c r="J88" s="459">
        <f t="shared" si="7"/>
        <v>0</v>
      </c>
      <c r="K88" s="459">
        <f t="shared" si="7"/>
        <v>0</v>
      </c>
      <c r="L88" s="459">
        <f t="shared" si="7"/>
        <v>0</v>
      </c>
      <c r="M88" s="102"/>
      <c r="N88" s="509"/>
      <c r="O88" s="517"/>
      <c r="P88" s="102"/>
      <c r="Q88" s="509"/>
      <c r="R88" s="509"/>
    </row>
    <row r="89" spans="1:18" x14ac:dyDescent="0.2">
      <c r="A89" s="505" t="s">
        <v>695</v>
      </c>
      <c r="B89" s="102"/>
      <c r="C89" s="505"/>
      <c r="D89" s="496">
        <f t="shared" ref="D89:L89" si="8">SUM(D87:D88)</f>
        <v>0</v>
      </c>
      <c r="E89" s="496">
        <f t="shared" si="8"/>
        <v>0</v>
      </c>
      <c r="F89" s="496">
        <f t="shared" si="8"/>
        <v>0</v>
      </c>
      <c r="G89" s="496">
        <f t="shared" si="8"/>
        <v>0</v>
      </c>
      <c r="H89" s="496">
        <f t="shared" si="8"/>
        <v>176493</v>
      </c>
      <c r="I89" s="496">
        <f t="shared" si="8"/>
        <v>169433.28</v>
      </c>
      <c r="J89" s="496">
        <f t="shared" si="8"/>
        <v>155878.6176</v>
      </c>
      <c r="K89" s="496">
        <f t="shared" si="8"/>
        <v>143408.32819199999</v>
      </c>
      <c r="L89" s="496">
        <f t="shared" si="8"/>
        <v>131935.66193663998</v>
      </c>
      <c r="M89" s="102"/>
      <c r="N89" s="509"/>
      <c r="O89" s="102"/>
      <c r="P89" s="509"/>
      <c r="Q89" s="509"/>
      <c r="R89" s="509"/>
    </row>
    <row r="90" spans="1:18" x14ac:dyDescent="0.2">
      <c r="A90" s="505" t="s">
        <v>696</v>
      </c>
      <c r="B90" s="102"/>
      <c r="C90" s="505"/>
      <c r="D90" s="459">
        <f t="shared" ref="D90:L90" si="9">D88/2</f>
        <v>0</v>
      </c>
      <c r="E90" s="459">
        <f t="shared" si="9"/>
        <v>0</v>
      </c>
      <c r="F90" s="459">
        <f t="shared" si="9"/>
        <v>0</v>
      </c>
      <c r="G90" s="459">
        <f t="shared" si="9"/>
        <v>0</v>
      </c>
      <c r="H90" s="459">
        <f t="shared" si="9"/>
        <v>88246.5</v>
      </c>
      <c r="I90" s="459">
        <f t="shared" si="9"/>
        <v>0</v>
      </c>
      <c r="J90" s="459">
        <f t="shared" si="9"/>
        <v>0</v>
      </c>
      <c r="K90" s="459">
        <f t="shared" si="9"/>
        <v>0</v>
      </c>
      <c r="L90" s="459">
        <f t="shared" si="9"/>
        <v>0</v>
      </c>
      <c r="M90" s="102"/>
      <c r="N90" s="509"/>
      <c r="O90" s="509"/>
      <c r="P90" s="509"/>
      <c r="Q90" s="509"/>
      <c r="R90" s="509"/>
    </row>
    <row r="91" spans="1:18" x14ac:dyDescent="0.2">
      <c r="A91" s="505" t="s">
        <v>697</v>
      </c>
      <c r="B91" s="102"/>
      <c r="C91" s="505"/>
      <c r="D91" s="496">
        <f t="shared" ref="D91:L91" si="10">D89-D90</f>
        <v>0</v>
      </c>
      <c r="E91" s="496">
        <f t="shared" si="10"/>
        <v>0</v>
      </c>
      <c r="F91" s="496">
        <f t="shared" si="10"/>
        <v>0</v>
      </c>
      <c r="G91" s="496">
        <f t="shared" si="10"/>
        <v>0</v>
      </c>
      <c r="H91" s="496">
        <f t="shared" si="10"/>
        <v>88246.5</v>
      </c>
      <c r="I91" s="496">
        <f t="shared" si="10"/>
        <v>169433.28</v>
      </c>
      <c r="J91" s="496">
        <f t="shared" si="10"/>
        <v>155878.6176</v>
      </c>
      <c r="K91" s="496">
        <f t="shared" si="10"/>
        <v>143408.32819199999</v>
      </c>
      <c r="L91" s="496">
        <f t="shared" si="10"/>
        <v>131935.66193663998</v>
      </c>
      <c r="M91" s="509"/>
      <c r="N91" s="509"/>
      <c r="O91" s="509"/>
      <c r="P91" s="509"/>
      <c r="Q91" s="509"/>
      <c r="R91" s="509"/>
    </row>
    <row r="92" spans="1:18" x14ac:dyDescent="0.2">
      <c r="A92" s="505" t="s">
        <v>698</v>
      </c>
      <c r="B92" s="102"/>
      <c r="C92" s="519">
        <v>47</v>
      </c>
      <c r="D92" s="519">
        <f>$C$92</f>
        <v>47</v>
      </c>
      <c r="E92" s="519">
        <f t="shared" ref="E92:L92" si="11">$C$92</f>
        <v>47</v>
      </c>
      <c r="F92" s="519">
        <f t="shared" si="11"/>
        <v>47</v>
      </c>
      <c r="G92" s="519">
        <f t="shared" si="11"/>
        <v>47</v>
      </c>
      <c r="H92" s="519">
        <f t="shared" si="11"/>
        <v>47</v>
      </c>
      <c r="I92" s="519">
        <f t="shared" si="11"/>
        <v>47</v>
      </c>
      <c r="J92" s="519">
        <f t="shared" si="11"/>
        <v>47</v>
      </c>
      <c r="K92" s="519">
        <f t="shared" si="11"/>
        <v>47</v>
      </c>
      <c r="L92" s="519">
        <f t="shared" si="11"/>
        <v>47</v>
      </c>
      <c r="M92" s="509"/>
      <c r="N92" s="509"/>
      <c r="O92" s="509"/>
      <c r="P92" s="509"/>
      <c r="Q92" s="509"/>
      <c r="R92" s="509"/>
    </row>
    <row r="93" spans="1:18" x14ac:dyDescent="0.2">
      <c r="A93" s="505" t="s">
        <v>699</v>
      </c>
      <c r="B93" s="102"/>
      <c r="C93" s="520">
        <v>0.08</v>
      </c>
      <c r="D93" s="520">
        <f>$C$93</f>
        <v>0.08</v>
      </c>
      <c r="E93" s="520">
        <f t="shared" ref="E93:L93" si="12">$C$93</f>
        <v>0.08</v>
      </c>
      <c r="F93" s="520">
        <f t="shared" si="12"/>
        <v>0.08</v>
      </c>
      <c r="G93" s="520">
        <f t="shared" si="12"/>
        <v>0.08</v>
      </c>
      <c r="H93" s="520">
        <f t="shared" si="12"/>
        <v>0.08</v>
      </c>
      <c r="I93" s="520">
        <f t="shared" si="12"/>
        <v>0.08</v>
      </c>
      <c r="J93" s="520">
        <f t="shared" si="12"/>
        <v>0.08</v>
      </c>
      <c r="K93" s="520">
        <f t="shared" si="12"/>
        <v>0.08</v>
      </c>
      <c r="L93" s="520">
        <f t="shared" si="12"/>
        <v>0.08</v>
      </c>
      <c r="M93" s="102"/>
      <c r="N93" s="509"/>
      <c r="O93" s="509"/>
      <c r="P93" s="509"/>
      <c r="Q93" s="509"/>
      <c r="R93" s="509"/>
    </row>
    <row r="94" spans="1:18" x14ac:dyDescent="0.2">
      <c r="A94" s="505" t="s">
        <v>700</v>
      </c>
      <c r="B94" s="102"/>
      <c r="C94" s="505"/>
      <c r="D94" s="496">
        <f t="shared" ref="D94:L94" si="13">D91*D$93</f>
        <v>0</v>
      </c>
      <c r="E94" s="496">
        <f t="shared" si="13"/>
        <v>0</v>
      </c>
      <c r="F94" s="496">
        <f t="shared" si="13"/>
        <v>0</v>
      </c>
      <c r="G94" s="496">
        <f t="shared" si="13"/>
        <v>0</v>
      </c>
      <c r="H94" s="496">
        <f t="shared" si="13"/>
        <v>7059.72</v>
      </c>
      <c r="I94" s="496">
        <f t="shared" si="13"/>
        <v>13554.662400000001</v>
      </c>
      <c r="J94" s="496">
        <f t="shared" si="13"/>
        <v>12470.289408000001</v>
      </c>
      <c r="K94" s="496">
        <f t="shared" si="13"/>
        <v>11472.66625536</v>
      </c>
      <c r="L94" s="496">
        <f t="shared" si="13"/>
        <v>10554.852954931199</v>
      </c>
      <c r="M94" s="102"/>
      <c r="N94" s="509"/>
      <c r="O94" s="509"/>
      <c r="P94" s="509"/>
      <c r="Q94" s="509"/>
      <c r="R94" s="509"/>
    </row>
    <row r="95" spans="1:18" ht="13.5" thickBot="1" x14ac:dyDescent="0.25">
      <c r="A95" s="511" t="s">
        <v>701</v>
      </c>
      <c r="B95" s="102"/>
      <c r="C95" s="505"/>
      <c r="D95" s="518">
        <f t="shared" ref="D95:L95" si="14">D89-D94</f>
        <v>0</v>
      </c>
      <c r="E95" s="518">
        <f t="shared" si="14"/>
        <v>0</v>
      </c>
      <c r="F95" s="518">
        <f t="shared" si="14"/>
        <v>0</v>
      </c>
      <c r="G95" s="518">
        <f t="shared" si="14"/>
        <v>0</v>
      </c>
      <c r="H95" s="518">
        <f t="shared" si="14"/>
        <v>169433.28</v>
      </c>
      <c r="I95" s="518">
        <f t="shared" si="14"/>
        <v>155878.6176</v>
      </c>
      <c r="J95" s="518">
        <f t="shared" si="14"/>
        <v>143408.32819199999</v>
      </c>
      <c r="K95" s="518">
        <f t="shared" si="14"/>
        <v>131935.66193663998</v>
      </c>
      <c r="L95" s="518">
        <f t="shared" si="14"/>
        <v>121380.80898170879</v>
      </c>
      <c r="M95" s="102"/>
      <c r="N95" s="509"/>
      <c r="O95" s="509"/>
      <c r="P95" s="509"/>
      <c r="Q95" s="509"/>
      <c r="R95" s="509"/>
    </row>
    <row r="96" spans="1:18" x14ac:dyDescent="0.2">
      <c r="A96" s="505"/>
      <c r="B96" s="505"/>
      <c r="C96" s="459"/>
      <c r="D96" s="459"/>
      <c r="E96" s="459"/>
      <c r="F96" s="459"/>
      <c r="G96" s="459"/>
      <c r="H96" s="459"/>
      <c r="I96" s="102"/>
      <c r="J96" s="459"/>
      <c r="K96" s="102"/>
      <c r="M96" s="102"/>
      <c r="N96" s="509"/>
      <c r="O96" s="509"/>
      <c r="P96" s="509"/>
      <c r="Q96" s="509"/>
      <c r="R96" s="509"/>
    </row>
    <row r="97" spans="13:24" x14ac:dyDescent="0.2">
      <c r="S97" s="102"/>
      <c r="T97" s="509"/>
      <c r="U97" s="509"/>
      <c r="V97" s="509"/>
      <c r="W97" s="509"/>
      <c r="X97" s="509"/>
    </row>
    <row r="98" spans="13:24" x14ac:dyDescent="0.2">
      <c r="S98" s="102"/>
      <c r="T98" s="509"/>
      <c r="U98" s="509"/>
      <c r="V98" s="509"/>
      <c r="W98" s="509"/>
      <c r="X98" s="509"/>
    </row>
    <row r="99" spans="13:24" x14ac:dyDescent="0.2">
      <c r="S99" s="102"/>
      <c r="T99" s="509"/>
      <c r="U99" s="509"/>
      <c r="V99" s="509"/>
      <c r="W99" s="509"/>
      <c r="X99" s="509"/>
    </row>
    <row r="100" spans="13:24" x14ac:dyDescent="0.2">
      <c r="S100" s="102"/>
      <c r="T100" s="509"/>
      <c r="U100" s="517"/>
      <c r="V100" s="102"/>
      <c r="W100" s="509"/>
      <c r="X100" s="509"/>
    </row>
    <row r="101" spans="13:24" x14ac:dyDescent="0.2">
      <c r="S101" s="102"/>
      <c r="T101" s="509"/>
      <c r="U101" s="102"/>
      <c r="V101" s="509"/>
      <c r="W101" s="509"/>
      <c r="X101" s="509"/>
    </row>
    <row r="102" spans="13:24" x14ac:dyDescent="0.2">
      <c r="M102" s="102"/>
      <c r="S102" s="102"/>
      <c r="T102" s="509"/>
      <c r="U102" s="509"/>
      <c r="V102" s="509"/>
      <c r="W102" s="509"/>
      <c r="X102" s="509"/>
    </row>
    <row r="105" spans="13:24" x14ac:dyDescent="0.2">
      <c r="S105" s="102"/>
    </row>
    <row r="106" spans="13:24" x14ac:dyDescent="0.2">
      <c r="S106" s="102"/>
    </row>
    <row r="107" spans="13:24" x14ac:dyDescent="0.2">
      <c r="S107" s="102"/>
    </row>
    <row r="108" spans="13:24" x14ac:dyDescent="0.2">
      <c r="S108" s="102"/>
    </row>
    <row r="109" spans="13:24" x14ac:dyDescent="0.2">
      <c r="S109" s="102"/>
    </row>
    <row r="110" spans="13:24" x14ac:dyDescent="0.2">
      <c r="S110" s="102"/>
    </row>
    <row r="111" spans="13:24" x14ac:dyDescent="0.2">
      <c r="S111" s="102"/>
    </row>
    <row r="112" spans="13:24" x14ac:dyDescent="0.2">
      <c r="S112" s="102"/>
      <c r="U112" s="427"/>
      <c r="V112" s="102"/>
    </row>
    <row r="113" spans="19:21" x14ac:dyDescent="0.2">
      <c r="S113" s="102"/>
      <c r="U113" s="102"/>
    </row>
    <row r="114" spans="19:21" x14ac:dyDescent="0.2">
      <c r="S114" s="102"/>
    </row>
  </sheetData>
  <mergeCells count="26">
    <mergeCell ref="A9:O9"/>
    <mergeCell ref="A10:O10"/>
    <mergeCell ref="A12:O12"/>
    <mergeCell ref="A13:O13"/>
    <mergeCell ref="A15:O15"/>
    <mergeCell ref="D18:F18"/>
    <mergeCell ref="G18:I18"/>
    <mergeCell ref="J18:L18"/>
    <mergeCell ref="M18:O18"/>
    <mergeCell ref="P18:R18"/>
    <mergeCell ref="S18:U18"/>
    <mergeCell ref="V18:X18"/>
    <mergeCell ref="Y18:AA18"/>
    <mergeCell ref="AB18:AD18"/>
    <mergeCell ref="W53:X53"/>
    <mergeCell ref="Z53:AA53"/>
    <mergeCell ref="AC53:AD53"/>
    <mergeCell ref="A48:U48"/>
    <mergeCell ref="A50:V50"/>
    <mergeCell ref="A51:B51"/>
    <mergeCell ref="E53:F53"/>
    <mergeCell ref="H53:I53"/>
    <mergeCell ref="K53:L53"/>
    <mergeCell ref="N53:O53"/>
    <mergeCell ref="Q53:R53"/>
    <mergeCell ref="T53:U53"/>
  </mergeCells>
  <dataValidations disablePrompts="1" count="1">
    <dataValidation allowBlank="1" showInputMessage="1" showErrorMessage="1" promptTitle="Date Format" prompt="E.g:  &quot;August 1, 2011&quot;" sqref="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dataValidations>
  <pageMargins left="0.70866141732283472" right="0.70866141732283472" top="0.74803149606299213" bottom="0.74803149606299213" header="0.31496062992125984" footer="0.31496062992125984"/>
  <pageSetup scale="27" orientation="landscape"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9">
    <tabColor rgb="FF00B0F0"/>
    <pageSetUpPr fitToPage="1"/>
  </sheetPr>
  <dimension ref="A1:P40"/>
  <sheetViews>
    <sheetView showGridLines="0" zoomScaleNormal="100" workbookViewId="0">
      <selection activeCell="A9" sqref="A9:P40"/>
    </sheetView>
  </sheetViews>
  <sheetFormatPr defaultColWidth="8.85546875" defaultRowHeight="15" x14ac:dyDescent="0.25"/>
  <cols>
    <col min="1" max="1" width="9.7109375" style="415" customWidth="1"/>
    <col min="2" max="3" width="10.28515625" style="415" customWidth="1"/>
    <col min="4" max="5" width="8.85546875" style="415"/>
    <col min="6" max="6" width="9.5703125" style="415" bestFit="1" customWidth="1"/>
    <col min="7" max="10" width="8.85546875" style="415"/>
    <col min="11" max="11" width="8.85546875" style="415" customWidth="1"/>
    <col min="12" max="16384" width="8.85546875" style="415"/>
  </cols>
  <sheetData>
    <row r="1" spans="1:16" s="375" customFormat="1" x14ac:dyDescent="0.25">
      <c r="A1" s="52"/>
      <c r="B1" s="52"/>
      <c r="C1" s="52"/>
      <c r="D1" s="52"/>
      <c r="E1" s="52"/>
      <c r="F1" s="52"/>
      <c r="G1" s="52"/>
      <c r="H1" s="52"/>
      <c r="I1" s="52"/>
      <c r="J1" s="52"/>
      <c r="K1" s="52"/>
      <c r="M1" s="60" t="s">
        <v>301</v>
      </c>
      <c r="O1" s="1675" t="str">
        <f>EBNUMBER</f>
        <v>EB-2016-0066</v>
      </c>
      <c r="P1" s="1675"/>
    </row>
    <row r="2" spans="1:16" s="375" customFormat="1" x14ac:dyDescent="0.25">
      <c r="A2" s="52"/>
      <c r="B2" s="52"/>
      <c r="C2" s="52"/>
      <c r="D2" s="52"/>
      <c r="E2" s="52"/>
      <c r="F2" s="52"/>
      <c r="G2" s="52"/>
      <c r="H2" s="52"/>
      <c r="I2" s="52"/>
      <c r="J2" s="52"/>
      <c r="K2" s="52"/>
      <c r="M2" s="60" t="s">
        <v>302</v>
      </c>
      <c r="O2" s="1766"/>
      <c r="P2" s="1766"/>
    </row>
    <row r="3" spans="1:16" s="375" customFormat="1" x14ac:dyDescent="0.25">
      <c r="A3" s="52"/>
      <c r="B3" s="52"/>
      <c r="C3" s="52"/>
      <c r="D3" s="52"/>
      <c r="E3" s="52"/>
      <c r="F3" s="52"/>
      <c r="G3" s="52"/>
      <c r="H3" s="52"/>
      <c r="I3" s="52"/>
      <c r="J3" s="52"/>
      <c r="K3" s="52"/>
      <c r="M3" s="60" t="s">
        <v>303</v>
      </c>
      <c r="O3" s="1766"/>
      <c r="P3" s="1766"/>
    </row>
    <row r="4" spans="1:16" s="375" customFormat="1" x14ac:dyDescent="0.25">
      <c r="A4" s="52"/>
      <c r="B4" s="52"/>
      <c r="C4" s="52"/>
      <c r="D4" s="52"/>
      <c r="E4" s="52"/>
      <c r="F4" s="52"/>
      <c r="G4" s="52"/>
      <c r="H4" s="52"/>
      <c r="I4" s="52"/>
      <c r="J4" s="52"/>
      <c r="K4" s="52"/>
      <c r="M4" s="60" t="s">
        <v>304</v>
      </c>
      <c r="O4" s="1766"/>
      <c r="P4" s="1766"/>
    </row>
    <row r="5" spans="1:16" s="375" customFormat="1" x14ac:dyDescent="0.25">
      <c r="A5" s="52"/>
      <c r="B5" s="52"/>
      <c r="C5" s="52"/>
      <c r="D5" s="52"/>
      <c r="E5" s="52"/>
      <c r="F5" s="52"/>
      <c r="G5" s="52"/>
      <c r="H5" s="52"/>
      <c r="I5" s="52"/>
      <c r="J5" s="52"/>
      <c r="K5" s="52"/>
      <c r="M5" s="60" t="s">
        <v>305</v>
      </c>
      <c r="O5" s="1767"/>
      <c r="P5" s="1767"/>
    </row>
    <row r="6" spans="1:16" s="375" customFormat="1" x14ac:dyDescent="0.25">
      <c r="A6" s="52"/>
      <c r="B6" s="52"/>
      <c r="C6" s="52"/>
      <c r="D6" s="52"/>
      <c r="E6" s="52"/>
      <c r="F6" s="52"/>
      <c r="G6" s="52"/>
      <c r="H6" s="52"/>
      <c r="I6" s="52"/>
      <c r="J6" s="52"/>
      <c r="K6" s="52"/>
      <c r="M6" s="60"/>
      <c r="O6" s="61"/>
    </row>
    <row r="7" spans="1:16" s="375" customFormat="1" x14ac:dyDescent="0.25">
      <c r="A7" s="52"/>
      <c r="B7" s="52"/>
      <c r="C7" s="52"/>
      <c r="D7" s="52"/>
      <c r="E7" s="52"/>
      <c r="F7" s="52"/>
      <c r="G7" s="52"/>
      <c r="H7" s="52"/>
      <c r="I7" s="52"/>
      <c r="J7" s="52"/>
      <c r="K7" s="52"/>
      <c r="M7" s="60" t="s">
        <v>306</v>
      </c>
      <c r="O7" s="1767"/>
      <c r="P7" s="1767"/>
    </row>
    <row r="8" spans="1:16" s="375" customFormat="1" x14ac:dyDescent="0.25">
      <c r="A8" s="56"/>
      <c r="B8" s="56"/>
      <c r="C8" s="56"/>
      <c r="D8" s="56"/>
      <c r="E8" s="56"/>
      <c r="F8" s="56"/>
      <c r="G8" s="56"/>
      <c r="H8" s="56"/>
      <c r="I8" s="56"/>
      <c r="J8" s="413"/>
      <c r="K8" s="413"/>
      <c r="L8" s="413"/>
      <c r="M8" s="413"/>
      <c r="N8" s="413"/>
      <c r="O8" s="413"/>
    </row>
    <row r="9" spans="1:16" s="375" customFormat="1" ht="18" x14ac:dyDescent="0.25">
      <c r="A9" s="1591" t="s">
        <v>118</v>
      </c>
      <c r="B9" s="1591"/>
      <c r="C9" s="1591"/>
      <c r="D9" s="1591"/>
      <c r="E9" s="1591"/>
      <c r="F9" s="1591"/>
      <c r="G9" s="1591"/>
      <c r="H9" s="1591"/>
      <c r="I9" s="1591"/>
      <c r="J9" s="1591"/>
      <c r="K9" s="1591"/>
      <c r="L9" s="1591"/>
      <c r="M9" s="1591"/>
      <c r="N9" s="1591"/>
      <c r="O9" s="1591"/>
      <c r="P9" s="1591"/>
    </row>
    <row r="10" spans="1:16" s="375" customFormat="1" ht="18" x14ac:dyDescent="0.25">
      <c r="A10" s="1591" t="s">
        <v>1036</v>
      </c>
      <c r="B10" s="1591"/>
      <c r="C10" s="1591"/>
      <c r="D10" s="1591"/>
      <c r="E10" s="1591"/>
      <c r="F10" s="1591"/>
      <c r="G10" s="1591"/>
      <c r="H10" s="1591"/>
      <c r="I10" s="1591"/>
      <c r="J10" s="1591"/>
      <c r="K10" s="1591"/>
      <c r="L10" s="1591"/>
      <c r="M10" s="1591"/>
      <c r="N10" s="1591"/>
      <c r="O10" s="1591"/>
      <c r="P10" s="1591"/>
    </row>
    <row r="11" spans="1:16" s="375" customFormat="1" ht="18" x14ac:dyDescent="0.25">
      <c r="A11" s="1591" t="s">
        <v>1277</v>
      </c>
      <c r="B11" s="1591"/>
      <c r="C11" s="1591"/>
      <c r="D11" s="1591"/>
      <c r="E11" s="1591"/>
      <c r="F11" s="1591"/>
      <c r="G11" s="1591"/>
      <c r="H11" s="1591"/>
      <c r="I11" s="1591"/>
      <c r="J11" s="1591"/>
      <c r="K11" s="1591"/>
      <c r="L11" s="1591"/>
      <c r="M11" s="1591"/>
      <c r="N11" s="1591"/>
      <c r="O11" s="1591"/>
      <c r="P11" s="1591"/>
    </row>
    <row r="12" spans="1:16" s="375" customFormat="1" ht="18" x14ac:dyDescent="0.25">
      <c r="A12" s="1097"/>
      <c r="B12" s="1097"/>
      <c r="C12" s="1097"/>
      <c r="D12" s="1097"/>
      <c r="E12" s="1097"/>
      <c r="F12" s="1097"/>
      <c r="G12" s="1097"/>
      <c r="H12" s="1097"/>
      <c r="I12" s="1097"/>
      <c r="J12" s="1097"/>
      <c r="K12" s="1097"/>
      <c r="L12" s="413"/>
      <c r="M12" s="413"/>
      <c r="N12" s="413"/>
      <c r="O12" s="413"/>
    </row>
    <row r="13" spans="1:16" s="375" customFormat="1" ht="18" customHeight="1" x14ac:dyDescent="0.25">
      <c r="A13" s="1774" t="s">
        <v>1037</v>
      </c>
      <c r="B13" s="1774"/>
      <c r="C13" s="1774"/>
      <c r="D13" s="1774"/>
      <c r="E13" s="1774"/>
      <c r="F13" s="1774"/>
      <c r="G13" s="1774"/>
      <c r="H13" s="1774"/>
      <c r="I13" s="1774"/>
      <c r="J13" s="1774"/>
      <c r="K13" s="1774"/>
      <c r="L13" s="1774"/>
      <c r="M13" s="1774"/>
      <c r="N13" s="1774"/>
      <c r="O13" s="1774"/>
      <c r="P13" s="1774"/>
    </row>
    <row r="14" spans="1:16" ht="15.75" thickBot="1" x14ac:dyDescent="0.3">
      <c r="A14" s="449"/>
      <c r="B14" s="449"/>
      <c r="C14" s="449"/>
      <c r="D14" s="449"/>
      <c r="E14" s="449"/>
      <c r="F14" s="449"/>
      <c r="G14" s="449"/>
      <c r="H14" s="449"/>
      <c r="I14" s="449"/>
      <c r="J14" s="449"/>
      <c r="K14" s="449"/>
      <c r="L14" s="449"/>
      <c r="M14" s="449"/>
      <c r="N14" s="449"/>
      <c r="O14" s="449"/>
    </row>
    <row r="15" spans="1:16" ht="15.75" thickBot="1" x14ac:dyDescent="0.3">
      <c r="A15" s="1760" t="s">
        <v>443</v>
      </c>
      <c r="B15" s="1762" t="s">
        <v>1004</v>
      </c>
      <c r="C15" s="1763"/>
      <c r="D15" s="1763"/>
      <c r="E15" s="1763"/>
      <c r="F15" s="1763"/>
      <c r="G15" s="1764" t="s">
        <v>1005</v>
      </c>
      <c r="H15" s="1763"/>
      <c r="I15" s="1763"/>
      <c r="J15" s="1763"/>
      <c r="K15" s="1765"/>
      <c r="L15" s="1764" t="s">
        <v>1276</v>
      </c>
      <c r="M15" s="1763"/>
      <c r="N15" s="1763"/>
      <c r="O15" s="1763"/>
      <c r="P15" s="1765"/>
    </row>
    <row r="16" spans="1:16" x14ac:dyDescent="0.25">
      <c r="A16" s="1761"/>
      <c r="B16" s="537">
        <f>TestYear-6</f>
        <v>2011</v>
      </c>
      <c r="C16" s="1077">
        <f>TestYear-5</f>
        <v>2012</v>
      </c>
      <c r="D16" s="538">
        <f>TestYear-4</f>
        <v>2013</v>
      </c>
      <c r="E16" s="538">
        <f>TestYear-3</f>
        <v>2014</v>
      </c>
      <c r="F16" s="539">
        <f>TestYear-2</f>
        <v>2015</v>
      </c>
      <c r="G16" s="537">
        <f t="shared" ref="G16:P16" si="0">B16</f>
        <v>2011</v>
      </c>
      <c r="H16" s="1077">
        <f t="shared" si="0"/>
        <v>2012</v>
      </c>
      <c r="I16" s="538">
        <f t="shared" si="0"/>
        <v>2013</v>
      </c>
      <c r="J16" s="538">
        <f t="shared" si="0"/>
        <v>2014</v>
      </c>
      <c r="K16" s="539">
        <f t="shared" si="0"/>
        <v>2015</v>
      </c>
      <c r="L16" s="537">
        <f t="shared" si="0"/>
        <v>2011</v>
      </c>
      <c r="M16" s="1431">
        <f t="shared" si="0"/>
        <v>2012</v>
      </c>
      <c r="N16" s="538">
        <f t="shared" si="0"/>
        <v>2013</v>
      </c>
      <c r="O16" s="538">
        <f t="shared" si="0"/>
        <v>2014</v>
      </c>
      <c r="P16" s="539">
        <f t="shared" si="0"/>
        <v>2015</v>
      </c>
    </row>
    <row r="17" spans="1:16" x14ac:dyDescent="0.25">
      <c r="A17" s="540" t="s">
        <v>507</v>
      </c>
      <c r="B17" s="541">
        <v>3.58</v>
      </c>
      <c r="C17" s="541">
        <v>0.19</v>
      </c>
      <c r="D17" s="542">
        <v>1.24</v>
      </c>
      <c r="E17" s="542">
        <v>3.97</v>
      </c>
      <c r="F17" s="543">
        <v>5.36</v>
      </c>
      <c r="G17" s="544">
        <v>0.8</v>
      </c>
      <c r="H17" s="541">
        <v>1.22</v>
      </c>
      <c r="I17" s="542">
        <v>1.05</v>
      </c>
      <c r="J17" s="542">
        <v>1.1200000000000001</v>
      </c>
      <c r="K17" s="542">
        <v>0.61</v>
      </c>
      <c r="L17" s="544">
        <v>0.8</v>
      </c>
      <c r="M17" s="541">
        <v>1.22</v>
      </c>
      <c r="N17" s="542">
        <v>1.05</v>
      </c>
      <c r="O17" s="542">
        <v>1.1200000000000001</v>
      </c>
      <c r="P17" s="542">
        <v>0.61</v>
      </c>
    </row>
    <row r="18" spans="1:16" ht="15.75" thickBot="1" x14ac:dyDescent="0.3">
      <c r="A18" s="545" t="s">
        <v>508</v>
      </c>
      <c r="B18" s="546">
        <v>1.71</v>
      </c>
      <c r="C18" s="546">
        <v>0.06</v>
      </c>
      <c r="D18" s="547">
        <v>0.47</v>
      </c>
      <c r="E18" s="547">
        <v>1.8</v>
      </c>
      <c r="F18" s="548">
        <v>0.56999999999999995</v>
      </c>
      <c r="G18" s="549">
        <v>0.41</v>
      </c>
      <c r="H18" s="546">
        <v>0.34</v>
      </c>
      <c r="I18" s="547">
        <v>0.44</v>
      </c>
      <c r="J18" s="547">
        <v>0.5</v>
      </c>
      <c r="K18" s="547">
        <v>0.21</v>
      </c>
      <c r="L18" s="549">
        <v>0.41</v>
      </c>
      <c r="M18" s="546">
        <v>0.34</v>
      </c>
      <c r="N18" s="547">
        <v>0.44</v>
      </c>
      <c r="O18" s="547">
        <v>0.5</v>
      </c>
      <c r="P18" s="547">
        <v>0.21</v>
      </c>
    </row>
    <row r="19" spans="1:16" x14ac:dyDescent="0.25">
      <c r="A19" s="43"/>
      <c r="B19" s="43"/>
      <c r="C19" s="43"/>
      <c r="D19" s="43"/>
      <c r="E19" s="43"/>
      <c r="F19" s="43"/>
      <c r="G19" s="43"/>
      <c r="H19" s="43"/>
      <c r="I19" s="43"/>
      <c r="J19" s="43"/>
      <c r="K19" s="43"/>
      <c r="L19" s="449"/>
      <c r="M19" s="449"/>
      <c r="N19" s="449"/>
      <c r="O19" s="449"/>
    </row>
    <row r="20" spans="1:16" ht="15.75" thickBot="1" x14ac:dyDescent="0.3">
      <c r="A20" s="1773" t="s">
        <v>634</v>
      </c>
      <c r="B20" s="1773"/>
      <c r="C20" s="1773"/>
      <c r="D20" s="1773"/>
      <c r="E20" s="1773"/>
      <c r="F20" s="1773"/>
      <c r="G20" s="1773"/>
      <c r="H20" s="1773"/>
      <c r="I20" s="1773"/>
      <c r="J20" s="1773"/>
      <c r="K20" s="1773"/>
      <c r="L20" s="1773"/>
      <c r="M20" s="1773"/>
      <c r="N20" s="1773"/>
      <c r="O20" s="1773"/>
      <c r="P20" s="1773"/>
    </row>
    <row r="21" spans="1:16" ht="15.75" thickBot="1" x14ac:dyDescent="0.3">
      <c r="A21" s="550" t="s">
        <v>507</v>
      </c>
      <c r="B21" s="1772"/>
      <c r="C21" s="1772"/>
      <c r="D21" s="1772"/>
      <c r="E21" s="1772"/>
      <c r="F21" s="551">
        <f>IF(ISERROR(AVERAGE(B17:F17)), "", AVERAGE(B17:F17))</f>
        <v>2.8679999999999999</v>
      </c>
      <c r="G21" s="1771"/>
      <c r="H21" s="1772"/>
      <c r="I21" s="1772"/>
      <c r="J21" s="1772"/>
      <c r="K21" s="551">
        <f>IF(ISERROR(AVERAGE(G17:K17)), "", AVERAGE(G17:K17))</f>
        <v>0.96000000000000019</v>
      </c>
      <c r="L21" s="1771"/>
      <c r="M21" s="1772"/>
      <c r="N21" s="1772"/>
      <c r="O21" s="1772"/>
      <c r="P21" s="551">
        <f>IF(ISERROR(AVERAGE(L17:P17)), "", AVERAGE(L17:P17))</f>
        <v>0.96000000000000019</v>
      </c>
    </row>
    <row r="22" spans="1:16" ht="15.75" thickBot="1" x14ac:dyDescent="0.3">
      <c r="A22" s="552" t="s">
        <v>508</v>
      </c>
      <c r="B22" s="1759"/>
      <c r="C22" s="1759"/>
      <c r="D22" s="1759"/>
      <c r="E22" s="1759"/>
      <c r="F22" s="551">
        <f>IF(ISERROR(AVERAGE(B18:F18)), "", AVERAGE(B18:F18))</f>
        <v>0.92200000000000004</v>
      </c>
      <c r="G22" s="1758"/>
      <c r="H22" s="1759"/>
      <c r="I22" s="1759"/>
      <c r="J22" s="1759"/>
      <c r="K22" s="551">
        <f>IF(ISERROR(AVERAGE(G18:K18)), "", AVERAGE(G18:K18))</f>
        <v>0.38</v>
      </c>
      <c r="L22" s="1758"/>
      <c r="M22" s="1759"/>
      <c r="N22" s="1759"/>
      <c r="O22" s="1759"/>
      <c r="P22" s="551">
        <f>IF(ISERROR(AVERAGE(L18:P18)), "", AVERAGE(L18:P18))</f>
        <v>0.38</v>
      </c>
    </row>
    <row r="23" spans="1:16" x14ac:dyDescent="0.25">
      <c r="A23" s="43"/>
      <c r="B23" s="43"/>
      <c r="C23" s="43"/>
      <c r="D23" s="43"/>
      <c r="E23" s="43"/>
      <c r="F23" s="43"/>
      <c r="G23" s="43"/>
      <c r="H23" s="43"/>
      <c r="I23" s="43"/>
      <c r="J23" s="43"/>
      <c r="K23" s="43"/>
    </row>
    <row r="24" spans="1:16" x14ac:dyDescent="0.25">
      <c r="A24" s="1775" t="s">
        <v>509</v>
      </c>
      <c r="B24" s="1775"/>
      <c r="C24" s="1775"/>
      <c r="D24" s="1775"/>
      <c r="E24" s="1775"/>
      <c r="F24" s="1775"/>
      <c r="G24" s="1775"/>
      <c r="H24" s="1775"/>
      <c r="I24" s="1775"/>
      <c r="J24" s="1775"/>
      <c r="K24" s="1775"/>
    </row>
    <row r="25" spans="1:16" x14ac:dyDescent="0.25">
      <c r="A25" s="1775" t="s">
        <v>510</v>
      </c>
      <c r="B25" s="1775"/>
      <c r="C25" s="1775"/>
      <c r="D25" s="1775"/>
      <c r="E25" s="1775"/>
      <c r="F25" s="1775"/>
      <c r="G25" s="1775"/>
      <c r="H25" s="1775"/>
      <c r="I25" s="1775"/>
      <c r="J25" s="1775"/>
      <c r="K25" s="1775"/>
    </row>
    <row r="26" spans="1:16" x14ac:dyDescent="0.25">
      <c r="A26" s="1098"/>
      <c r="B26" s="1098"/>
      <c r="C26" s="1098"/>
      <c r="D26" s="1098"/>
      <c r="E26" s="1098"/>
      <c r="F26" s="1098"/>
      <c r="G26" s="1098"/>
      <c r="H26" s="1098"/>
      <c r="I26" s="1098"/>
      <c r="J26" s="1098"/>
      <c r="K26" s="1098"/>
    </row>
    <row r="27" spans="1:16" ht="15.75" x14ac:dyDescent="0.25">
      <c r="A27" s="1774" t="s">
        <v>1038</v>
      </c>
      <c r="B27" s="1774"/>
      <c r="C27" s="1774"/>
      <c r="D27" s="1774"/>
      <c r="E27" s="1774"/>
      <c r="F27" s="1774"/>
      <c r="G27" s="1774"/>
      <c r="H27" s="1774"/>
      <c r="I27" s="1774"/>
      <c r="J27" s="1774"/>
      <c r="K27" s="1774"/>
    </row>
    <row r="28" spans="1:16" ht="15.75" thickBot="1" x14ac:dyDescent="0.3"/>
    <row r="29" spans="1:16" ht="51" customHeight="1" thickBot="1" x14ac:dyDescent="0.3">
      <c r="A29" s="1768" t="s">
        <v>914</v>
      </c>
      <c r="B29" s="1769"/>
      <c r="C29" s="1769"/>
      <c r="D29" s="1770"/>
      <c r="E29" s="1778" t="s">
        <v>913</v>
      </c>
      <c r="F29" s="1779"/>
      <c r="G29" s="553">
        <f>B16</f>
        <v>2011</v>
      </c>
      <c r="H29" s="553">
        <f>C16</f>
        <v>2012</v>
      </c>
      <c r="I29" s="553">
        <f>D16</f>
        <v>2013</v>
      </c>
      <c r="J29" s="554">
        <f>E16</f>
        <v>2014</v>
      </c>
      <c r="K29" s="555">
        <f>F16</f>
        <v>2015</v>
      </c>
    </row>
    <row r="30" spans="1:16" ht="20.25" customHeight="1" x14ac:dyDescent="0.25">
      <c r="A30" s="1784" t="s">
        <v>915</v>
      </c>
      <c r="B30" s="1785"/>
      <c r="C30" s="1785"/>
      <c r="D30" s="1786"/>
      <c r="E30" s="1780">
        <v>0.9</v>
      </c>
      <c r="F30" s="1781"/>
      <c r="G30" s="556">
        <v>1</v>
      </c>
      <c r="H30" s="556">
        <v>0.96799999999999997</v>
      </c>
      <c r="I30" s="556">
        <v>0.94399999999999995</v>
      </c>
      <c r="J30" s="556">
        <v>0.92900000000000005</v>
      </c>
      <c r="K30" s="557">
        <v>0.94899999999999995</v>
      </c>
    </row>
    <row r="31" spans="1:16" ht="20.25" customHeight="1" x14ac:dyDescent="0.25">
      <c r="A31" s="1787" t="s">
        <v>916</v>
      </c>
      <c r="B31" s="1788"/>
      <c r="C31" s="1788"/>
      <c r="D31" s="1789"/>
      <c r="E31" s="1776">
        <v>0.9</v>
      </c>
      <c r="F31" s="1777"/>
      <c r="G31" s="1454" t="s">
        <v>266</v>
      </c>
      <c r="H31" s="1454" t="s">
        <v>266</v>
      </c>
      <c r="I31" s="1454" t="s">
        <v>266</v>
      </c>
      <c r="J31" s="1454" t="s">
        <v>266</v>
      </c>
      <c r="K31" s="1454">
        <v>1</v>
      </c>
    </row>
    <row r="32" spans="1:16" ht="20.25" customHeight="1" x14ac:dyDescent="0.25">
      <c r="A32" s="1787" t="s">
        <v>917</v>
      </c>
      <c r="B32" s="1788"/>
      <c r="C32" s="1788"/>
      <c r="D32" s="1789"/>
      <c r="E32" s="1776">
        <v>0.65</v>
      </c>
      <c r="F32" s="1777"/>
      <c r="G32" s="558">
        <v>0.96399999999999997</v>
      </c>
      <c r="H32" s="558">
        <v>0.97</v>
      </c>
      <c r="I32" s="558">
        <v>0.97399999999999998</v>
      </c>
      <c r="J32" s="558">
        <v>0.97</v>
      </c>
      <c r="K32" s="559">
        <v>0.97499999999999998</v>
      </c>
    </row>
    <row r="33" spans="1:11" ht="20.25" customHeight="1" x14ac:dyDescent="0.25">
      <c r="A33" s="1787" t="s">
        <v>918</v>
      </c>
      <c r="B33" s="1788"/>
      <c r="C33" s="1788"/>
      <c r="D33" s="1789"/>
      <c r="E33" s="1776">
        <v>0.9</v>
      </c>
      <c r="F33" s="1777"/>
      <c r="G33" s="558">
        <v>0.96599999999999997</v>
      </c>
      <c r="H33" s="558">
        <v>1</v>
      </c>
      <c r="I33" s="558">
        <v>0.96199999999999997</v>
      </c>
      <c r="J33" s="558">
        <v>1</v>
      </c>
      <c r="K33" s="559">
        <v>1</v>
      </c>
    </row>
    <row r="34" spans="1:11" ht="20.25" customHeight="1" x14ac:dyDescent="0.25">
      <c r="A34" s="1787" t="s">
        <v>919</v>
      </c>
      <c r="B34" s="1788"/>
      <c r="C34" s="1788"/>
      <c r="D34" s="1789"/>
      <c r="E34" s="1776">
        <v>0.8</v>
      </c>
      <c r="F34" s="1777"/>
      <c r="G34" s="558">
        <v>0.89600000000000002</v>
      </c>
      <c r="H34" s="558">
        <v>0.94399999999999995</v>
      </c>
      <c r="I34" s="558">
        <v>0.90200000000000002</v>
      </c>
      <c r="J34" s="558">
        <v>0.98699999999999999</v>
      </c>
      <c r="K34" s="559">
        <v>0.93300000000000005</v>
      </c>
    </row>
    <row r="35" spans="1:11" ht="20.25" customHeight="1" x14ac:dyDescent="0.25">
      <c r="A35" s="1787" t="s">
        <v>920</v>
      </c>
      <c r="B35" s="1788"/>
      <c r="C35" s="1788"/>
      <c r="D35" s="1789"/>
      <c r="E35" s="1776">
        <v>0.8</v>
      </c>
      <c r="F35" s="1777"/>
      <c r="G35" s="558">
        <v>1</v>
      </c>
      <c r="H35" s="558">
        <v>1</v>
      </c>
      <c r="I35" s="558">
        <v>1</v>
      </c>
      <c r="J35" s="558">
        <v>0.92900000000000005</v>
      </c>
      <c r="K35" s="559">
        <v>0.96899999999999997</v>
      </c>
    </row>
    <row r="36" spans="1:11" ht="20.25" customHeight="1" x14ac:dyDescent="0.25">
      <c r="A36" s="1787" t="s">
        <v>921</v>
      </c>
      <c r="B36" s="1788"/>
      <c r="C36" s="1788"/>
      <c r="D36" s="1789"/>
      <c r="E36" s="1776">
        <v>0.8</v>
      </c>
      <c r="F36" s="1777"/>
      <c r="G36" s="1454" t="s">
        <v>266</v>
      </c>
      <c r="H36" s="1454" t="s">
        <v>266</v>
      </c>
      <c r="I36" s="1454" t="s">
        <v>266</v>
      </c>
      <c r="J36" s="1454" t="s">
        <v>266</v>
      </c>
      <c r="K36" s="1454" t="s">
        <v>266</v>
      </c>
    </row>
    <row r="37" spans="1:11" ht="20.25" customHeight="1" x14ac:dyDescent="0.25">
      <c r="A37" s="1787" t="s">
        <v>922</v>
      </c>
      <c r="B37" s="1788"/>
      <c r="C37" s="1788"/>
      <c r="D37" s="1789"/>
      <c r="E37" s="1776">
        <v>0.1</v>
      </c>
      <c r="F37" s="1777"/>
      <c r="G37" s="558">
        <v>0.02</v>
      </c>
      <c r="H37" s="558">
        <v>0.01</v>
      </c>
      <c r="I37" s="558">
        <v>0.01</v>
      </c>
      <c r="J37" s="558">
        <v>0.01</v>
      </c>
      <c r="K37" s="559">
        <v>0.01</v>
      </c>
    </row>
    <row r="38" spans="1:11" ht="20.25" customHeight="1" x14ac:dyDescent="0.25">
      <c r="A38" s="1787" t="s">
        <v>923</v>
      </c>
      <c r="B38" s="1788"/>
      <c r="C38" s="1788"/>
      <c r="D38" s="1789"/>
      <c r="E38" s="1776">
        <v>0.9</v>
      </c>
      <c r="F38" s="1777"/>
      <c r="G38" s="558">
        <v>1</v>
      </c>
      <c r="H38" s="558">
        <v>0.98899999999999999</v>
      </c>
      <c r="I38" s="558">
        <v>0.97299999999999998</v>
      </c>
      <c r="J38" s="558">
        <v>1</v>
      </c>
      <c r="K38" s="559">
        <v>1</v>
      </c>
    </row>
    <row r="39" spans="1:11" ht="20.25" customHeight="1" x14ac:dyDescent="0.25">
      <c r="A39" s="1787" t="s">
        <v>924</v>
      </c>
      <c r="B39" s="1788"/>
      <c r="C39" s="1788"/>
      <c r="D39" s="1789"/>
      <c r="E39" s="1776">
        <v>1</v>
      </c>
      <c r="F39" s="1777"/>
      <c r="G39" s="558">
        <v>1</v>
      </c>
      <c r="H39" s="1454" t="s">
        <v>266</v>
      </c>
      <c r="I39" s="1454" t="s">
        <v>266</v>
      </c>
      <c r="J39" s="558">
        <v>1</v>
      </c>
      <c r="K39" s="559">
        <v>1</v>
      </c>
    </row>
    <row r="40" spans="1:11" ht="20.25" customHeight="1" thickBot="1" x14ac:dyDescent="0.3">
      <c r="A40" s="1790" t="s">
        <v>925</v>
      </c>
      <c r="B40" s="1791"/>
      <c r="C40" s="1791"/>
      <c r="D40" s="1792"/>
      <c r="E40" s="1782">
        <v>0.85</v>
      </c>
      <c r="F40" s="1783"/>
      <c r="G40" s="1454" t="s">
        <v>266</v>
      </c>
      <c r="H40" s="1454" t="s">
        <v>266</v>
      </c>
      <c r="I40" s="560">
        <v>1</v>
      </c>
      <c r="J40" s="560">
        <v>1</v>
      </c>
      <c r="K40" s="561">
        <v>1</v>
      </c>
    </row>
  </sheetData>
  <mergeCells count="48">
    <mergeCell ref="E38:F38"/>
    <mergeCell ref="E39:F39"/>
    <mergeCell ref="E40:F40"/>
    <mergeCell ref="A30:D30"/>
    <mergeCell ref="A31:D31"/>
    <mergeCell ref="A32:D32"/>
    <mergeCell ref="A33:D33"/>
    <mergeCell ref="A34:D34"/>
    <mergeCell ref="A35:D35"/>
    <mergeCell ref="A36:D36"/>
    <mergeCell ref="A37:D37"/>
    <mergeCell ref="A38:D38"/>
    <mergeCell ref="A39:D39"/>
    <mergeCell ref="A40:D40"/>
    <mergeCell ref="E33:F33"/>
    <mergeCell ref="E34:F34"/>
    <mergeCell ref="E35:F35"/>
    <mergeCell ref="E36:F36"/>
    <mergeCell ref="E37:F37"/>
    <mergeCell ref="E29:F29"/>
    <mergeCell ref="E30:F30"/>
    <mergeCell ref="E31:F31"/>
    <mergeCell ref="E32:F32"/>
    <mergeCell ref="A29:D29"/>
    <mergeCell ref="O7:P7"/>
    <mergeCell ref="L15:P15"/>
    <mergeCell ref="L21:O21"/>
    <mergeCell ref="L22:O22"/>
    <mergeCell ref="A20:P20"/>
    <mergeCell ref="A9:P9"/>
    <mergeCell ref="A10:P10"/>
    <mergeCell ref="A11:P11"/>
    <mergeCell ref="A13:P13"/>
    <mergeCell ref="B21:E21"/>
    <mergeCell ref="G21:J21"/>
    <mergeCell ref="A24:K24"/>
    <mergeCell ref="A25:K25"/>
    <mergeCell ref="A27:K27"/>
    <mergeCell ref="B22:E22"/>
    <mergeCell ref="G22:J22"/>
    <mergeCell ref="A15:A16"/>
    <mergeCell ref="B15:F15"/>
    <mergeCell ref="G15:K15"/>
    <mergeCell ref="O1:P1"/>
    <mergeCell ref="O2:P2"/>
    <mergeCell ref="O3:P3"/>
    <mergeCell ref="O4:P4"/>
    <mergeCell ref="O5:P5"/>
  </mergeCells>
  <dataValidations count="1">
    <dataValidation allowBlank="1" showInputMessage="1" showErrorMessage="1" promptTitle="Date Format" prompt="E.g:  &quot;August 1, 2011&quot;" sqref="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dataValidations>
  <pageMargins left="0.7" right="0.7" top="0.75" bottom="0.75" header="0.3" footer="0.3"/>
  <pageSetup scale="63"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39997558519241921"/>
    <pageSetUpPr fitToPage="1"/>
  </sheetPr>
  <dimension ref="A1:H72"/>
  <sheetViews>
    <sheetView showGridLines="0" zoomScaleNormal="100" workbookViewId="0">
      <selection activeCell="A11" sqref="A11:H36"/>
    </sheetView>
  </sheetViews>
  <sheetFormatPr defaultRowHeight="12.75" x14ac:dyDescent="0.2"/>
  <cols>
    <col min="1" max="1" width="14.140625" style="43" customWidth="1"/>
    <col min="2" max="2" width="42.85546875" style="43" bestFit="1" customWidth="1"/>
    <col min="3" max="8" width="13.7109375" style="43" customWidth="1"/>
    <col min="9" max="16384" width="9.140625" style="43"/>
  </cols>
  <sheetData>
    <row r="1" spans="1:8" x14ac:dyDescent="0.2">
      <c r="F1" s="60"/>
      <c r="G1" s="562" t="s">
        <v>301</v>
      </c>
      <c r="H1" s="1092" t="str">
        <f>EBNUMBER</f>
        <v>EB-2016-0066</v>
      </c>
    </row>
    <row r="2" spans="1:8" x14ac:dyDescent="0.2">
      <c r="F2" s="60"/>
      <c r="G2" s="562" t="s">
        <v>302</v>
      </c>
      <c r="H2" s="62"/>
    </row>
    <row r="3" spans="1:8" x14ac:dyDescent="0.2">
      <c r="F3" s="60"/>
      <c r="G3" s="562" t="s">
        <v>303</v>
      </c>
      <c r="H3" s="62"/>
    </row>
    <row r="4" spans="1:8" x14ac:dyDescent="0.2">
      <c r="F4" s="60"/>
      <c r="G4" s="562" t="s">
        <v>304</v>
      </c>
      <c r="H4" s="62"/>
    </row>
    <row r="5" spans="1:8" x14ac:dyDescent="0.2">
      <c r="F5" s="60"/>
      <c r="G5" s="562" t="s">
        <v>305</v>
      </c>
      <c r="H5" s="63"/>
    </row>
    <row r="6" spans="1:8" x14ac:dyDescent="0.2">
      <c r="F6" s="60"/>
      <c r="G6" s="562"/>
      <c r="H6" s="61"/>
    </row>
    <row r="7" spans="1:8" x14ac:dyDescent="0.2">
      <c r="F7" s="60"/>
      <c r="G7" s="562" t="s">
        <v>306</v>
      </c>
      <c r="H7" s="63"/>
    </row>
    <row r="8" spans="1:8" x14ac:dyDescent="0.2">
      <c r="G8" s="1078"/>
    </row>
    <row r="9" spans="1:8" ht="18" x14ac:dyDescent="0.25">
      <c r="A9" s="1546" t="s">
        <v>427</v>
      </c>
      <c r="B9" s="1546"/>
      <c r="C9" s="1546"/>
      <c r="D9" s="1546"/>
      <c r="E9" s="1546"/>
      <c r="F9" s="1546"/>
      <c r="G9" s="1546"/>
      <c r="H9" s="1546"/>
    </row>
    <row r="10" spans="1:8" ht="18" x14ac:dyDescent="0.25">
      <c r="A10" s="1546" t="s">
        <v>28</v>
      </c>
      <c r="B10" s="1546"/>
      <c r="C10" s="1546"/>
      <c r="D10" s="1546"/>
      <c r="E10" s="1546"/>
      <c r="F10" s="1546"/>
      <c r="G10" s="1546"/>
      <c r="H10" s="1546"/>
    </row>
    <row r="11" spans="1:8" ht="13.5" thickBot="1" x14ac:dyDescent="0.25">
      <c r="A11" s="1486" t="s">
        <v>1430</v>
      </c>
    </row>
    <row r="12" spans="1:8" x14ac:dyDescent="0.2">
      <c r="A12" s="563" t="s">
        <v>27</v>
      </c>
      <c r="B12" s="564" t="s">
        <v>87</v>
      </c>
      <c r="C12" s="1086" t="str">
        <f>F13-3 &amp; " Actual"</f>
        <v>2012 Actual</v>
      </c>
      <c r="D12" s="1094" t="str">
        <f>G13-3 &amp; " Actual"</f>
        <v>2013 Actual</v>
      </c>
      <c r="E12" s="1094" t="str">
        <f>H13-3 &amp; " Actual"</f>
        <v>2014 Actual</v>
      </c>
      <c r="F12" s="1094" t="s">
        <v>1355</v>
      </c>
      <c r="G12" s="1082" t="str">
        <f>"Bridge Year" &amp; CHAR(178)</f>
        <v>Bridge Year²</v>
      </c>
      <c r="H12" s="565" t="s">
        <v>314</v>
      </c>
    </row>
    <row r="13" spans="1:8" x14ac:dyDescent="0.2">
      <c r="A13" s="566"/>
      <c r="B13" s="567"/>
      <c r="C13" s="568">
        <v>2012</v>
      </c>
      <c r="D13" s="568">
        <v>2013</v>
      </c>
      <c r="E13" s="568">
        <v>2014</v>
      </c>
      <c r="F13" s="569">
        <v>2015</v>
      </c>
      <c r="G13" s="569">
        <f>BridgeYear</f>
        <v>2016</v>
      </c>
      <c r="H13" s="570">
        <f>TestYear</f>
        <v>2017</v>
      </c>
    </row>
    <row r="14" spans="1:8" x14ac:dyDescent="0.2">
      <c r="A14" s="566"/>
      <c r="B14" s="571" t="s">
        <v>103</v>
      </c>
      <c r="C14" s="68" t="s">
        <v>104</v>
      </c>
      <c r="D14" s="68" t="s">
        <v>104</v>
      </c>
      <c r="E14" s="68" t="s">
        <v>104</v>
      </c>
      <c r="F14" s="68" t="s">
        <v>105</v>
      </c>
      <c r="G14" s="572" t="s">
        <v>105</v>
      </c>
      <c r="H14" s="573" t="s">
        <v>105</v>
      </c>
    </row>
    <row r="15" spans="1:8" x14ac:dyDescent="0.2">
      <c r="A15" s="1467">
        <v>4082</v>
      </c>
      <c r="B15" s="1468" t="s">
        <v>31</v>
      </c>
      <c r="C15" s="1460">
        <v>16055.1</v>
      </c>
      <c r="D15" s="173">
        <v>0</v>
      </c>
      <c r="E15" s="173">
        <v>0</v>
      </c>
      <c r="F15" s="173">
        <v>0</v>
      </c>
      <c r="G15" s="574">
        <v>0</v>
      </c>
      <c r="H15" s="575">
        <v>0</v>
      </c>
    </row>
    <row r="16" spans="1:8" x14ac:dyDescent="0.2">
      <c r="A16" s="1467">
        <v>4084</v>
      </c>
      <c r="B16" s="1468" t="s">
        <v>1381</v>
      </c>
      <c r="C16" s="173">
        <v>255.5</v>
      </c>
      <c r="D16" s="173">
        <v>0</v>
      </c>
      <c r="E16" s="173">
        <v>0</v>
      </c>
      <c r="F16" s="173">
        <v>0</v>
      </c>
      <c r="G16" s="574">
        <v>0</v>
      </c>
      <c r="H16" s="575">
        <v>0</v>
      </c>
    </row>
    <row r="17" spans="1:8" x14ac:dyDescent="0.2">
      <c r="A17" s="1467">
        <v>4210</v>
      </c>
      <c r="B17" s="1468" t="s">
        <v>1382</v>
      </c>
      <c r="C17" s="173">
        <v>46273.27</v>
      </c>
      <c r="D17" s="173">
        <v>46005.58</v>
      </c>
      <c r="E17" s="173">
        <v>46336.23</v>
      </c>
      <c r="F17" s="173">
        <v>45894.02</v>
      </c>
      <c r="G17" s="574">
        <v>46000</v>
      </c>
      <c r="H17" s="575">
        <v>45947.01</v>
      </c>
    </row>
    <row r="18" spans="1:8" x14ac:dyDescent="0.2">
      <c r="A18" s="1467">
        <v>4215</v>
      </c>
      <c r="B18" s="1468" t="s">
        <v>1383</v>
      </c>
      <c r="C18" s="173">
        <v>21380.720000000001</v>
      </c>
      <c r="D18" s="173">
        <v>50086.04</v>
      </c>
      <c r="E18" s="173">
        <v>14720.03</v>
      </c>
      <c r="F18" s="173">
        <v>0</v>
      </c>
      <c r="G18" s="574">
        <v>5000</v>
      </c>
      <c r="H18" s="575">
        <v>2500</v>
      </c>
    </row>
    <row r="19" spans="1:8" x14ac:dyDescent="0.2">
      <c r="A19" s="1467">
        <v>4220</v>
      </c>
      <c r="B19" s="1468" t="s">
        <v>1384</v>
      </c>
      <c r="C19" s="173">
        <v>376254.17</v>
      </c>
      <c r="D19" s="173">
        <v>227226.32</v>
      </c>
      <c r="E19" s="173">
        <v>2983.2</v>
      </c>
      <c r="F19" s="173">
        <v>0</v>
      </c>
      <c r="G19" s="574">
        <v>0</v>
      </c>
      <c r="H19" s="575">
        <v>0</v>
      </c>
    </row>
    <row r="20" spans="1:8" x14ac:dyDescent="0.2">
      <c r="A20" s="1467">
        <v>4225</v>
      </c>
      <c r="B20" s="1468" t="s">
        <v>30</v>
      </c>
      <c r="C20" s="173">
        <v>108646.19</v>
      </c>
      <c r="D20" s="173">
        <v>111041.39</v>
      </c>
      <c r="E20" s="173">
        <v>107335.98</v>
      </c>
      <c r="F20" s="173">
        <v>120091.65</v>
      </c>
      <c r="G20" s="574">
        <v>126000</v>
      </c>
      <c r="H20" s="575">
        <v>114623.03999999999</v>
      </c>
    </row>
    <row r="21" spans="1:8" x14ac:dyDescent="0.2">
      <c r="A21" s="1467">
        <v>4235</v>
      </c>
      <c r="B21" s="1468" t="s">
        <v>1385</v>
      </c>
      <c r="C21" s="173">
        <v>108922.3</v>
      </c>
      <c r="D21" s="173">
        <v>72073.05</v>
      </c>
      <c r="E21" s="173">
        <v>77124.710000000006</v>
      </c>
      <c r="F21" s="173">
        <v>75228.649999999994</v>
      </c>
      <c r="G21" s="574">
        <v>75000</v>
      </c>
      <c r="H21" s="575">
        <v>83170</v>
      </c>
    </row>
    <row r="22" spans="1:8" x14ac:dyDescent="0.2">
      <c r="A22" s="1467">
        <v>4305</v>
      </c>
      <c r="B22" s="1468" t="s">
        <v>1393</v>
      </c>
      <c r="C22" s="173">
        <v>0</v>
      </c>
      <c r="D22" s="173">
        <v>-459136</v>
      </c>
      <c r="E22" s="173">
        <v>0</v>
      </c>
      <c r="F22" s="173">
        <v>0</v>
      </c>
      <c r="G22" s="574">
        <v>0</v>
      </c>
      <c r="H22" s="575">
        <v>0</v>
      </c>
    </row>
    <row r="23" spans="1:8" x14ac:dyDescent="0.2">
      <c r="A23" s="1467">
        <v>4325</v>
      </c>
      <c r="B23" s="1468" t="s">
        <v>1386</v>
      </c>
      <c r="C23" s="173">
        <v>25.2</v>
      </c>
      <c r="D23" s="173">
        <v>21.9</v>
      </c>
      <c r="E23" s="173">
        <v>0</v>
      </c>
      <c r="F23" s="173">
        <v>0</v>
      </c>
      <c r="G23" s="574">
        <v>0</v>
      </c>
      <c r="H23" s="575">
        <v>0</v>
      </c>
    </row>
    <row r="24" spans="1:8" x14ac:dyDescent="0.2">
      <c r="A24" s="1467">
        <v>4330</v>
      </c>
      <c r="B24" s="1468" t="s">
        <v>1387</v>
      </c>
      <c r="C24" s="173">
        <v>-11775.54</v>
      </c>
      <c r="D24" s="173">
        <v>0</v>
      </c>
      <c r="E24" s="173">
        <v>0</v>
      </c>
      <c r="F24" s="173">
        <v>0</v>
      </c>
      <c r="G24" s="574">
        <v>0</v>
      </c>
      <c r="H24" s="575">
        <v>0</v>
      </c>
    </row>
    <row r="25" spans="1:8" x14ac:dyDescent="0.2">
      <c r="A25" s="1467">
        <v>4355</v>
      </c>
      <c r="B25" s="1468" t="s">
        <v>1388</v>
      </c>
      <c r="C25" s="173">
        <v>20222</v>
      </c>
      <c r="D25" s="173">
        <v>0</v>
      </c>
      <c r="E25" s="173">
        <v>20000</v>
      </c>
      <c r="F25" s="173">
        <v>0</v>
      </c>
      <c r="G25" s="574">
        <v>50259</v>
      </c>
      <c r="H25" s="575">
        <v>0</v>
      </c>
    </row>
    <row r="26" spans="1:8" x14ac:dyDescent="0.2">
      <c r="A26" s="1467">
        <v>4375</v>
      </c>
      <c r="B26" s="1468" t="s">
        <v>1389</v>
      </c>
      <c r="C26" s="173">
        <v>465964.23</v>
      </c>
      <c r="D26" s="173">
        <v>631399.80000000005</v>
      </c>
      <c r="E26" s="173">
        <v>448790.48</v>
      </c>
      <c r="F26" s="173">
        <v>739901.32</v>
      </c>
      <c r="G26" s="574">
        <v>571513.96</v>
      </c>
      <c r="H26" s="575">
        <v>571513.96</v>
      </c>
    </row>
    <row r="27" spans="1:8" x14ac:dyDescent="0.2">
      <c r="A27" s="1467">
        <v>4380</v>
      </c>
      <c r="B27" s="1468" t="s">
        <v>1390</v>
      </c>
      <c r="C27" s="173">
        <v>-144016.53</v>
      </c>
      <c r="D27" s="173">
        <v>-471977.88</v>
      </c>
      <c r="E27" s="173">
        <v>-329184.76</v>
      </c>
      <c r="F27" s="173">
        <v>-329072.17</v>
      </c>
      <c r="G27" s="574">
        <v>-318562.84000000003</v>
      </c>
      <c r="H27" s="575">
        <v>-318562.84000000003</v>
      </c>
    </row>
    <row r="28" spans="1:8" x14ac:dyDescent="0.2">
      <c r="A28" s="1467">
        <v>4390</v>
      </c>
      <c r="B28" s="1468" t="s">
        <v>1391</v>
      </c>
      <c r="C28" s="173">
        <v>925.35</v>
      </c>
      <c r="D28" s="173">
        <v>547.75</v>
      </c>
      <c r="E28" s="173">
        <v>0</v>
      </c>
      <c r="F28" s="173">
        <v>24582.02</v>
      </c>
      <c r="G28" s="574">
        <v>8685.0400000000009</v>
      </c>
      <c r="H28" s="575">
        <v>8685.0400000000009</v>
      </c>
    </row>
    <row r="29" spans="1:8" x14ac:dyDescent="0.2">
      <c r="A29" s="1461">
        <v>6300</v>
      </c>
      <c r="B29" s="797" t="s">
        <v>1392</v>
      </c>
      <c r="C29" s="173">
        <v>11025.72</v>
      </c>
      <c r="D29" s="173">
        <v>16457.400000000001</v>
      </c>
      <c r="E29" s="173">
        <v>6494.4</v>
      </c>
      <c r="F29" s="173">
        <v>136240.97</v>
      </c>
      <c r="G29" s="574">
        <v>0</v>
      </c>
      <c r="H29" s="575">
        <v>0</v>
      </c>
    </row>
    <row r="30" spans="1:8" x14ac:dyDescent="0.2">
      <c r="A30" s="1461">
        <v>4405</v>
      </c>
      <c r="B30" s="797" t="s">
        <v>1395</v>
      </c>
      <c r="C30" s="173">
        <f t="shared" ref="C30:H30" si="0">C61</f>
        <v>79663.100000000006</v>
      </c>
      <c r="D30" s="173">
        <f t="shared" si="0"/>
        <v>189490.89</v>
      </c>
      <c r="E30" s="173">
        <f t="shared" si="0"/>
        <v>183342.62</v>
      </c>
      <c r="F30" s="173">
        <f t="shared" si="0"/>
        <v>42121.89</v>
      </c>
      <c r="G30" s="173">
        <f t="shared" si="0"/>
        <v>42121.89</v>
      </c>
      <c r="H30" s="173">
        <f t="shared" si="0"/>
        <v>42121.89</v>
      </c>
    </row>
    <row r="31" spans="1:8" ht="7.5" customHeight="1" x14ac:dyDescent="0.2">
      <c r="A31" s="1796"/>
      <c r="B31" s="1797"/>
      <c r="C31" s="1797"/>
      <c r="D31" s="1797"/>
      <c r="E31" s="1797"/>
      <c r="F31" s="1797"/>
      <c r="G31" s="1798"/>
      <c r="H31" s="1799"/>
    </row>
    <row r="32" spans="1:8" x14ac:dyDescent="0.2">
      <c r="A32" s="1794" t="s">
        <v>29</v>
      </c>
      <c r="B32" s="1795"/>
      <c r="C32" s="576">
        <f t="shared" ref="C32:H32" si="1">C21</f>
        <v>108922.3</v>
      </c>
      <c r="D32" s="576">
        <f t="shared" si="1"/>
        <v>72073.05</v>
      </c>
      <c r="E32" s="576">
        <f t="shared" si="1"/>
        <v>77124.710000000006</v>
      </c>
      <c r="F32" s="576">
        <f t="shared" si="1"/>
        <v>75228.649999999994</v>
      </c>
      <c r="G32" s="576">
        <f t="shared" si="1"/>
        <v>75000</v>
      </c>
      <c r="H32" s="576">
        <f t="shared" si="1"/>
        <v>83170</v>
      </c>
    </row>
    <row r="33" spans="1:8" x14ac:dyDescent="0.2">
      <c r="A33" s="1794" t="s">
        <v>30</v>
      </c>
      <c r="B33" s="1795"/>
      <c r="C33" s="577">
        <f t="shared" ref="C33:H33" si="2">C20</f>
        <v>108646.19</v>
      </c>
      <c r="D33" s="577">
        <f t="shared" si="2"/>
        <v>111041.39</v>
      </c>
      <c r="E33" s="577">
        <f t="shared" si="2"/>
        <v>107335.98</v>
      </c>
      <c r="F33" s="577">
        <f t="shared" si="2"/>
        <v>120091.65</v>
      </c>
      <c r="G33" s="577">
        <f t="shared" si="2"/>
        <v>126000</v>
      </c>
      <c r="H33" s="577">
        <f t="shared" si="2"/>
        <v>114623.03999999999</v>
      </c>
    </row>
    <row r="34" spans="1:8" x14ac:dyDescent="0.2">
      <c r="A34" s="1794" t="s">
        <v>221</v>
      </c>
      <c r="B34" s="1795"/>
      <c r="C34" s="1469">
        <f t="shared" ref="C34:H34" si="3">C15+C16+C17+C18+C19</f>
        <v>460218.76</v>
      </c>
      <c r="D34" s="1469">
        <f t="shared" si="3"/>
        <v>323317.94</v>
      </c>
      <c r="E34" s="1469">
        <f t="shared" si="3"/>
        <v>64039.46</v>
      </c>
      <c r="F34" s="1469">
        <f t="shared" si="3"/>
        <v>45894.02</v>
      </c>
      <c r="G34" s="1469">
        <f t="shared" si="3"/>
        <v>51000</v>
      </c>
      <c r="H34" s="1469">
        <f t="shared" si="3"/>
        <v>48447.01</v>
      </c>
    </row>
    <row r="35" spans="1:8" ht="13.5" thickBot="1" x14ac:dyDescent="0.25">
      <c r="A35" s="1801" t="s">
        <v>222</v>
      </c>
      <c r="B35" s="1802"/>
      <c r="C35" s="1470">
        <f t="shared" ref="C35:H35" si="4">C22+C23+C24+C25+C26+C27+C28+C30</f>
        <v>411007.80999999994</v>
      </c>
      <c r="D35" s="1470">
        <f t="shared" si="4"/>
        <v>-109653.53999999992</v>
      </c>
      <c r="E35" s="1470">
        <f t="shared" si="4"/>
        <v>322948.33999999997</v>
      </c>
      <c r="F35" s="1470">
        <f t="shared" si="4"/>
        <v>477533.06</v>
      </c>
      <c r="G35" s="1470">
        <f t="shared" si="4"/>
        <v>354017.04999999993</v>
      </c>
      <c r="H35" s="1470">
        <f t="shared" si="4"/>
        <v>303758.04999999993</v>
      </c>
    </row>
    <row r="36" spans="1:8" ht="14.25" thickTop="1" thickBot="1" x14ac:dyDescent="0.25">
      <c r="A36" s="1803" t="s">
        <v>295</v>
      </c>
      <c r="B36" s="1804"/>
      <c r="C36" s="264">
        <f t="shared" ref="C36:H36" si="5">SUM(C32:C35)</f>
        <v>1088795.06</v>
      </c>
      <c r="D36" s="264">
        <f t="shared" si="5"/>
        <v>396778.84000000008</v>
      </c>
      <c r="E36" s="264">
        <f t="shared" si="5"/>
        <v>571448.49</v>
      </c>
      <c r="F36" s="264">
        <f t="shared" si="5"/>
        <v>718747.38</v>
      </c>
      <c r="G36" s="264">
        <f t="shared" si="5"/>
        <v>606017.04999999993</v>
      </c>
      <c r="H36" s="580">
        <f t="shared" si="5"/>
        <v>549998.09999999986</v>
      </c>
    </row>
    <row r="38" spans="1:8" x14ac:dyDescent="0.2">
      <c r="A38" s="423" t="s">
        <v>235</v>
      </c>
      <c r="B38" s="60"/>
      <c r="C38" s="423" t="s">
        <v>109</v>
      </c>
    </row>
    <row r="39" spans="1:8" x14ac:dyDescent="0.2">
      <c r="A39" s="1800" t="s">
        <v>108</v>
      </c>
      <c r="B39" s="1800"/>
      <c r="C39" s="1078">
        <v>4235</v>
      </c>
    </row>
    <row r="40" spans="1:8" x14ac:dyDescent="0.2">
      <c r="A40" s="1800" t="s">
        <v>110</v>
      </c>
      <c r="B40" s="1800"/>
      <c r="C40" s="1078">
        <v>4225</v>
      </c>
    </row>
    <row r="41" spans="1:8" x14ac:dyDescent="0.2">
      <c r="A41" s="1800" t="s">
        <v>111</v>
      </c>
      <c r="B41" s="1800"/>
      <c r="C41" s="1800" t="s">
        <v>183</v>
      </c>
      <c r="D41" s="1800"/>
      <c r="E41" s="1800"/>
      <c r="F41" s="1800"/>
      <c r="G41" s="1800"/>
      <c r="H41" s="1800"/>
    </row>
    <row r="42" spans="1:8" x14ac:dyDescent="0.2">
      <c r="A42" s="1800" t="s">
        <v>112</v>
      </c>
      <c r="B42" s="1800"/>
      <c r="C42" s="1549" t="s">
        <v>79</v>
      </c>
      <c r="D42" s="1549"/>
      <c r="E42" s="1549"/>
      <c r="F42" s="1549"/>
      <c r="G42" s="1549"/>
      <c r="H42" s="1549"/>
    </row>
    <row r="43" spans="1:8" x14ac:dyDescent="0.2">
      <c r="C43" s="1549"/>
      <c r="D43" s="1549"/>
      <c r="E43" s="1549"/>
      <c r="F43" s="1549"/>
      <c r="G43" s="1549"/>
      <c r="H43" s="1549"/>
    </row>
    <row r="45" spans="1:8" x14ac:dyDescent="0.2">
      <c r="A45" s="60" t="s">
        <v>223</v>
      </c>
      <c r="B45" s="83"/>
      <c r="C45" s="1080"/>
      <c r="D45" s="1080"/>
      <c r="E45" s="1080"/>
      <c r="F45" s="1080"/>
      <c r="G45" s="1080"/>
      <c r="H45" s="1080"/>
    </row>
    <row r="46" spans="1:8" x14ac:dyDescent="0.2">
      <c r="A46" s="1793"/>
      <c r="B46" s="1793"/>
      <c r="C46" s="1793"/>
      <c r="D46" s="1793"/>
      <c r="E46" s="1793"/>
      <c r="F46" s="1793"/>
      <c r="G46" s="1793"/>
      <c r="H46" s="1793"/>
    </row>
    <row r="47" spans="1:8" ht="12.75" customHeight="1" x14ac:dyDescent="0.2">
      <c r="A47" s="581" t="s">
        <v>224</v>
      </c>
      <c r="B47" s="582"/>
      <c r="C47" s="582"/>
      <c r="D47" s="582"/>
      <c r="E47" s="582"/>
      <c r="F47" s="582"/>
      <c r="G47" s="582"/>
      <c r="H47" s="582"/>
    </row>
    <row r="48" spans="1:8" x14ac:dyDescent="0.2">
      <c r="A48" s="582"/>
      <c r="B48" s="582"/>
      <c r="C48" s="582"/>
      <c r="D48" s="582"/>
      <c r="E48" s="582"/>
      <c r="F48" s="582"/>
      <c r="G48" s="582"/>
      <c r="H48" s="582"/>
    </row>
    <row r="49" spans="1:8" x14ac:dyDescent="0.2">
      <c r="A49" s="1809" t="s">
        <v>225</v>
      </c>
      <c r="B49" s="1809"/>
      <c r="C49" s="1809"/>
      <c r="D49" s="1809"/>
      <c r="E49" s="1809"/>
      <c r="F49" s="1809"/>
      <c r="G49" s="1809"/>
      <c r="H49" s="1809"/>
    </row>
    <row r="50" spans="1:8" x14ac:dyDescent="0.2">
      <c r="A50" s="1809"/>
      <c r="B50" s="1809"/>
      <c r="C50" s="1809"/>
      <c r="D50" s="1809"/>
      <c r="E50" s="1809"/>
      <c r="F50" s="1809"/>
      <c r="G50" s="1809"/>
      <c r="H50" s="1809"/>
    </row>
    <row r="52" spans="1:8" ht="13.5" thickBot="1" x14ac:dyDescent="0.25">
      <c r="A52" s="60" t="s">
        <v>113</v>
      </c>
    </row>
    <row r="53" spans="1:8" x14ac:dyDescent="0.2">
      <c r="A53" s="583"/>
      <c r="B53" s="584"/>
      <c r="C53" s="1086" t="str">
        <f t="shared" ref="C53:H53" si="6">C12</f>
        <v>2012 Actual</v>
      </c>
      <c r="D53" s="1086" t="str">
        <f t="shared" si="6"/>
        <v>2013 Actual</v>
      </c>
      <c r="E53" s="1086" t="str">
        <f t="shared" si="6"/>
        <v>2014 Actual</v>
      </c>
      <c r="F53" s="1086" t="str">
        <f t="shared" si="6"/>
        <v>2015 Actual</v>
      </c>
      <c r="G53" s="1086" t="str">
        <f t="shared" si="6"/>
        <v>Bridge Year²</v>
      </c>
      <c r="H53" s="585" t="str">
        <f t="shared" si="6"/>
        <v>Test Year</v>
      </c>
    </row>
    <row r="54" spans="1:8" x14ac:dyDescent="0.2">
      <c r="A54" s="586"/>
      <c r="B54" s="587"/>
      <c r="C54" s="588"/>
      <c r="D54" s="588"/>
      <c r="E54" s="588"/>
      <c r="F54" s="588">
        <f>F13</f>
        <v>2015</v>
      </c>
      <c r="G54" s="588">
        <f>G13</f>
        <v>2016</v>
      </c>
      <c r="H54" s="589">
        <f>H13</f>
        <v>2017</v>
      </c>
    </row>
    <row r="55" spans="1:8" x14ac:dyDescent="0.2">
      <c r="A55" s="1810" t="s">
        <v>103</v>
      </c>
      <c r="B55" s="1811"/>
      <c r="C55" s="590" t="str">
        <f t="shared" ref="C55:H55" si="7">IF(C14=0, "", C14)</f>
        <v>CGAAP</v>
      </c>
      <c r="D55" s="590" t="str">
        <f t="shared" si="7"/>
        <v>CGAAP</v>
      </c>
      <c r="E55" s="590" t="str">
        <f t="shared" si="7"/>
        <v>CGAAP</v>
      </c>
      <c r="F55" s="590" t="str">
        <f t="shared" si="7"/>
        <v>MIFRS</v>
      </c>
      <c r="G55" s="590" t="str">
        <f t="shared" si="7"/>
        <v>MIFRS</v>
      </c>
      <c r="H55" s="590" t="str">
        <f t="shared" si="7"/>
        <v>MIFRS</v>
      </c>
    </row>
    <row r="56" spans="1:8" x14ac:dyDescent="0.2">
      <c r="A56" s="1807" t="s">
        <v>1394</v>
      </c>
      <c r="B56" s="1808"/>
      <c r="C56" s="173">
        <v>79663.100000000006</v>
      </c>
      <c r="D56" s="173">
        <v>189490.89</v>
      </c>
      <c r="E56" s="173">
        <v>183342.62</v>
      </c>
      <c r="F56" s="1460">
        <v>42121.89</v>
      </c>
      <c r="G56" s="173">
        <v>42121.89</v>
      </c>
      <c r="H56" s="173">
        <v>42121.89</v>
      </c>
    </row>
    <row r="57" spans="1:8" x14ac:dyDescent="0.2">
      <c r="A57" s="1814"/>
      <c r="B57" s="1815"/>
      <c r="C57" s="173"/>
      <c r="D57" s="173"/>
      <c r="E57" s="173"/>
      <c r="F57" s="173"/>
      <c r="G57" s="173"/>
      <c r="H57" s="173"/>
    </row>
    <row r="58" spans="1:8" x14ac:dyDescent="0.2">
      <c r="A58" s="1816"/>
      <c r="B58" s="1817"/>
      <c r="C58" s="592"/>
      <c r="D58" s="592"/>
      <c r="E58" s="592"/>
      <c r="F58" s="592"/>
      <c r="G58" s="593"/>
      <c r="H58" s="594"/>
    </row>
    <row r="59" spans="1:8" ht="14.25" x14ac:dyDescent="0.2">
      <c r="A59" s="1818" t="s">
        <v>88</v>
      </c>
      <c r="B59" s="1819"/>
      <c r="C59" s="173"/>
      <c r="D59" s="173"/>
      <c r="E59" s="173"/>
      <c r="F59" s="173"/>
      <c r="G59" s="591"/>
      <c r="H59" s="575"/>
    </row>
    <row r="60" spans="1:8" ht="13.5" thickBot="1" x14ac:dyDescent="0.25">
      <c r="A60" s="1820"/>
      <c r="B60" s="1821"/>
      <c r="C60" s="257"/>
      <c r="D60" s="257"/>
      <c r="E60" s="257"/>
      <c r="F60" s="257"/>
      <c r="G60" s="595"/>
      <c r="H60" s="596"/>
    </row>
    <row r="61" spans="1:8" ht="14.25" thickTop="1" thickBot="1" x14ac:dyDescent="0.25">
      <c r="A61" s="1812" t="s">
        <v>295</v>
      </c>
      <c r="B61" s="1813"/>
      <c r="C61" s="264">
        <f t="shared" ref="C61:H61" si="8">SUM(C56:C60)</f>
        <v>79663.100000000006</v>
      </c>
      <c r="D61" s="264">
        <f t="shared" si="8"/>
        <v>189490.89</v>
      </c>
      <c r="E61" s="264">
        <f t="shared" si="8"/>
        <v>183342.62</v>
      </c>
      <c r="F61" s="264">
        <f t="shared" si="8"/>
        <v>42121.89</v>
      </c>
      <c r="G61" s="264">
        <f t="shared" si="8"/>
        <v>42121.89</v>
      </c>
      <c r="H61" s="597">
        <f t="shared" si="8"/>
        <v>42121.89</v>
      </c>
    </row>
    <row r="64" spans="1:8" x14ac:dyDescent="0.2">
      <c r="A64" s="422" t="s">
        <v>11</v>
      </c>
    </row>
    <row r="65" spans="1:8" x14ac:dyDescent="0.2">
      <c r="A65" s="598">
        <v>1</v>
      </c>
      <c r="B65" s="83" t="s">
        <v>867</v>
      </c>
    </row>
    <row r="66" spans="1:8" ht="30.75" customHeight="1" x14ac:dyDescent="0.2">
      <c r="A66" s="598">
        <v>2</v>
      </c>
      <c r="B66" s="1544" t="s">
        <v>1006</v>
      </c>
      <c r="C66" s="1544"/>
      <c r="D66" s="1544"/>
      <c r="E66" s="1544"/>
      <c r="F66" s="1544"/>
      <c r="G66" s="1544"/>
      <c r="H66" s="1544"/>
    </row>
    <row r="67" spans="1:8" ht="30.75" customHeight="1" x14ac:dyDescent="0.2">
      <c r="A67" s="598"/>
    </row>
    <row r="68" spans="1:8" ht="31.5" customHeight="1" x14ac:dyDescent="0.2">
      <c r="A68" s="598"/>
    </row>
    <row r="70" spans="1:8" x14ac:dyDescent="0.2">
      <c r="B70" s="1805"/>
      <c r="C70" s="1806"/>
      <c r="D70" s="1806"/>
      <c r="E70" s="1806"/>
      <c r="F70" s="1806"/>
      <c r="G70" s="1806"/>
      <c r="H70" s="1806"/>
    </row>
    <row r="71" spans="1:8" x14ac:dyDescent="0.2">
      <c r="B71" s="1805"/>
      <c r="C71" s="1806"/>
      <c r="D71" s="1806"/>
      <c r="E71" s="1806"/>
      <c r="F71" s="1806"/>
      <c r="G71" s="1806"/>
      <c r="H71" s="1806"/>
    </row>
    <row r="72" spans="1:8" x14ac:dyDescent="0.2">
      <c r="B72" s="1805"/>
      <c r="C72" s="1806"/>
      <c r="D72" s="1806"/>
      <c r="E72" s="1806"/>
      <c r="F72" s="1806"/>
      <c r="G72" s="1806"/>
      <c r="H72" s="1806"/>
    </row>
  </sheetData>
  <mergeCells count="27">
    <mergeCell ref="B72:H72"/>
    <mergeCell ref="B70:H70"/>
    <mergeCell ref="B71:H71"/>
    <mergeCell ref="A56:B56"/>
    <mergeCell ref="A49:H50"/>
    <mergeCell ref="A55:B55"/>
    <mergeCell ref="A61:B61"/>
    <mergeCell ref="A57:B57"/>
    <mergeCell ref="A58:B58"/>
    <mergeCell ref="A59:B59"/>
    <mergeCell ref="A60:B60"/>
    <mergeCell ref="B66:H66"/>
    <mergeCell ref="A46:H46"/>
    <mergeCell ref="A33:B33"/>
    <mergeCell ref="A34:B34"/>
    <mergeCell ref="A9:H9"/>
    <mergeCell ref="A10:H10"/>
    <mergeCell ref="A31:H31"/>
    <mergeCell ref="A32:B32"/>
    <mergeCell ref="C41:H41"/>
    <mergeCell ref="C42:H43"/>
    <mergeCell ref="A35:B35"/>
    <mergeCell ref="A36:B36"/>
    <mergeCell ref="A39:B39"/>
    <mergeCell ref="A40:B40"/>
    <mergeCell ref="A41:B41"/>
    <mergeCell ref="A42:B42"/>
  </mergeCells>
  <phoneticPr fontId="16" type="noConversion"/>
  <dataValidations disablePrompts="1" count="1">
    <dataValidation type="list" allowBlank="1" showInputMessage="1" showErrorMessage="1" sqref="C14:H14">
      <formula1>"CGAAP, MIFRS, USGAAP, ASPE"</formula1>
    </dataValidation>
  </dataValidations>
  <pageMargins left="0.75" right="0.75" top="1" bottom="1" header="0.5" footer="0.5"/>
  <pageSetup scale="65" orientation="portrait"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theme="9" tint="0.39997558519241921"/>
    <pageSetUpPr fitToPage="1"/>
  </sheetPr>
  <dimension ref="A1:O141"/>
  <sheetViews>
    <sheetView showGridLines="0" zoomScaleNormal="100" workbookViewId="0">
      <selection activeCell="A9" sqref="A9:H9"/>
    </sheetView>
  </sheetViews>
  <sheetFormatPr defaultRowHeight="15" x14ac:dyDescent="0.25"/>
  <cols>
    <col min="1" max="1" width="30.85546875" style="600" customWidth="1"/>
    <col min="2" max="6" width="18.7109375" style="600" customWidth="1"/>
    <col min="7" max="8" width="15.140625" style="600" customWidth="1"/>
    <col min="9" max="9" width="12.42578125" style="600" customWidth="1"/>
    <col min="10" max="12" width="9.140625" style="600" hidden="1" customWidth="1"/>
    <col min="13" max="14" width="0" style="600" hidden="1" customWidth="1"/>
    <col min="15" max="16384" width="9.140625" style="600"/>
  </cols>
  <sheetData>
    <row r="1" spans="1:10" s="52" customFormat="1" ht="12.75" customHeight="1" x14ac:dyDescent="0.25">
      <c r="A1" s="52">
        <f>+G69+1</f>
        <v>2021</v>
      </c>
      <c r="G1" s="599" t="s">
        <v>301</v>
      </c>
      <c r="H1" s="601" t="str">
        <f>EBNUMBER</f>
        <v>EB-2016-0066</v>
      </c>
      <c r="I1" s="600"/>
      <c r="J1" s="1092"/>
    </row>
    <row r="2" spans="1:10" s="52" customFormat="1" ht="12.75" customHeight="1" x14ac:dyDescent="0.25">
      <c r="G2" s="599" t="s">
        <v>302</v>
      </c>
      <c r="H2" s="51"/>
      <c r="I2" s="600"/>
      <c r="J2" s="601"/>
    </row>
    <row r="3" spans="1:10" s="52" customFormat="1" ht="12.75" customHeight="1" x14ac:dyDescent="0.25">
      <c r="G3" s="599" t="s">
        <v>303</v>
      </c>
      <c r="H3" s="51"/>
      <c r="I3" s="600"/>
      <c r="J3" s="601"/>
    </row>
    <row r="4" spans="1:10" s="52" customFormat="1" ht="12.75" customHeight="1" x14ac:dyDescent="0.25">
      <c r="G4" s="599" t="s">
        <v>304</v>
      </c>
      <c r="H4" s="51"/>
      <c r="I4" s="600"/>
      <c r="J4" s="601"/>
    </row>
    <row r="5" spans="1:10" s="52" customFormat="1" ht="12.75" customHeight="1" x14ac:dyDescent="0.25">
      <c r="G5" s="599" t="s">
        <v>305</v>
      </c>
      <c r="H5" s="1163"/>
      <c r="I5" s="600"/>
      <c r="J5" s="602"/>
    </row>
    <row r="6" spans="1:10" s="52" customFormat="1" ht="12.75" customHeight="1" x14ac:dyDescent="0.25">
      <c r="G6" s="599"/>
      <c r="H6" s="1162"/>
      <c r="I6" s="600"/>
      <c r="J6" s="602"/>
    </row>
    <row r="7" spans="1:10" s="52" customFormat="1" ht="12.75" customHeight="1" x14ac:dyDescent="0.25">
      <c r="G7" s="599" t="s">
        <v>306</v>
      </c>
      <c r="H7" s="1163"/>
      <c r="I7" s="600"/>
      <c r="J7" s="602"/>
    </row>
    <row r="8" spans="1:10" s="52" customFormat="1" ht="12.75" x14ac:dyDescent="0.2">
      <c r="G8" s="204"/>
    </row>
    <row r="9" spans="1:10" s="52" customFormat="1" ht="18" x14ac:dyDescent="0.25">
      <c r="A9" s="1591" t="s">
        <v>172</v>
      </c>
      <c r="B9" s="1591"/>
      <c r="C9" s="1591"/>
      <c r="D9" s="1591"/>
      <c r="E9" s="1591"/>
      <c r="F9" s="1591"/>
      <c r="G9" s="1591"/>
      <c r="H9" s="1591"/>
    </row>
    <row r="10" spans="1:10" s="52" customFormat="1" ht="18" x14ac:dyDescent="0.25">
      <c r="A10" s="1591" t="s">
        <v>1122</v>
      </c>
      <c r="B10" s="1591"/>
      <c r="C10" s="1591"/>
      <c r="D10" s="1591"/>
      <c r="E10" s="1591"/>
      <c r="F10" s="1591"/>
      <c r="G10" s="1591"/>
      <c r="H10" s="1591"/>
    </row>
    <row r="11" spans="1:10" ht="12" customHeight="1" x14ac:dyDescent="0.25"/>
    <row r="12" spans="1:10" ht="53.25" customHeight="1" x14ac:dyDescent="0.25">
      <c r="A12" s="1857" t="s">
        <v>1278</v>
      </c>
      <c r="B12" s="1823"/>
      <c r="C12" s="1823"/>
      <c r="D12" s="1823"/>
      <c r="E12" s="1823"/>
      <c r="F12" s="1823"/>
      <c r="G12" s="1823"/>
      <c r="H12" s="1823"/>
    </row>
    <row r="13" spans="1:10" ht="12" customHeight="1" x14ac:dyDescent="0.25">
      <c r="A13" s="1166"/>
      <c r="B13" s="1166"/>
      <c r="C13" s="1166"/>
      <c r="D13" s="1166"/>
      <c r="E13" s="1166"/>
      <c r="F13" s="1166"/>
      <c r="G13" s="1166"/>
      <c r="H13" s="1166"/>
    </row>
    <row r="14" spans="1:10" ht="66" customHeight="1" x14ac:dyDescent="0.25">
      <c r="A14" s="1857" t="s">
        <v>1279</v>
      </c>
      <c r="B14" s="1823"/>
      <c r="C14" s="1823"/>
      <c r="D14" s="1823"/>
      <c r="E14" s="1823"/>
      <c r="F14" s="1823"/>
      <c r="G14" s="1823"/>
      <c r="H14" s="1823"/>
    </row>
    <row r="15" spans="1:10" ht="12" customHeight="1" x14ac:dyDescent="0.25">
      <c r="A15" s="1167"/>
      <c r="B15" s="1167"/>
      <c r="C15" s="1167"/>
      <c r="D15" s="1167"/>
      <c r="E15" s="1167"/>
      <c r="F15" s="1167"/>
      <c r="G15" s="1167"/>
      <c r="H15" s="1167"/>
    </row>
    <row r="16" spans="1:10" ht="53.25" customHeight="1" x14ac:dyDescent="0.25">
      <c r="A16" s="1857" t="s">
        <v>1280</v>
      </c>
      <c r="B16" s="1823"/>
      <c r="C16" s="1823"/>
      <c r="D16" s="1823"/>
      <c r="E16" s="1823"/>
      <c r="F16" s="1823"/>
      <c r="G16" s="1823"/>
      <c r="H16" s="1823"/>
    </row>
    <row r="17" spans="1:8" ht="12" customHeight="1" x14ac:dyDescent="0.25">
      <c r="A17" s="1167"/>
      <c r="B17" s="1167"/>
      <c r="C17" s="1167"/>
      <c r="D17" s="1167"/>
      <c r="E17" s="1167"/>
      <c r="F17" s="1167"/>
      <c r="G17" s="1167"/>
      <c r="H17" s="1167"/>
    </row>
    <row r="18" spans="1:8" ht="21" customHeight="1" x14ac:dyDescent="0.25">
      <c r="A18" s="1856" t="s">
        <v>1123</v>
      </c>
      <c r="B18" s="1856"/>
      <c r="C18" s="1856"/>
      <c r="D18" s="1856"/>
      <c r="E18" s="1856"/>
      <c r="F18" s="1856"/>
    </row>
    <row r="19" spans="1:8" ht="12" customHeight="1" x14ac:dyDescent="0.25">
      <c r="A19" s="622"/>
      <c r="B19" s="623"/>
      <c r="C19" s="623"/>
      <c r="D19" s="623"/>
      <c r="E19" s="623"/>
      <c r="F19" s="623"/>
    </row>
    <row r="20" spans="1:8" ht="81" customHeight="1" x14ac:dyDescent="0.25">
      <c r="A20" s="1835" t="s">
        <v>1024</v>
      </c>
      <c r="B20" s="1835"/>
      <c r="C20" s="1835"/>
      <c r="D20" s="1835"/>
      <c r="E20" s="1835"/>
      <c r="F20" s="1835"/>
      <c r="G20" s="1835"/>
      <c r="H20" s="1835"/>
    </row>
    <row r="21" spans="1:8" ht="12" customHeight="1" thickBot="1" x14ac:dyDescent="0.3">
      <c r="A21" s="622"/>
      <c r="B21" s="623"/>
      <c r="C21" s="623"/>
      <c r="D21" s="623"/>
      <c r="E21" s="623"/>
      <c r="F21" s="623"/>
    </row>
    <row r="22" spans="1:8" x14ac:dyDescent="0.25">
      <c r="A22" s="1850" t="s">
        <v>939</v>
      </c>
      <c r="B22" s="1851"/>
      <c r="C22" s="1851"/>
      <c r="D22" s="1851"/>
      <c r="E22" s="1851"/>
      <c r="F22" s="1851"/>
      <c r="G22" s="1851"/>
      <c r="H22" s="1852"/>
    </row>
    <row r="23" spans="1:8" x14ac:dyDescent="0.25">
      <c r="A23" s="1853">
        <v>16200.476932061678</v>
      </c>
      <c r="B23" s="1854"/>
      <c r="C23" s="1854"/>
      <c r="D23" s="1854"/>
      <c r="E23" s="1854"/>
      <c r="F23" s="1854"/>
      <c r="G23" s="1854"/>
      <c r="H23" s="1855"/>
    </row>
    <row r="24" spans="1:8" ht="28.5" customHeight="1" x14ac:dyDescent="0.25">
      <c r="A24" s="624"/>
      <c r="B24" s="625">
        <v>2015</v>
      </c>
      <c r="C24" s="625">
        <v>2016</v>
      </c>
      <c r="D24" s="625">
        <v>2017</v>
      </c>
      <c r="E24" s="625">
        <v>2018</v>
      </c>
      <c r="F24" s="625">
        <v>2019</v>
      </c>
      <c r="G24" s="625">
        <v>2020</v>
      </c>
      <c r="H24" s="626" t="s">
        <v>295</v>
      </c>
    </row>
    <row r="25" spans="1:8" ht="12" customHeight="1" x14ac:dyDescent="0.25">
      <c r="A25" s="1826" t="s">
        <v>171</v>
      </c>
      <c r="B25" s="1827"/>
      <c r="C25" s="1827"/>
      <c r="D25" s="1827"/>
      <c r="E25" s="1827"/>
      <c r="F25" s="1827"/>
      <c r="G25" s="1827"/>
      <c r="H25" s="1828"/>
    </row>
    <row r="26" spans="1:8" ht="28.5" customHeight="1" x14ac:dyDescent="0.25">
      <c r="A26" s="1168" t="s">
        <v>940</v>
      </c>
      <c r="B26" s="604">
        <f>B34/$H$40</f>
        <v>5.3237271739321655E-2</v>
      </c>
      <c r="C26" s="604">
        <f t="shared" ref="C26:G30" si="0">C34/$H$40</f>
        <v>5.3237271739321655E-2</v>
      </c>
      <c r="D26" s="604">
        <f t="shared" si="0"/>
        <v>5.3237271739321655E-2</v>
      </c>
      <c r="E26" s="604">
        <f t="shared" si="0"/>
        <v>5.3237271739321655E-2</v>
      </c>
      <c r="F26" s="604">
        <f t="shared" si="0"/>
        <v>5.3237271739321655E-2</v>
      </c>
      <c r="G26" s="605">
        <f t="shared" si="0"/>
        <v>5.3237271739321655E-2</v>
      </c>
      <c r="H26" s="606">
        <f>SUM(B26:G26)</f>
        <v>0.31942363043592992</v>
      </c>
    </row>
    <row r="27" spans="1:8" ht="12" customHeight="1" x14ac:dyDescent="0.25">
      <c r="A27" s="1168" t="s">
        <v>941</v>
      </c>
      <c r="B27" s="1169"/>
      <c r="C27" s="604">
        <f t="shared" si="0"/>
        <v>7.4328191547197608E-2</v>
      </c>
      <c r="D27" s="604">
        <f t="shared" si="0"/>
        <v>7.4328191547197608E-2</v>
      </c>
      <c r="E27" s="604">
        <f t="shared" si="0"/>
        <v>7.4328191547197608E-2</v>
      </c>
      <c r="F27" s="604">
        <f t="shared" si="0"/>
        <v>7.4328191547197608E-2</v>
      </c>
      <c r="G27" s="605">
        <f t="shared" si="0"/>
        <v>7.4328191547197608E-2</v>
      </c>
      <c r="H27" s="606">
        <f>SUM(B27:G27)</f>
        <v>0.37164095773598804</v>
      </c>
    </row>
    <row r="28" spans="1:8" ht="13.5" customHeight="1" x14ac:dyDescent="0.25">
      <c r="A28" s="1168" t="s">
        <v>942</v>
      </c>
      <c r="B28" s="1169"/>
      <c r="C28" s="1169"/>
      <c r="D28" s="604">
        <f t="shared" si="0"/>
        <v>7.7233852957020524E-2</v>
      </c>
      <c r="E28" s="604">
        <f t="shared" si="0"/>
        <v>7.7233852957020524E-2</v>
      </c>
      <c r="F28" s="604">
        <f t="shared" si="0"/>
        <v>7.7233852957020524E-2</v>
      </c>
      <c r="G28" s="605">
        <f t="shared" si="0"/>
        <v>7.7233852957020524E-2</v>
      </c>
      <c r="H28" s="606">
        <f>SUM(B28:G28)</f>
        <v>0.3089354118280821</v>
      </c>
    </row>
    <row r="29" spans="1:8" ht="12" customHeight="1" x14ac:dyDescent="0.25">
      <c r="A29" s="1168" t="s">
        <v>943</v>
      </c>
      <c r="B29" s="1169"/>
      <c r="C29" s="1169"/>
      <c r="D29" s="1170"/>
      <c r="E29" s="604">
        <f t="shared" si="0"/>
        <v>0</v>
      </c>
      <c r="F29" s="604">
        <f t="shared" si="0"/>
        <v>0</v>
      </c>
      <c r="G29" s="605">
        <f t="shared" si="0"/>
        <v>0</v>
      </c>
      <c r="H29" s="606">
        <f>SUM(E29:G29)</f>
        <v>0</v>
      </c>
    </row>
    <row r="30" spans="1:8" ht="12.75" customHeight="1" x14ac:dyDescent="0.25">
      <c r="A30" s="1168" t="s">
        <v>944</v>
      </c>
      <c r="B30" s="1169"/>
      <c r="C30" s="1169"/>
      <c r="D30" s="1170"/>
      <c r="E30" s="1170"/>
      <c r="F30" s="604">
        <f t="shared" si="0"/>
        <v>0</v>
      </c>
      <c r="G30" s="605">
        <f t="shared" si="0"/>
        <v>0</v>
      </c>
      <c r="H30" s="606">
        <f>SUM(F30:G30)</f>
        <v>0</v>
      </c>
    </row>
    <row r="31" spans="1:8" ht="12" customHeight="1" thickBot="1" x14ac:dyDescent="0.3">
      <c r="A31" s="1171" t="s">
        <v>945</v>
      </c>
      <c r="B31" s="1172"/>
      <c r="C31" s="1172"/>
      <c r="D31" s="1172"/>
      <c r="E31" s="1172"/>
      <c r="F31" s="1172"/>
      <c r="G31" s="611">
        <f>G39/$H$40</f>
        <v>0</v>
      </c>
      <c r="H31" s="612">
        <f>SUM(B31:G31)</f>
        <v>0</v>
      </c>
    </row>
    <row r="32" spans="1:8" ht="12" customHeight="1" thickTop="1" x14ac:dyDescent="0.25">
      <c r="A32" s="627" t="s">
        <v>483</v>
      </c>
      <c r="B32" s="628">
        <f>SUM(B26:B31)</f>
        <v>5.3237271739321655E-2</v>
      </c>
      <c r="C32" s="628">
        <f>SUM(C26:C31)</f>
        <v>0.12756546328651927</v>
      </c>
      <c r="D32" s="628">
        <f>SUM(D26:D31)</f>
        <v>0.20479931624353981</v>
      </c>
      <c r="E32" s="628">
        <f>SUM(E26:E29)</f>
        <v>0.20479931624353981</v>
      </c>
      <c r="F32" s="628">
        <f>SUM(F26:F30)</f>
        <v>0.20479931624353981</v>
      </c>
      <c r="G32" s="629">
        <f>SUM(G26:G31)</f>
        <v>0.20479931624353981</v>
      </c>
      <c r="H32" s="630">
        <f>SUM(B32:G32)</f>
        <v>1</v>
      </c>
    </row>
    <row r="33" spans="1:14" x14ac:dyDescent="0.25">
      <c r="A33" s="1829" t="s">
        <v>74</v>
      </c>
      <c r="B33" s="1830"/>
      <c r="C33" s="1830"/>
      <c r="D33" s="1830"/>
      <c r="E33" s="1830"/>
      <c r="F33" s="1830"/>
      <c r="G33" s="1830"/>
      <c r="H33" s="1831"/>
    </row>
    <row r="34" spans="1:14" x14ac:dyDescent="0.25">
      <c r="A34" s="1168" t="str">
        <f t="shared" ref="A34:A39" si="1">A26</f>
        <v>2015 CDM Programs</v>
      </c>
      <c r="B34" s="613">
        <f>1278913.4082499/1000</f>
        <v>1278.9134082498999</v>
      </c>
      <c r="C34" s="613">
        <f>B34</f>
        <v>1278.9134082498999</v>
      </c>
      <c r="D34" s="613">
        <f t="shared" ref="D34:G34" si="2">C34</f>
        <v>1278.9134082498999</v>
      </c>
      <c r="E34" s="613">
        <f t="shared" si="2"/>
        <v>1278.9134082498999</v>
      </c>
      <c r="F34" s="613">
        <f t="shared" si="2"/>
        <v>1278.9134082498999</v>
      </c>
      <c r="G34" s="613">
        <f t="shared" si="2"/>
        <v>1278.9134082498999</v>
      </c>
      <c r="H34" s="615">
        <f>SUM(B34:G34)</f>
        <v>7673.4804494994005</v>
      </c>
    </row>
    <row r="35" spans="1:14" x14ac:dyDescent="0.25">
      <c r="A35" s="1168" t="str">
        <f t="shared" si="1"/>
        <v>2016 CDM Programs</v>
      </c>
      <c r="B35" s="1173"/>
      <c r="C35" s="616">
        <v>1785.578367842355</v>
      </c>
      <c r="D35" s="1174">
        <f>C35</f>
        <v>1785.578367842355</v>
      </c>
      <c r="E35" s="1174">
        <f>D35</f>
        <v>1785.578367842355</v>
      </c>
      <c r="F35" s="1174">
        <f t="shared" ref="F35:G35" si="3">E35</f>
        <v>1785.578367842355</v>
      </c>
      <c r="G35" s="1174">
        <f t="shared" si="3"/>
        <v>1785.578367842355</v>
      </c>
      <c r="H35" s="615">
        <f>SUM(B35:G35)</f>
        <v>8927.8918392117739</v>
      </c>
      <c r="K35" s="600">
        <v>2011</v>
      </c>
      <c r="L35" s="600">
        <v>2012</v>
      </c>
      <c r="M35" s="600">
        <v>2013</v>
      </c>
      <c r="N35" s="600">
        <v>2014</v>
      </c>
    </row>
    <row r="36" spans="1:14" x14ac:dyDescent="0.25">
      <c r="A36" s="1168" t="str">
        <f t="shared" si="1"/>
        <v>2017 CDM Programs</v>
      </c>
      <c r="B36" s="1173"/>
      <c r="C36" s="1173"/>
      <c r="D36" s="616">
        <v>1855.3807678423552</v>
      </c>
      <c r="E36" s="1174">
        <f>D36</f>
        <v>1855.3807678423552</v>
      </c>
      <c r="F36" s="1174">
        <f t="shared" ref="F36:G36" si="4">E36</f>
        <v>1855.3807678423552</v>
      </c>
      <c r="G36" s="1174">
        <f t="shared" si="4"/>
        <v>1855.3807678423552</v>
      </c>
      <c r="H36" s="615">
        <f>SUM(B36:G36)</f>
        <v>7421.5230713694209</v>
      </c>
      <c r="J36" s="600" t="s">
        <v>1272</v>
      </c>
      <c r="K36" s="608">
        <f>50%</f>
        <v>0.5</v>
      </c>
      <c r="L36" s="609">
        <v>1</v>
      </c>
      <c r="M36" s="610">
        <v>1</v>
      </c>
      <c r="N36" s="610">
        <v>1</v>
      </c>
    </row>
    <row r="37" spans="1:14" x14ac:dyDescent="0.25">
      <c r="A37" s="1168" t="str">
        <f t="shared" si="1"/>
        <v>2018 CDM Programs</v>
      </c>
      <c r="B37" s="1173"/>
      <c r="C37" s="1173"/>
      <c r="D37" s="1173"/>
      <c r="E37" s="613"/>
      <c r="F37" s="613"/>
      <c r="G37" s="614"/>
      <c r="H37" s="615">
        <f>SUM(E37:G37)</f>
        <v>0</v>
      </c>
      <c r="J37" s="600" t="s">
        <v>1273</v>
      </c>
      <c r="L37" s="609">
        <v>0.5</v>
      </c>
      <c r="M37" s="610">
        <v>1</v>
      </c>
      <c r="N37" s="610">
        <v>1</v>
      </c>
    </row>
    <row r="38" spans="1:14" x14ac:dyDescent="0.25">
      <c r="A38" s="1168" t="str">
        <f t="shared" si="1"/>
        <v>2019 CDM Programs</v>
      </c>
      <c r="B38" s="1173"/>
      <c r="C38" s="1173"/>
      <c r="D38" s="1173"/>
      <c r="E38" s="1173"/>
      <c r="F38" s="613"/>
      <c r="G38" s="614"/>
      <c r="H38" s="615">
        <f>SUM(F38:G38)</f>
        <v>0</v>
      </c>
      <c r="J38" s="600" t="s">
        <v>1274</v>
      </c>
      <c r="M38" s="610">
        <v>0.5</v>
      </c>
      <c r="N38" s="610">
        <v>1</v>
      </c>
    </row>
    <row r="39" spans="1:14" ht="15.75" thickBot="1" x14ac:dyDescent="0.3">
      <c r="A39" s="1171" t="str">
        <f t="shared" si="1"/>
        <v>2020 CDM Programs</v>
      </c>
      <c r="B39" s="1175"/>
      <c r="C39" s="1175"/>
      <c r="D39" s="1175"/>
      <c r="E39" s="1175"/>
      <c r="F39" s="1175"/>
      <c r="G39" s="617"/>
      <c r="H39" s="618">
        <f>SUM(B39:G39)</f>
        <v>0</v>
      </c>
      <c r="J39" s="600" t="s">
        <v>1275</v>
      </c>
      <c r="N39" s="610">
        <v>0.5</v>
      </c>
    </row>
    <row r="40" spans="1:14" ht="16.5" thickTop="1" thickBot="1" x14ac:dyDescent="0.3">
      <c r="A40" s="619" t="s">
        <v>483</v>
      </c>
      <c r="B40" s="620">
        <f>SUM(B34:B39)</f>
        <v>1278.9134082498999</v>
      </c>
      <c r="C40" s="620">
        <f>SUM(C34:C39)</f>
        <v>3064.4917760922549</v>
      </c>
      <c r="D40" s="620">
        <f>SUM(D34:D39)</f>
        <v>4919.8725439346099</v>
      </c>
      <c r="E40" s="620">
        <f>SUM(E34:E37)</f>
        <v>4919.8725439346099</v>
      </c>
      <c r="F40" s="620">
        <f>SUM(F34:F38)</f>
        <v>4919.8725439346099</v>
      </c>
      <c r="G40" s="621">
        <f>SUM(G34:G39)</f>
        <v>4919.8725439346099</v>
      </c>
      <c r="H40" s="1489">
        <f>SUM(H34:H39)</f>
        <v>24022.895360080594</v>
      </c>
    </row>
    <row r="41" spans="1:14" ht="12" customHeight="1" x14ac:dyDescent="0.25">
      <c r="A41" s="622"/>
      <c r="B41" s="623"/>
      <c r="C41" s="623"/>
      <c r="D41" s="623"/>
      <c r="E41" s="623"/>
      <c r="F41" s="623"/>
    </row>
    <row r="42" spans="1:14" ht="96.75" customHeight="1" x14ac:dyDescent="0.25">
      <c r="A42" s="1843" t="s">
        <v>1281</v>
      </c>
      <c r="B42" s="1843"/>
      <c r="C42" s="1843"/>
      <c r="D42" s="1843"/>
      <c r="E42" s="1843"/>
      <c r="F42" s="1843"/>
      <c r="H42" s="1176"/>
    </row>
    <row r="43" spans="1:14" x14ac:dyDescent="0.25">
      <c r="A43" s="622"/>
      <c r="B43" s="623"/>
      <c r="C43" s="623"/>
      <c r="D43" s="623"/>
      <c r="E43" s="623"/>
      <c r="F43" s="623"/>
    </row>
    <row r="44" spans="1:14" ht="18.75" x14ac:dyDescent="0.3">
      <c r="A44" s="1844" t="s">
        <v>1124</v>
      </c>
      <c r="B44" s="1844"/>
      <c r="C44" s="1844"/>
      <c r="D44" s="1844"/>
      <c r="E44" s="1844"/>
      <c r="F44" s="1844"/>
      <c r="G44" s="1844"/>
      <c r="H44" s="1844"/>
    </row>
    <row r="45" spans="1:14" x14ac:dyDescent="0.25">
      <c r="A45" s="622"/>
      <c r="B45" s="623"/>
      <c r="C45" s="623"/>
      <c r="D45" s="623"/>
      <c r="E45" s="623"/>
      <c r="F45" s="623"/>
    </row>
    <row r="46" spans="1:14" ht="52.5" customHeight="1" x14ac:dyDescent="0.25">
      <c r="A46" s="1845" t="s">
        <v>1282</v>
      </c>
      <c r="B46" s="1835"/>
      <c r="C46" s="1835"/>
      <c r="D46" s="1835"/>
      <c r="E46" s="1835"/>
      <c r="F46" s="1835"/>
      <c r="G46" s="1835"/>
      <c r="H46" s="1835"/>
    </row>
    <row r="47" spans="1:14" ht="12" customHeight="1" x14ac:dyDescent="0.25">
      <c r="A47" s="622"/>
      <c r="B47" s="623"/>
      <c r="C47" s="623"/>
      <c r="D47" s="623"/>
      <c r="E47" s="623"/>
      <c r="F47" s="623"/>
    </row>
    <row r="48" spans="1:14" ht="44.25" customHeight="1" x14ac:dyDescent="0.25">
      <c r="A48" s="1846" t="s">
        <v>1125</v>
      </c>
      <c r="B48" s="1835"/>
      <c r="C48" s="1835"/>
      <c r="D48" s="1835"/>
      <c r="E48" s="1835"/>
      <c r="F48" s="1835"/>
      <c r="G48" s="1835"/>
      <c r="H48" s="1835"/>
    </row>
    <row r="49" spans="1:8" ht="15.75" thickBot="1" x14ac:dyDescent="0.3">
      <c r="A49" s="1177"/>
      <c r="B49" s="1178"/>
      <c r="C49" s="1178"/>
      <c r="D49" s="1178"/>
      <c r="E49" s="1178"/>
      <c r="F49" s="1178"/>
    </row>
    <row r="50" spans="1:8" ht="13.5" customHeight="1" x14ac:dyDescent="0.25">
      <c r="A50" s="1847" t="s">
        <v>484</v>
      </c>
      <c r="B50" s="1848"/>
      <c r="C50" s="1848"/>
      <c r="D50" s="1848"/>
      <c r="E50" s="1848"/>
      <c r="F50" s="1849"/>
    </row>
    <row r="51" spans="1:8" ht="12.75" customHeight="1" x14ac:dyDescent="0.25">
      <c r="A51" s="631"/>
      <c r="B51" s="632"/>
      <c r="C51" s="632"/>
      <c r="D51" s="632"/>
      <c r="E51" s="632"/>
      <c r="F51" s="633"/>
    </row>
    <row r="52" spans="1:8" ht="14.25" customHeight="1" x14ac:dyDescent="0.25">
      <c r="A52" s="1839" t="s">
        <v>622</v>
      </c>
      <c r="B52" s="1840"/>
      <c r="C52" s="1840"/>
      <c r="D52" s="1840"/>
      <c r="E52" s="1840"/>
      <c r="F52" s="634" t="s">
        <v>623</v>
      </c>
    </row>
    <row r="53" spans="1:8" x14ac:dyDescent="0.25">
      <c r="A53" s="635"/>
      <c r="B53" s="636"/>
      <c r="C53" s="636"/>
      <c r="D53" s="636"/>
      <c r="E53" s="636"/>
      <c r="F53" s="637"/>
    </row>
    <row r="54" spans="1:8" ht="30" x14ac:dyDescent="0.25">
      <c r="A54" s="1179"/>
      <c r="B54" s="1180"/>
      <c r="C54" s="632" t="s">
        <v>492</v>
      </c>
      <c r="D54" s="632" t="s">
        <v>493</v>
      </c>
      <c r="E54" s="632" t="s">
        <v>73</v>
      </c>
      <c r="F54" s="1161" t="s">
        <v>494</v>
      </c>
    </row>
    <row r="55" spans="1:8" x14ac:dyDescent="0.25">
      <c r="A55" s="1841" t="s">
        <v>1126</v>
      </c>
      <c r="B55" s="1842"/>
      <c r="C55" s="638" t="s">
        <v>74</v>
      </c>
      <c r="D55" s="638" t="s">
        <v>74</v>
      </c>
      <c r="E55" s="638" t="s">
        <v>74</v>
      </c>
      <c r="F55" s="639" t="s">
        <v>495</v>
      </c>
    </row>
    <row r="56" spans="1:8" x14ac:dyDescent="0.25">
      <c r="A56" s="1181" t="s">
        <v>496</v>
      </c>
      <c r="B56" s="1182"/>
      <c r="C56" s="640"/>
      <c r="D56" s="640"/>
      <c r="E56" s="641" t="str">
        <f t="shared" ref="E56:E61" si="5">IF(ISBLANK(D56),"",C56-D56)</f>
        <v/>
      </c>
      <c r="F56" s="642"/>
    </row>
    <row r="57" spans="1:8" x14ac:dyDescent="0.25">
      <c r="A57" s="1181" t="s">
        <v>497</v>
      </c>
      <c r="B57" s="1182"/>
      <c r="C57" s="643"/>
      <c r="D57" s="643"/>
      <c r="E57" s="641" t="str">
        <f t="shared" si="5"/>
        <v/>
      </c>
      <c r="F57" s="642"/>
    </row>
    <row r="58" spans="1:8" x14ac:dyDescent="0.25">
      <c r="A58" s="1181" t="s">
        <v>498</v>
      </c>
      <c r="B58" s="1182"/>
      <c r="C58" s="640"/>
      <c r="D58" s="640"/>
      <c r="E58" s="641" t="str">
        <f t="shared" si="5"/>
        <v/>
      </c>
      <c r="F58" s="642"/>
    </row>
    <row r="59" spans="1:8" x14ac:dyDescent="0.25">
      <c r="A59" s="1181" t="s">
        <v>946</v>
      </c>
      <c r="B59" s="1182"/>
      <c r="C59" s="640"/>
      <c r="D59" s="640"/>
      <c r="E59" s="641" t="str">
        <f t="shared" si="5"/>
        <v/>
      </c>
      <c r="F59" s="642"/>
    </row>
    <row r="60" spans="1:8" x14ac:dyDescent="0.25">
      <c r="A60" s="1181" t="s">
        <v>1023</v>
      </c>
      <c r="B60" s="1182"/>
      <c r="C60" s="640"/>
      <c r="D60" s="640"/>
      <c r="E60" s="641" t="str">
        <f t="shared" si="5"/>
        <v/>
      </c>
      <c r="F60" s="642"/>
    </row>
    <row r="61" spans="1:8" ht="15.75" thickBot="1" x14ac:dyDescent="0.3">
      <c r="A61" s="1183" t="s">
        <v>1127</v>
      </c>
      <c r="B61" s="1184"/>
      <c r="C61" s="644"/>
      <c r="D61" s="644"/>
      <c r="E61" s="1185" t="str">
        <f t="shared" si="5"/>
        <v/>
      </c>
      <c r="F61" s="1186"/>
    </row>
    <row r="62" spans="1:8" ht="16.5" thickTop="1" thickBot="1" x14ac:dyDescent="0.3">
      <c r="A62" s="1832" t="s">
        <v>1128</v>
      </c>
      <c r="B62" s="1833"/>
      <c r="C62" s="1187">
        <f>SUM(C56:C61)</f>
        <v>0</v>
      </c>
      <c r="D62" s="1187">
        <f>SUM(D56:D61)</f>
        <v>0</v>
      </c>
      <c r="E62" s="1188">
        <f>C62-D62</f>
        <v>0</v>
      </c>
      <c r="F62" s="645">
        <f>IF(D62=0,0,IF(F52="net",0,E62/D62))</f>
        <v>0</v>
      </c>
    </row>
    <row r="63" spans="1:8" ht="12" customHeight="1" x14ac:dyDescent="0.25">
      <c r="A63" s="646"/>
      <c r="B63" s="646"/>
      <c r="C63" s="1189"/>
      <c r="D63" s="1189"/>
      <c r="E63" s="1190"/>
      <c r="F63" s="647"/>
    </row>
    <row r="64" spans="1:8" ht="33.75" customHeight="1" x14ac:dyDescent="0.25">
      <c r="A64" s="1834" t="s">
        <v>1283</v>
      </c>
      <c r="B64" s="1835"/>
      <c r="C64" s="1835"/>
      <c r="D64" s="1835"/>
      <c r="E64" s="1835"/>
      <c r="F64" s="1835"/>
      <c r="G64" s="1835"/>
      <c r="H64" s="1835"/>
    </row>
    <row r="65" spans="1:8" x14ac:dyDescent="0.25">
      <c r="A65" s="1191"/>
      <c r="B65" s="1191"/>
      <c r="C65" s="1191"/>
      <c r="D65" s="1191"/>
      <c r="E65" s="1191"/>
      <c r="F65" s="1191"/>
      <c r="G65" s="1191"/>
      <c r="H65" s="1191"/>
    </row>
    <row r="66" spans="1:8" ht="35.25" customHeight="1" x14ac:dyDescent="0.25">
      <c r="A66" s="1834" t="s">
        <v>1284</v>
      </c>
      <c r="B66" s="1835"/>
      <c r="C66" s="1835"/>
      <c r="D66" s="1835"/>
      <c r="E66" s="1835"/>
      <c r="F66" s="1835"/>
      <c r="G66" s="1835"/>
      <c r="H66" s="1835"/>
    </row>
    <row r="67" spans="1:8" x14ac:dyDescent="0.25">
      <c r="A67" s="646"/>
      <c r="B67" s="648"/>
      <c r="C67" s="1189"/>
      <c r="D67" s="1189"/>
      <c r="E67" s="1189"/>
      <c r="F67" s="647"/>
    </row>
    <row r="68" spans="1:8" ht="15.75" thickBot="1" x14ac:dyDescent="0.3">
      <c r="A68" s="1836" t="s">
        <v>1129</v>
      </c>
      <c r="B68" s="1836"/>
      <c r="C68" s="1836"/>
      <c r="D68" s="1836"/>
      <c r="E68" s="1836"/>
      <c r="F68" s="1836"/>
      <c r="G68" s="649"/>
    </row>
    <row r="69" spans="1:8" x14ac:dyDescent="0.25">
      <c r="A69" s="650"/>
      <c r="B69" s="651">
        <v>2015</v>
      </c>
      <c r="C69" s="651">
        <v>2016</v>
      </c>
      <c r="D69" s="651">
        <v>2017</v>
      </c>
      <c r="E69" s="651">
        <v>2018</v>
      </c>
      <c r="F69" s="652">
        <v>2019</v>
      </c>
      <c r="G69" s="652">
        <v>2020</v>
      </c>
      <c r="H69" s="653"/>
    </row>
    <row r="70" spans="1:8" ht="51" x14ac:dyDescent="0.25">
      <c r="A70" s="654" t="s">
        <v>485</v>
      </c>
      <c r="B70" s="655">
        <v>0.5</v>
      </c>
      <c r="C70" s="655">
        <v>1</v>
      </c>
      <c r="D70" s="655">
        <v>0.5</v>
      </c>
      <c r="E70" s="1192">
        <v>0</v>
      </c>
      <c r="F70" s="1192">
        <v>0</v>
      </c>
      <c r="G70" s="1192">
        <v>0</v>
      </c>
      <c r="H70" s="656" t="s">
        <v>947</v>
      </c>
    </row>
    <row r="71" spans="1:8" ht="214.5" customHeight="1" thickBot="1" x14ac:dyDescent="0.3">
      <c r="A71" s="657" t="s">
        <v>486</v>
      </c>
      <c r="B71" s="659" t="s">
        <v>1130</v>
      </c>
      <c r="C71" s="658" t="s">
        <v>1022</v>
      </c>
      <c r="D71" s="658" t="s">
        <v>1021</v>
      </c>
      <c r="E71" s="1837" t="s">
        <v>1131</v>
      </c>
      <c r="F71" s="1837"/>
      <c r="G71" s="1837"/>
      <c r="H71" s="645"/>
    </row>
    <row r="72" spans="1:8" x14ac:dyDescent="0.25">
      <c r="A72" s="660"/>
      <c r="B72" s="661"/>
      <c r="C72" s="661"/>
      <c r="D72" s="661"/>
      <c r="E72" s="661"/>
      <c r="F72" s="661"/>
      <c r="G72" s="647"/>
    </row>
    <row r="73" spans="1:8" ht="21.75" customHeight="1" x14ac:dyDescent="0.25">
      <c r="A73" s="1838" t="s">
        <v>1132</v>
      </c>
      <c r="B73" s="1838"/>
      <c r="C73" s="1838"/>
      <c r="D73" s="1838"/>
      <c r="E73" s="1838"/>
      <c r="F73" s="1838"/>
      <c r="G73" s="1838"/>
      <c r="H73" s="1838"/>
    </row>
    <row r="74" spans="1:8" ht="13.5" customHeight="1" x14ac:dyDescent="0.25">
      <c r="A74" s="1159"/>
      <c r="B74" s="1159"/>
      <c r="C74" s="1159"/>
      <c r="D74" s="1159"/>
      <c r="E74" s="1159"/>
      <c r="F74" s="1159"/>
      <c r="G74" s="1159"/>
      <c r="H74" s="1159"/>
    </row>
    <row r="75" spans="1:8" ht="33.75" customHeight="1" x14ac:dyDescent="0.25">
      <c r="A75" s="1823" t="s">
        <v>1133</v>
      </c>
      <c r="B75" s="1823"/>
      <c r="C75" s="1823"/>
      <c r="D75" s="1823"/>
      <c r="E75" s="1823"/>
      <c r="F75" s="1823"/>
      <c r="G75" s="1823"/>
      <c r="H75" s="1823"/>
    </row>
    <row r="76" spans="1:8" ht="13.5" customHeight="1" x14ac:dyDescent="0.25">
      <c r="A76" s="646"/>
      <c r="B76" s="661"/>
      <c r="C76" s="661"/>
      <c r="D76" s="661"/>
      <c r="E76" s="661"/>
      <c r="F76" s="647"/>
    </row>
    <row r="77" spans="1:8" ht="30.75" customHeight="1" x14ac:dyDescent="0.25">
      <c r="A77" s="1824" t="s">
        <v>1285</v>
      </c>
      <c r="B77" s="1823"/>
      <c r="C77" s="1823"/>
      <c r="D77" s="1823"/>
      <c r="E77" s="1823"/>
      <c r="F77" s="1823"/>
      <c r="G77" s="1823"/>
      <c r="H77" s="1823"/>
    </row>
    <row r="78" spans="1:8" x14ac:dyDescent="0.25">
      <c r="A78" s="1193"/>
      <c r="B78" s="1193"/>
      <c r="C78" s="1193"/>
      <c r="D78" s="1193"/>
      <c r="E78" s="1193"/>
      <c r="F78" s="1193"/>
    </row>
    <row r="79" spans="1:8" ht="31.5" customHeight="1" x14ac:dyDescent="0.25">
      <c r="A79" s="1825" t="s">
        <v>1134</v>
      </c>
      <c r="B79" s="1825"/>
      <c r="C79" s="1825"/>
      <c r="D79" s="1825"/>
      <c r="E79" s="1825"/>
      <c r="F79" s="1825"/>
      <c r="G79" s="1825"/>
      <c r="H79" s="1825"/>
    </row>
    <row r="80" spans="1:8" x14ac:dyDescent="0.25">
      <c r="A80" s="1193"/>
      <c r="B80" s="1193"/>
      <c r="C80" s="1193"/>
      <c r="D80" s="1193"/>
      <c r="E80" s="1193"/>
      <c r="F80" s="1193"/>
    </row>
    <row r="81" spans="1:8" ht="30" customHeight="1" x14ac:dyDescent="0.25">
      <c r="A81" s="1823" t="s">
        <v>1135</v>
      </c>
      <c r="B81" s="1823"/>
      <c r="C81" s="1823"/>
      <c r="D81" s="1823"/>
      <c r="E81" s="1823"/>
      <c r="F81" s="1823"/>
      <c r="G81" s="1823"/>
      <c r="H81" s="1823"/>
    </row>
    <row r="82" spans="1:8" ht="12" customHeight="1" x14ac:dyDescent="0.25">
      <c r="A82" s="1193"/>
      <c r="B82" s="1193"/>
      <c r="C82" s="1193"/>
      <c r="D82" s="1193"/>
      <c r="E82" s="1193"/>
      <c r="F82" s="1193"/>
    </row>
    <row r="83" spans="1:8" ht="45.75" customHeight="1" x14ac:dyDescent="0.25">
      <c r="A83" s="1824" t="s">
        <v>1286</v>
      </c>
      <c r="B83" s="1823"/>
      <c r="C83" s="1823"/>
      <c r="D83" s="1823"/>
      <c r="E83" s="1823"/>
      <c r="F83" s="1823"/>
      <c r="G83" s="1823"/>
      <c r="H83" s="1823"/>
    </row>
    <row r="84" spans="1:8" x14ac:dyDescent="0.25">
      <c r="A84" s="1193"/>
      <c r="B84" s="1193"/>
      <c r="C84" s="1193"/>
      <c r="D84" s="1193"/>
      <c r="E84" s="1193"/>
      <c r="F84" s="1193"/>
    </row>
    <row r="85" spans="1:8" ht="33" customHeight="1" x14ac:dyDescent="0.25">
      <c r="A85" s="1823" t="s">
        <v>1140</v>
      </c>
      <c r="B85" s="1823"/>
      <c r="C85" s="1823"/>
      <c r="D85" s="1823"/>
      <c r="E85" s="1823"/>
      <c r="F85" s="1823"/>
      <c r="G85" s="1823"/>
      <c r="H85" s="1823"/>
    </row>
    <row r="86" spans="1:8" ht="15.75" thickBot="1" x14ac:dyDescent="0.3">
      <c r="A86" s="646"/>
      <c r="B86" s="648"/>
      <c r="C86" s="1189"/>
      <c r="D86" s="1189"/>
      <c r="E86" s="1189"/>
      <c r="F86" s="647"/>
    </row>
    <row r="87" spans="1:8" x14ac:dyDescent="0.25">
      <c r="A87" s="1194"/>
      <c r="B87" s="662">
        <v>2015</v>
      </c>
      <c r="C87" s="662">
        <v>2016</v>
      </c>
      <c r="D87" s="1160">
        <v>2017</v>
      </c>
      <c r="E87" s="1195">
        <v>2018</v>
      </c>
      <c r="F87" s="1195">
        <v>2019</v>
      </c>
      <c r="G87" s="662">
        <v>2020</v>
      </c>
      <c r="H87" s="663" t="s">
        <v>1136</v>
      </c>
    </row>
    <row r="88" spans="1:8" x14ac:dyDescent="0.25">
      <c r="A88" s="1196"/>
      <c r="B88" s="1197"/>
      <c r="C88" s="1197"/>
      <c r="D88" s="1197"/>
      <c r="E88" s="1197"/>
      <c r="F88" s="1197"/>
      <c r="G88" s="1197"/>
      <c r="H88" s="1198"/>
    </row>
    <row r="89" spans="1:8" ht="29.25" customHeight="1" thickBot="1" x14ac:dyDescent="0.3">
      <c r="A89" s="1199" t="s">
        <v>1137</v>
      </c>
      <c r="B89" s="1200"/>
      <c r="C89" s="1201">
        <f>D35</f>
        <v>1785.578367842355</v>
      </c>
      <c r="D89" s="1201">
        <f>D36</f>
        <v>1855.3807678423552</v>
      </c>
      <c r="E89" s="1201"/>
      <c r="F89" s="1201"/>
      <c r="G89" s="1202"/>
      <c r="H89" s="1203">
        <f>SUM(B89:G89)</f>
        <v>3640.9591356847104</v>
      </c>
    </row>
    <row r="90" spans="1:8" ht="13.5" customHeight="1" thickTop="1" thickBot="1" x14ac:dyDescent="0.3">
      <c r="A90" s="1204"/>
      <c r="B90" s="1205"/>
      <c r="C90" s="1206"/>
      <c r="D90" s="1206"/>
      <c r="E90" s="1206"/>
      <c r="F90" s="1205"/>
      <c r="G90" s="1205"/>
      <c r="H90" s="1207"/>
    </row>
    <row r="91" spans="1:8" ht="29.25" customHeight="1" thickTop="1" x14ac:dyDescent="0.25">
      <c r="A91" s="1208" t="s">
        <v>1138</v>
      </c>
      <c r="B91" s="664">
        <f>D34*(1+F62)*B70</f>
        <v>639.45670412494997</v>
      </c>
      <c r="C91" s="665">
        <f>C89*(1+F62)*C70</f>
        <v>1785.578367842355</v>
      </c>
      <c r="D91" s="665">
        <f>D89*(1+F62)*D70</f>
        <v>927.69038392117761</v>
      </c>
      <c r="E91" s="665">
        <f>E89*(1+E62)*E70</f>
        <v>0</v>
      </c>
      <c r="F91" s="665">
        <f>F89*(1+F62)*F70</f>
        <v>0</v>
      </c>
      <c r="G91" s="666">
        <f>G89*(1+F62)*G70</f>
        <v>0</v>
      </c>
      <c r="H91" s="667">
        <f>SUM(B91:G91)</f>
        <v>3352.7254558884829</v>
      </c>
    </row>
    <row r="92" spans="1:8" ht="12" customHeight="1" x14ac:dyDescent="0.25">
      <c r="A92" s="1196"/>
      <c r="B92" s="668"/>
      <c r="C92" s="668"/>
      <c r="D92" s="668"/>
      <c r="E92" s="668"/>
      <c r="F92" s="669"/>
      <c r="G92" s="668"/>
      <c r="H92" s="670"/>
    </row>
    <row r="93" spans="1:8" ht="41.25" customHeight="1" x14ac:dyDescent="0.25">
      <c r="A93" s="1211" t="s">
        <v>499</v>
      </c>
      <c r="B93" s="671">
        <v>6.7500000000000004E-2</v>
      </c>
      <c r="C93" s="672" t="s">
        <v>500</v>
      </c>
      <c r="D93" s="673"/>
      <c r="E93" s="672"/>
      <c r="F93" s="672"/>
      <c r="G93" s="674"/>
      <c r="H93" s="675"/>
    </row>
    <row r="94" spans="1:8" ht="21.75" customHeight="1" thickBot="1" x14ac:dyDescent="0.3">
      <c r="A94" s="1209" t="s">
        <v>1139</v>
      </c>
      <c r="B94" s="676">
        <f t="shared" ref="B94:G94" si="6">B91*(1+$B93)</f>
        <v>682.62003165338399</v>
      </c>
      <c r="C94" s="676">
        <f t="shared" si="6"/>
        <v>1906.1049076717138</v>
      </c>
      <c r="D94" s="676">
        <f t="shared" si="6"/>
        <v>990.30948483585701</v>
      </c>
      <c r="E94" s="676">
        <f t="shared" si="6"/>
        <v>0</v>
      </c>
      <c r="F94" s="676">
        <f t="shared" si="6"/>
        <v>0</v>
      </c>
      <c r="G94" s="677">
        <f t="shared" si="6"/>
        <v>0</v>
      </c>
      <c r="H94" s="678">
        <f>SUM(B94:G94)</f>
        <v>3579.0344241609546</v>
      </c>
    </row>
    <row r="95" spans="1:8" ht="15.75" customHeight="1" x14ac:dyDescent="0.25">
      <c r="A95" s="1210"/>
      <c r="B95" s="672"/>
      <c r="C95" s="672"/>
      <c r="D95" s="672"/>
      <c r="E95" s="672"/>
      <c r="F95" s="672"/>
      <c r="G95" s="672"/>
      <c r="H95" s="672"/>
    </row>
    <row r="96" spans="1:8" ht="16.5" customHeight="1" x14ac:dyDescent="0.25">
      <c r="A96" s="1822" t="s">
        <v>1287</v>
      </c>
      <c r="B96" s="1822"/>
      <c r="C96" s="1822"/>
      <c r="D96" s="1822"/>
      <c r="E96" s="1822"/>
      <c r="F96" s="1822"/>
      <c r="G96" s="1822"/>
      <c r="H96" s="1822"/>
    </row>
    <row r="97" ht="62.25" customHeight="1" x14ac:dyDescent="0.25"/>
    <row r="98" ht="288.75" customHeight="1" x14ac:dyDescent="0.25"/>
    <row r="99" ht="12" customHeight="1" x14ac:dyDescent="0.25"/>
    <row r="100" ht="19.5" customHeight="1" x14ac:dyDescent="0.25"/>
    <row r="101" ht="13.5" customHeight="1" x14ac:dyDescent="0.25"/>
    <row r="102" ht="75.75" customHeight="1" x14ac:dyDescent="0.25"/>
    <row r="103" ht="12" customHeight="1" x14ac:dyDescent="0.25"/>
    <row r="104" ht="57.75" customHeight="1" x14ac:dyDescent="0.25"/>
    <row r="105" ht="12" customHeight="1" x14ac:dyDescent="0.25"/>
    <row r="108" ht="29.25" customHeight="1" x14ac:dyDescent="0.25"/>
    <row r="109" ht="12" customHeight="1" x14ac:dyDescent="0.25"/>
    <row r="110" ht="46.5" customHeight="1" x14ac:dyDescent="0.25"/>
    <row r="111" ht="12" customHeight="1" x14ac:dyDescent="0.25"/>
    <row r="112" ht="30" customHeight="1" x14ac:dyDescent="0.25"/>
    <row r="113" spans="1:15" ht="13.5" customHeight="1" x14ac:dyDescent="0.25"/>
    <row r="117" spans="1:15" ht="12" customHeight="1" x14ac:dyDescent="0.25"/>
    <row r="118" spans="1:15" ht="63" customHeight="1" x14ac:dyDescent="0.25"/>
    <row r="119" spans="1:15" ht="12" customHeight="1" x14ac:dyDescent="0.25"/>
    <row r="121" spans="1:15" ht="12" customHeight="1" x14ac:dyDescent="0.25"/>
    <row r="123" spans="1:15" ht="12" customHeight="1" x14ac:dyDescent="0.25"/>
    <row r="125" spans="1:15" x14ac:dyDescent="0.25">
      <c r="I125" s="607"/>
      <c r="J125" s="649"/>
      <c r="O125" s="649"/>
    </row>
    <row r="126" spans="1:15" ht="12" customHeight="1" x14ac:dyDescent="0.25"/>
    <row r="127" spans="1:15" ht="31.5" customHeight="1" x14ac:dyDescent="0.25"/>
    <row r="128" spans="1:15" x14ac:dyDescent="0.25">
      <c r="A128" s="603"/>
      <c r="B128" s="603"/>
      <c r="C128" s="603"/>
      <c r="D128" s="603"/>
      <c r="E128" s="603"/>
      <c r="F128" s="603"/>
    </row>
    <row r="129" spans="1:6" x14ac:dyDescent="0.25">
      <c r="A129" s="679"/>
      <c r="B129" s="603"/>
      <c r="C129" s="603"/>
      <c r="D129" s="603"/>
      <c r="E129" s="603"/>
      <c r="F129" s="603"/>
    </row>
    <row r="130" spans="1:6" x14ac:dyDescent="0.25">
      <c r="A130" s="603"/>
      <c r="B130" s="603"/>
      <c r="C130" s="603"/>
      <c r="D130" s="603"/>
      <c r="E130" s="603"/>
      <c r="F130" s="603"/>
    </row>
    <row r="131" spans="1:6" x14ac:dyDescent="0.25">
      <c r="A131" s="603"/>
      <c r="B131" s="603"/>
      <c r="C131" s="603"/>
      <c r="D131" s="603"/>
      <c r="E131" s="603"/>
      <c r="F131" s="603"/>
    </row>
    <row r="132" spans="1:6" x14ac:dyDescent="0.25">
      <c r="A132" s="603"/>
      <c r="B132" s="603"/>
      <c r="C132" s="603"/>
      <c r="D132" s="603"/>
      <c r="E132" s="603"/>
      <c r="F132" s="603"/>
    </row>
    <row r="133" spans="1:6" x14ac:dyDescent="0.25">
      <c r="A133" s="603"/>
      <c r="B133" s="603"/>
      <c r="C133" s="603"/>
      <c r="D133" s="603"/>
      <c r="E133" s="603"/>
      <c r="F133" s="603"/>
    </row>
    <row r="134" spans="1:6" x14ac:dyDescent="0.25">
      <c r="A134" s="603"/>
      <c r="B134" s="603"/>
      <c r="C134" s="603"/>
      <c r="D134" s="603"/>
      <c r="E134" s="603"/>
      <c r="F134" s="603"/>
    </row>
    <row r="135" spans="1:6" x14ac:dyDescent="0.25">
      <c r="A135" s="603"/>
      <c r="B135" s="603"/>
      <c r="C135" s="603"/>
      <c r="D135" s="603"/>
      <c r="E135" s="603"/>
      <c r="F135" s="603"/>
    </row>
    <row r="136" spans="1:6" x14ac:dyDescent="0.25">
      <c r="A136" s="603"/>
      <c r="B136" s="603"/>
      <c r="C136" s="603"/>
      <c r="D136" s="603"/>
      <c r="E136" s="603"/>
      <c r="F136" s="603"/>
    </row>
    <row r="137" spans="1:6" x14ac:dyDescent="0.25">
      <c r="A137" s="603"/>
      <c r="B137" s="603"/>
      <c r="C137" s="603"/>
      <c r="D137" s="603"/>
      <c r="E137" s="603"/>
      <c r="F137" s="603"/>
    </row>
    <row r="138" spans="1:6" x14ac:dyDescent="0.25">
      <c r="A138" s="603"/>
      <c r="B138" s="603"/>
      <c r="C138" s="603"/>
      <c r="D138" s="603"/>
      <c r="E138" s="603"/>
      <c r="F138" s="603"/>
    </row>
    <row r="139" spans="1:6" x14ac:dyDescent="0.25">
      <c r="A139" s="603"/>
      <c r="B139" s="603"/>
      <c r="C139" s="603"/>
      <c r="D139" s="603"/>
      <c r="E139" s="603"/>
      <c r="F139" s="603"/>
    </row>
    <row r="140" spans="1:6" x14ac:dyDescent="0.25">
      <c r="A140" s="603"/>
      <c r="B140" s="603"/>
      <c r="C140" s="603"/>
      <c r="D140" s="603"/>
      <c r="E140" s="603"/>
      <c r="F140" s="603"/>
    </row>
    <row r="141" spans="1:6" x14ac:dyDescent="0.25">
      <c r="A141" s="603"/>
      <c r="B141" s="603"/>
      <c r="C141" s="603"/>
      <c r="D141" s="603"/>
      <c r="E141" s="603"/>
      <c r="F141" s="603"/>
    </row>
  </sheetData>
  <mergeCells count="31">
    <mergeCell ref="A20:H20"/>
    <mergeCell ref="A22:H22"/>
    <mergeCell ref="A23:H23"/>
    <mergeCell ref="A18:F18"/>
    <mergeCell ref="A9:H9"/>
    <mergeCell ref="A10:H10"/>
    <mergeCell ref="A12:H12"/>
    <mergeCell ref="A14:H14"/>
    <mergeCell ref="A16:H16"/>
    <mergeCell ref="A25:H25"/>
    <mergeCell ref="A33:H33"/>
    <mergeCell ref="A62:B62"/>
    <mergeCell ref="A64:H64"/>
    <mergeCell ref="A85:H85"/>
    <mergeCell ref="A66:H66"/>
    <mergeCell ref="A68:F68"/>
    <mergeCell ref="E71:G71"/>
    <mergeCell ref="A73:H73"/>
    <mergeCell ref="A52:E52"/>
    <mergeCell ref="A55:B55"/>
    <mergeCell ref="A42:F42"/>
    <mergeCell ref="A44:H44"/>
    <mergeCell ref="A46:H46"/>
    <mergeCell ref="A48:H48"/>
    <mergeCell ref="A50:F50"/>
    <mergeCell ref="A96:H96"/>
    <mergeCell ref="A75:H75"/>
    <mergeCell ref="A77:H77"/>
    <mergeCell ref="A79:H79"/>
    <mergeCell ref="A81:H81"/>
    <mergeCell ref="A83:H83"/>
  </mergeCells>
  <conditionalFormatting sqref="H40">
    <cfRule type="expression" dxfId="395" priority="2">
      <formula>$H$40=$A$23</formula>
    </cfRule>
  </conditionalFormatting>
  <conditionalFormatting sqref="H42">
    <cfRule type="expression" dxfId="394" priority="1">
      <formula>$H$40=$A$23</formula>
    </cfRule>
  </conditionalFormatting>
  <dataValidations count="2">
    <dataValidation type="list" allowBlank="1" showInputMessage="1" showErrorMessage="1" sqref="F52">
      <formula1>"net,gross"</formula1>
    </dataValidation>
    <dataValidation type="list" allowBlank="1" showInputMessage="1" showErrorMessage="1" sqref="B70:D70">
      <formula1>"0, 0.5, 1"</formula1>
    </dataValidation>
  </dataValidations>
  <pageMargins left="0.70866141732283472" right="0.70866141732283472" top="0.74803149606299213" bottom="0.74803149606299213" header="0.31496062992125984" footer="0.31496062992125984"/>
  <pageSetup scale="61" fitToHeight="0" orientation="portrait" r:id="rId1"/>
  <rowBreaks count="3" manualBreakCount="3">
    <brk id="47" max="16383" man="1"/>
    <brk id="89" max="16383" man="1"/>
    <brk id="99"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FF00"/>
    <pageSetUpPr fitToPage="1"/>
  </sheetPr>
  <dimension ref="B3:J6"/>
  <sheetViews>
    <sheetView showGridLines="0" zoomScaleNormal="100" workbookViewId="0"/>
  </sheetViews>
  <sheetFormatPr defaultRowHeight="12.75" x14ac:dyDescent="0.2"/>
  <cols>
    <col min="1" max="1" width="2.7109375" style="43" customWidth="1"/>
    <col min="2" max="2" width="81.85546875" style="43" customWidth="1"/>
    <col min="3" max="5" width="9.140625" style="43"/>
    <col min="6" max="6" width="12.7109375" style="43" bestFit="1" customWidth="1"/>
    <col min="7" max="7" width="10.7109375" style="43" customWidth="1"/>
    <col min="8" max="16384" width="9.140625" style="43"/>
  </cols>
  <sheetData>
    <row r="3" spans="2:10" ht="18" x14ac:dyDescent="0.25">
      <c r="B3" s="1546"/>
      <c r="C3" s="1546"/>
      <c r="D3" s="1546"/>
      <c r="E3" s="1546"/>
      <c r="F3" s="1546"/>
      <c r="G3" s="1546"/>
    </row>
    <row r="4" spans="2:10" ht="18" x14ac:dyDescent="0.25">
      <c r="B4" s="1546" t="s">
        <v>107</v>
      </c>
      <c r="C4" s="1546"/>
      <c r="D4" s="1546"/>
      <c r="E4" s="1546"/>
      <c r="F4" s="1546"/>
      <c r="G4" s="1546"/>
    </row>
    <row r="6" spans="2:10" ht="51" customHeight="1" x14ac:dyDescent="0.2">
      <c r="B6" s="1544" t="s">
        <v>1268</v>
      </c>
      <c r="C6" s="1545"/>
      <c r="D6" s="1545"/>
      <c r="E6" s="1545"/>
      <c r="F6" s="1545"/>
      <c r="G6" s="1545"/>
      <c r="J6" s="1430"/>
    </row>
  </sheetData>
  <sheetProtection password="F8BD" sheet="1" objects="1" scenarios="1"/>
  <mergeCells count="3">
    <mergeCell ref="B6:G6"/>
    <mergeCell ref="B3:G3"/>
    <mergeCell ref="B4:G4"/>
  </mergeCells>
  <phoneticPr fontId="16" type="noConversion"/>
  <pageMargins left="0.75" right="0.75" top="1" bottom="1" header="0.5" footer="0.5"/>
  <pageSetup scale="87"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39997558519241921"/>
    <pageSetUpPr fitToPage="1"/>
  </sheetPr>
  <dimension ref="B1:R45"/>
  <sheetViews>
    <sheetView showGridLines="0" workbookViewId="0"/>
  </sheetViews>
  <sheetFormatPr defaultRowHeight="12.75" x14ac:dyDescent="0.2"/>
  <cols>
    <col min="1" max="1" width="2.5703125" customWidth="1"/>
    <col min="2" max="2" width="4.5703125" customWidth="1"/>
    <col min="3" max="3" width="24" customWidth="1"/>
    <col min="4" max="4" width="14.85546875" customWidth="1"/>
    <col min="5" max="5" width="2.28515625" customWidth="1"/>
    <col min="6" max="6" width="8.7109375" customWidth="1"/>
    <col min="7" max="7" width="16.42578125" customWidth="1"/>
    <col min="8" max="8" width="2.140625" customWidth="1"/>
    <col min="9" max="9" width="13.85546875" customWidth="1"/>
    <col min="11" max="11" width="15.42578125" customWidth="1"/>
    <col min="12" max="12" width="3.42578125" customWidth="1"/>
    <col min="13" max="13" width="12.28515625" customWidth="1"/>
    <col min="14" max="14" width="10.7109375" customWidth="1"/>
    <col min="15" max="15" width="15.28515625" customWidth="1"/>
    <col min="16" max="16" width="3.28515625" customWidth="1"/>
    <col min="17" max="17" width="13.5703125" customWidth="1"/>
    <col min="18" max="18" width="18" customWidth="1"/>
  </cols>
  <sheetData>
    <row r="1" spans="2:18" x14ac:dyDescent="0.2">
      <c r="B1" s="43"/>
      <c r="C1" s="43"/>
      <c r="D1" s="43"/>
      <c r="E1" s="43"/>
      <c r="F1" s="43"/>
      <c r="G1" s="43"/>
      <c r="H1" s="43"/>
      <c r="I1" s="43"/>
      <c r="J1" s="43"/>
      <c r="K1" s="43"/>
      <c r="L1" s="43"/>
      <c r="M1" s="43"/>
      <c r="N1" s="43"/>
      <c r="O1" s="43"/>
      <c r="P1" s="43"/>
      <c r="Q1" s="152" t="s">
        <v>301</v>
      </c>
      <c r="R1" s="123" t="str">
        <f>EBNUMBER</f>
        <v>EB-2016-0066</v>
      </c>
    </row>
    <row r="2" spans="2:18" x14ac:dyDescent="0.2">
      <c r="B2" s="43"/>
      <c r="C2" s="43"/>
      <c r="D2" s="43"/>
      <c r="E2" s="43"/>
      <c r="F2" s="43"/>
      <c r="G2" s="43"/>
      <c r="H2" s="43"/>
      <c r="I2" s="43"/>
      <c r="J2" s="43"/>
      <c r="K2" s="43"/>
      <c r="L2" s="43"/>
      <c r="M2" s="43"/>
      <c r="N2" s="43"/>
      <c r="O2" s="43"/>
      <c r="P2" s="43"/>
      <c r="Q2" s="152" t="s">
        <v>302</v>
      </c>
      <c r="R2" s="124"/>
    </row>
    <row r="3" spans="2:18" x14ac:dyDescent="0.2">
      <c r="B3" s="43"/>
      <c r="C3" s="43"/>
      <c r="D3" s="43"/>
      <c r="E3" s="43"/>
      <c r="F3" s="43"/>
      <c r="G3" s="43"/>
      <c r="H3" s="43"/>
      <c r="I3" s="43"/>
      <c r="J3" s="43"/>
      <c r="K3" s="43"/>
      <c r="L3" s="43"/>
      <c r="M3" s="43"/>
      <c r="N3" s="43"/>
      <c r="O3" s="43"/>
      <c r="P3" s="43"/>
      <c r="Q3" s="152" t="s">
        <v>303</v>
      </c>
      <c r="R3" s="124"/>
    </row>
    <row r="4" spans="2:18" x14ac:dyDescent="0.2">
      <c r="B4" s="43"/>
      <c r="C4" s="43"/>
      <c r="D4" s="43"/>
      <c r="E4" s="43"/>
      <c r="F4" s="43"/>
      <c r="G4" s="43"/>
      <c r="H4" s="43"/>
      <c r="I4" s="43"/>
      <c r="J4" s="43"/>
      <c r="K4" s="43"/>
      <c r="L4" s="43"/>
      <c r="M4" s="43"/>
      <c r="N4" s="43"/>
      <c r="O4" s="43"/>
      <c r="P4" s="43"/>
      <c r="Q4" s="152" t="s">
        <v>304</v>
      </c>
      <c r="R4" s="124"/>
    </row>
    <row r="5" spans="2:18" x14ac:dyDescent="0.2">
      <c r="B5" s="43"/>
      <c r="C5" s="43"/>
      <c r="D5" s="43"/>
      <c r="E5" s="43"/>
      <c r="F5" s="43"/>
      <c r="G5" s="43"/>
      <c r="H5" s="43"/>
      <c r="I5" s="43"/>
      <c r="J5" s="43"/>
      <c r="K5" s="43"/>
      <c r="L5" s="43"/>
      <c r="M5" s="43"/>
      <c r="N5" s="43"/>
      <c r="O5" s="43"/>
      <c r="P5" s="43"/>
      <c r="Q5" s="152" t="s">
        <v>305</v>
      </c>
      <c r="R5" s="125"/>
    </row>
    <row r="6" spans="2:18" x14ac:dyDescent="0.2">
      <c r="B6" s="43"/>
      <c r="C6" s="43"/>
      <c r="D6" s="43"/>
      <c r="E6" s="43"/>
      <c r="F6" s="43"/>
      <c r="G6" s="43"/>
      <c r="H6" s="43"/>
      <c r="I6" s="43"/>
      <c r="J6" s="43"/>
      <c r="K6" s="43"/>
      <c r="L6" s="43"/>
      <c r="M6" s="43"/>
      <c r="N6" s="43"/>
      <c r="O6" s="43"/>
      <c r="P6" s="43"/>
      <c r="Q6" s="152"/>
      <c r="R6" s="1252"/>
    </row>
    <row r="7" spans="2:18" x14ac:dyDescent="0.2">
      <c r="B7" s="43"/>
      <c r="C7" s="43"/>
      <c r="D7" s="43"/>
      <c r="E7" s="43"/>
      <c r="F7" s="43"/>
      <c r="G7" s="43"/>
      <c r="H7" s="43"/>
      <c r="I7" s="43"/>
      <c r="J7" s="43"/>
      <c r="K7" s="43"/>
      <c r="L7" s="43"/>
      <c r="M7" s="43"/>
      <c r="N7" s="43"/>
      <c r="O7" s="43"/>
      <c r="P7" s="43"/>
      <c r="Q7" s="152" t="s">
        <v>306</v>
      </c>
      <c r="R7" s="125"/>
    </row>
    <row r="8" spans="2:18" x14ac:dyDescent="0.2">
      <c r="B8" s="43"/>
      <c r="C8" s="43"/>
      <c r="D8" s="43"/>
      <c r="E8" s="43"/>
      <c r="F8" s="43"/>
      <c r="G8" s="43"/>
      <c r="H8" s="43"/>
      <c r="I8" s="43"/>
    </row>
    <row r="9" spans="2:18" ht="18" x14ac:dyDescent="0.25">
      <c r="B9" s="1591" t="s">
        <v>954</v>
      </c>
      <c r="C9" s="1591"/>
      <c r="D9" s="1591"/>
      <c r="E9" s="1591"/>
      <c r="F9" s="1591"/>
      <c r="G9" s="1591"/>
      <c r="H9" s="1591"/>
      <c r="I9" s="1591"/>
      <c r="J9" s="1591"/>
      <c r="K9" s="1591"/>
      <c r="L9" s="1591"/>
      <c r="M9" s="1591"/>
      <c r="N9" s="1591"/>
      <c r="O9" s="1591"/>
      <c r="P9" s="1591"/>
      <c r="Q9" s="1591"/>
      <c r="R9" s="1591"/>
    </row>
    <row r="10" spans="2:18" ht="18" x14ac:dyDescent="0.2">
      <c r="B10" s="1871" t="s">
        <v>1190</v>
      </c>
      <c r="C10" s="1871"/>
      <c r="D10" s="1871"/>
      <c r="E10" s="1871"/>
      <c r="F10" s="1871"/>
      <c r="G10" s="1871"/>
      <c r="H10" s="1871"/>
      <c r="I10" s="1871"/>
      <c r="J10" s="1871"/>
      <c r="K10" s="1871"/>
      <c r="L10" s="1871"/>
      <c r="M10" s="1871"/>
      <c r="N10" s="1871"/>
      <c r="O10" s="1871"/>
      <c r="P10" s="1871"/>
      <c r="Q10" s="1871"/>
      <c r="R10" s="1871"/>
    </row>
    <row r="12" spans="2:18" x14ac:dyDescent="0.2">
      <c r="B12" s="13" t="s">
        <v>1191</v>
      </c>
    </row>
    <row r="14" spans="2:18" x14ac:dyDescent="0.2">
      <c r="B14" s="13" t="s">
        <v>1192</v>
      </c>
      <c r="C14" s="13" t="s">
        <v>1193</v>
      </c>
    </row>
    <row r="15" spans="2:18" x14ac:dyDescent="0.2">
      <c r="B15" s="13" t="s">
        <v>1194</v>
      </c>
      <c r="C15" s="13" t="s">
        <v>1019</v>
      </c>
    </row>
    <row r="16" spans="2:18" x14ac:dyDescent="0.2">
      <c r="B16" s="13" t="s">
        <v>1195</v>
      </c>
      <c r="C16" s="13" t="s">
        <v>1196</v>
      </c>
    </row>
    <row r="17" spans="2:18" x14ac:dyDescent="0.2">
      <c r="B17" s="13" t="s">
        <v>1197</v>
      </c>
      <c r="C17" s="13" t="s">
        <v>1198</v>
      </c>
    </row>
    <row r="19" spans="2:18" ht="27" customHeight="1" x14ac:dyDescent="0.2">
      <c r="B19" s="1543" t="s">
        <v>1208</v>
      </c>
      <c r="C19" s="1543"/>
      <c r="D19" s="1543"/>
      <c r="E19" s="1543"/>
      <c r="F19" s="1543"/>
      <c r="G19" s="1543"/>
      <c r="H19" s="1543"/>
      <c r="I19" s="1543"/>
      <c r="J19" s="1543"/>
      <c r="K19" s="1543"/>
      <c r="L19" s="1543"/>
      <c r="M19" s="1543"/>
      <c r="N19" s="1543"/>
      <c r="O19" s="1543"/>
      <c r="P19" s="1543"/>
      <c r="Q19" s="1543"/>
      <c r="R19" s="1543"/>
    </row>
    <row r="21" spans="2:18" ht="27.75" customHeight="1" x14ac:dyDescent="0.2">
      <c r="B21" s="1543" t="s">
        <v>1199</v>
      </c>
      <c r="C21" s="1543"/>
      <c r="D21" s="1543"/>
      <c r="E21" s="1543"/>
      <c r="F21" s="1543"/>
      <c r="G21" s="1543"/>
      <c r="H21" s="1543"/>
      <c r="I21" s="1543"/>
      <c r="J21" s="1543"/>
      <c r="K21" s="1543"/>
      <c r="L21" s="1543"/>
      <c r="M21" s="1543"/>
      <c r="N21" s="1543"/>
      <c r="O21" s="1543"/>
      <c r="P21" s="1543"/>
      <c r="Q21" s="1543"/>
      <c r="R21" s="1543"/>
    </row>
    <row r="23" spans="2:18" ht="24.75" customHeight="1" x14ac:dyDescent="0.2">
      <c r="B23" s="1543" t="s">
        <v>1200</v>
      </c>
      <c r="C23" s="1543"/>
      <c r="D23" s="1543"/>
      <c r="E23" s="1543"/>
      <c r="F23" s="1543"/>
      <c r="G23" s="1543"/>
      <c r="H23" s="1543"/>
      <c r="I23" s="1543"/>
      <c r="J23" s="1543"/>
      <c r="K23" s="1543"/>
      <c r="L23" s="1543"/>
      <c r="M23" s="1543"/>
      <c r="N23" s="1543"/>
      <c r="O23" s="1543"/>
      <c r="P23" s="1543"/>
      <c r="Q23" s="1543"/>
      <c r="R23" s="1543"/>
    </row>
    <row r="25" spans="2:18" ht="26.25" customHeight="1" x14ac:dyDescent="0.2">
      <c r="B25" s="1543" t="s">
        <v>1201</v>
      </c>
      <c r="C25" s="1543"/>
      <c r="D25" s="1543"/>
      <c r="E25" s="1543"/>
      <c r="F25" s="1543"/>
      <c r="G25" s="1543"/>
      <c r="H25" s="1543"/>
      <c r="I25" s="1543"/>
      <c r="J25" s="1543"/>
      <c r="K25" s="1543"/>
      <c r="L25" s="1543"/>
      <c r="M25" s="1543"/>
      <c r="N25" s="1543"/>
      <c r="O25" s="1543"/>
      <c r="P25" s="1543"/>
      <c r="Q25" s="1543"/>
      <c r="R25" s="1543"/>
    </row>
    <row r="27" spans="2:18" ht="30.75" customHeight="1" x14ac:dyDescent="0.2">
      <c r="B27" s="1858" t="s">
        <v>1202</v>
      </c>
      <c r="C27" s="1858"/>
      <c r="D27" s="1858"/>
      <c r="E27" s="1858"/>
      <c r="F27" s="1858"/>
      <c r="G27" s="1858"/>
      <c r="H27" s="1858"/>
      <c r="I27" s="1858"/>
      <c r="J27" s="1858"/>
      <c r="K27" s="1858"/>
      <c r="L27" s="1858"/>
      <c r="M27" s="1858"/>
      <c r="N27" s="1858"/>
      <c r="O27" s="1858"/>
      <c r="P27" s="1858"/>
      <c r="Q27" s="1858"/>
      <c r="R27" s="1858"/>
    </row>
    <row r="28" spans="2:18" ht="13.5" thickBot="1" x14ac:dyDescent="0.25"/>
    <row r="29" spans="2:18" x14ac:dyDescent="0.2">
      <c r="C29" s="1264"/>
      <c r="D29" s="1268" t="s">
        <v>1205</v>
      </c>
      <c r="E29" s="1268"/>
      <c r="F29" s="1256" t="s">
        <v>934</v>
      </c>
      <c r="G29" s="1272"/>
      <c r="H29" s="1268"/>
      <c r="I29" s="1859" t="s">
        <v>1213</v>
      </c>
      <c r="J29" s="1860"/>
      <c r="K29" s="1861"/>
      <c r="L29" s="1287"/>
      <c r="M29" s="1862" t="s">
        <v>1212</v>
      </c>
      <c r="N29" s="1863"/>
      <c r="O29" s="1864"/>
      <c r="P29" s="1272"/>
      <c r="Q29" s="1869" t="s">
        <v>1198</v>
      </c>
      <c r="R29" s="1870"/>
    </row>
    <row r="30" spans="2:18" ht="38.25" customHeight="1" thickBot="1" x14ac:dyDescent="0.25">
      <c r="C30" s="1271"/>
      <c r="D30" s="1277" t="s">
        <v>1206</v>
      </c>
      <c r="E30" s="1266"/>
      <c r="F30" s="1274"/>
      <c r="G30" s="1278"/>
      <c r="H30" s="1266"/>
      <c r="I30" s="1284" t="s">
        <v>1209</v>
      </c>
      <c r="J30" s="1867" t="s">
        <v>1210</v>
      </c>
      <c r="K30" s="1868"/>
      <c r="L30" s="1266"/>
      <c r="M30" s="1284" t="s">
        <v>1209</v>
      </c>
      <c r="N30" s="1865" t="s">
        <v>1210</v>
      </c>
      <c r="O30" s="1866"/>
      <c r="P30" s="1266"/>
      <c r="Q30" s="1284" t="s">
        <v>1209</v>
      </c>
      <c r="R30" s="1275" t="s">
        <v>1210</v>
      </c>
    </row>
    <row r="31" spans="2:18" ht="14.25" x14ac:dyDescent="0.2">
      <c r="C31" s="1266" t="s">
        <v>890</v>
      </c>
      <c r="D31" s="1269">
        <v>2011</v>
      </c>
      <c r="E31" s="1265"/>
      <c r="F31" s="1281" t="s">
        <v>413</v>
      </c>
      <c r="G31" s="1259"/>
      <c r="H31" s="1265"/>
      <c r="I31" s="1282" t="s">
        <v>413</v>
      </c>
      <c r="J31" s="1258" t="s">
        <v>1211</v>
      </c>
      <c r="K31" s="1279"/>
      <c r="L31" s="1265"/>
      <c r="M31" s="1282" t="s">
        <v>413</v>
      </c>
      <c r="N31" s="1257" t="s">
        <v>1211</v>
      </c>
      <c r="O31" s="1279"/>
      <c r="P31" s="1265"/>
      <c r="Q31" s="1282" t="s">
        <v>413</v>
      </c>
      <c r="R31" s="1259"/>
    </row>
    <row r="32" spans="2:18" ht="14.25" x14ac:dyDescent="0.2">
      <c r="C32" s="1266" t="s">
        <v>890</v>
      </c>
      <c r="D32" s="1269">
        <v>2012</v>
      </c>
      <c r="E32" s="1265"/>
      <c r="F32" s="1282" t="s">
        <v>413</v>
      </c>
      <c r="G32" s="1259"/>
      <c r="H32" s="1265"/>
      <c r="I32" s="1282" t="s">
        <v>413</v>
      </c>
      <c r="J32" s="1258" t="s">
        <v>1211</v>
      </c>
      <c r="K32" s="1259"/>
      <c r="L32" s="1265"/>
      <c r="M32" s="1282" t="s">
        <v>413</v>
      </c>
      <c r="N32" s="1257" t="s">
        <v>1211</v>
      </c>
      <c r="O32" s="1259"/>
      <c r="P32" s="1265"/>
      <c r="Q32" s="1282" t="s">
        <v>413</v>
      </c>
      <c r="R32" s="1259"/>
    </row>
    <row r="33" spans="2:18" ht="14.25" x14ac:dyDescent="0.2">
      <c r="C33" s="1266" t="s">
        <v>890</v>
      </c>
      <c r="D33" s="1269">
        <v>2013</v>
      </c>
      <c r="E33" s="1265"/>
      <c r="F33" s="1282" t="s">
        <v>413</v>
      </c>
      <c r="G33" s="1260" t="s">
        <v>1207</v>
      </c>
      <c r="H33" s="1265"/>
      <c r="I33" s="1282" t="s">
        <v>413</v>
      </c>
      <c r="J33" s="1258" t="s">
        <v>1211</v>
      </c>
      <c r="K33" s="1260" t="s">
        <v>1207</v>
      </c>
      <c r="L33" s="1265"/>
      <c r="M33" s="1282" t="s">
        <v>413</v>
      </c>
      <c r="N33" s="1257" t="s">
        <v>1211</v>
      </c>
      <c r="O33" s="1260" t="s">
        <v>1207</v>
      </c>
      <c r="P33" s="1265"/>
      <c r="Q33" s="1282" t="s">
        <v>413</v>
      </c>
      <c r="R33" s="1259"/>
    </row>
    <row r="34" spans="2:18" ht="14.25" x14ac:dyDescent="0.2">
      <c r="C34" s="1266" t="s">
        <v>890</v>
      </c>
      <c r="D34" s="1269">
        <v>2014</v>
      </c>
      <c r="E34" s="1265"/>
      <c r="F34" s="1282" t="s">
        <v>413</v>
      </c>
      <c r="G34" s="1259"/>
      <c r="H34" s="1265"/>
      <c r="I34" s="1282" t="s">
        <v>413</v>
      </c>
      <c r="J34" s="1258" t="s">
        <v>1211</v>
      </c>
      <c r="K34" s="1259"/>
      <c r="L34" s="1265"/>
      <c r="M34" s="1282" t="s">
        <v>413</v>
      </c>
      <c r="N34" s="1257" t="s">
        <v>1211</v>
      </c>
      <c r="O34" s="1259"/>
      <c r="P34" s="1265"/>
      <c r="Q34" s="1282" t="s">
        <v>413</v>
      </c>
      <c r="R34" s="1259"/>
    </row>
    <row r="35" spans="2:18" ht="14.25" x14ac:dyDescent="0.2">
      <c r="C35" s="1266" t="s">
        <v>890</v>
      </c>
      <c r="D35" s="1269">
        <v>2015</v>
      </c>
      <c r="E35" s="1265"/>
      <c r="F35" s="1282" t="s">
        <v>413</v>
      </c>
      <c r="G35" s="1259"/>
      <c r="H35" s="1265"/>
      <c r="I35" s="1282" t="s">
        <v>413</v>
      </c>
      <c r="J35" s="1258" t="s">
        <v>1211</v>
      </c>
      <c r="K35" s="1259"/>
      <c r="L35" s="1265"/>
      <c r="M35" s="1282" t="s">
        <v>413</v>
      </c>
      <c r="N35" s="1257" t="s">
        <v>1211</v>
      </c>
      <c r="O35" s="1259"/>
      <c r="P35" s="1265"/>
      <c r="Q35" s="1282" t="s">
        <v>413</v>
      </c>
      <c r="R35" s="1259"/>
    </row>
    <row r="36" spans="2:18" x14ac:dyDescent="0.2">
      <c r="C36" s="1266" t="s">
        <v>1203</v>
      </c>
      <c r="D36" s="1269">
        <v>2016</v>
      </c>
      <c r="E36" s="1265"/>
      <c r="F36" s="1282" t="s">
        <v>86</v>
      </c>
      <c r="G36" s="1259"/>
      <c r="H36" s="1265"/>
      <c r="I36" s="1285"/>
      <c r="J36" s="1258" t="s">
        <v>86</v>
      </c>
      <c r="K36" s="1259"/>
      <c r="L36" s="1265"/>
      <c r="M36" s="1285"/>
      <c r="N36" s="1257" t="s">
        <v>86</v>
      </c>
      <c r="O36" s="1259"/>
      <c r="P36" s="1265"/>
      <c r="Q36" s="1285"/>
      <c r="R36" s="1260" t="s">
        <v>86</v>
      </c>
    </row>
    <row r="37" spans="2:18" ht="13.5" thickBot="1" x14ac:dyDescent="0.25">
      <c r="C37" s="1267" t="s">
        <v>1204</v>
      </c>
      <c r="D37" s="1270">
        <v>2017</v>
      </c>
      <c r="E37" s="1271"/>
      <c r="F37" s="1283" t="s">
        <v>86</v>
      </c>
      <c r="G37" s="1273"/>
      <c r="H37" s="1271"/>
      <c r="I37" s="1286"/>
      <c r="J37" s="1262" t="s">
        <v>86</v>
      </c>
      <c r="K37" s="1273"/>
      <c r="L37" s="1271"/>
      <c r="M37" s="1286"/>
      <c r="N37" s="1261" t="s">
        <v>86</v>
      </c>
      <c r="O37" s="1273"/>
      <c r="P37" s="1271"/>
      <c r="Q37" s="1286"/>
      <c r="R37" s="1263" t="s">
        <v>86</v>
      </c>
    </row>
    <row r="40" spans="2:18" x14ac:dyDescent="0.2">
      <c r="B40" s="3" t="s">
        <v>11</v>
      </c>
    </row>
    <row r="41" spans="2:18" ht="6" customHeight="1" x14ac:dyDescent="0.2"/>
    <row r="42" spans="2:18" ht="31.5" customHeight="1" x14ac:dyDescent="0.2">
      <c r="B42" s="1255" t="s">
        <v>310</v>
      </c>
      <c r="C42" s="1858" t="s">
        <v>1217</v>
      </c>
      <c r="D42" s="1858"/>
      <c r="E42" s="1858"/>
      <c r="F42" s="1858"/>
      <c r="G42" s="1858"/>
      <c r="H42" s="1858"/>
      <c r="I42" s="1858"/>
      <c r="J42" s="1858"/>
      <c r="K42" s="1858"/>
      <c r="L42" s="1858"/>
      <c r="M42" s="1858"/>
      <c r="N42" s="1858"/>
      <c r="O42" s="1858"/>
      <c r="P42" s="1858"/>
      <c r="Q42" s="1858"/>
      <c r="R42" s="1858"/>
    </row>
    <row r="43" spans="2:18" ht="30.75" customHeight="1" x14ac:dyDescent="0.2">
      <c r="B43" s="1255" t="s">
        <v>10</v>
      </c>
      <c r="C43" s="1858" t="s">
        <v>1218</v>
      </c>
      <c r="D43" s="1858"/>
      <c r="E43" s="1858"/>
      <c r="F43" s="1858"/>
      <c r="G43" s="1858"/>
      <c r="H43" s="1858"/>
      <c r="I43" s="1858"/>
      <c r="J43" s="1858"/>
      <c r="K43" s="1858"/>
      <c r="L43" s="1858"/>
      <c r="M43" s="1858"/>
      <c r="N43" s="1858"/>
      <c r="O43" s="1858"/>
      <c r="P43" s="1858"/>
      <c r="Q43" s="1858"/>
      <c r="R43" s="1858"/>
    </row>
    <row r="44" spans="2:18" ht="15" x14ac:dyDescent="0.2">
      <c r="B44" s="1255" t="s">
        <v>34</v>
      </c>
      <c r="C44" s="1858" t="s">
        <v>1219</v>
      </c>
      <c r="D44" s="1858"/>
      <c r="E44" s="1858"/>
      <c r="F44" s="1858"/>
      <c r="G44" s="1858"/>
      <c r="H44" s="1858"/>
      <c r="I44" s="1858"/>
      <c r="J44" s="1858"/>
      <c r="K44" s="1858"/>
      <c r="L44" s="1858"/>
      <c r="M44" s="1858"/>
      <c r="N44" s="1858"/>
      <c r="O44" s="1858"/>
      <c r="P44" s="1858"/>
      <c r="Q44" s="1858"/>
      <c r="R44" s="1858"/>
    </row>
    <row r="45" spans="2:18" ht="15" x14ac:dyDescent="0.2">
      <c r="B45" s="1255" t="s">
        <v>35</v>
      </c>
      <c r="C45" s="1858" t="s">
        <v>1220</v>
      </c>
      <c r="D45" s="1858"/>
      <c r="E45" s="1858"/>
      <c r="F45" s="1858"/>
      <c r="G45" s="1858"/>
      <c r="H45" s="1858"/>
      <c r="I45" s="1858"/>
      <c r="J45" s="1858"/>
      <c r="K45" s="1858"/>
      <c r="L45" s="1858"/>
      <c r="M45" s="1858"/>
      <c r="N45" s="1858"/>
      <c r="O45" s="1858"/>
      <c r="P45" s="1858"/>
      <c r="Q45" s="1858"/>
      <c r="R45" s="1858"/>
    </row>
  </sheetData>
  <sheetProtection password="F8BD" sheet="1" objects="1" scenarios="1"/>
  <mergeCells count="16">
    <mergeCell ref="B10:R10"/>
    <mergeCell ref="B9:R9"/>
    <mergeCell ref="B19:R19"/>
    <mergeCell ref="B21:R21"/>
    <mergeCell ref="B23:R23"/>
    <mergeCell ref="B25:R25"/>
    <mergeCell ref="B27:R27"/>
    <mergeCell ref="C44:R44"/>
    <mergeCell ref="C45:R45"/>
    <mergeCell ref="I29:K29"/>
    <mergeCell ref="M29:O29"/>
    <mergeCell ref="N30:O30"/>
    <mergeCell ref="J30:K30"/>
    <mergeCell ref="C42:R42"/>
    <mergeCell ref="C43:R43"/>
    <mergeCell ref="Q29:R29"/>
  </mergeCells>
  <pageMargins left="0.7" right="0.7" top="0.75" bottom="0.75" header="0.3" footer="0.3"/>
  <pageSetup scale="65" orientation="landscape" verticalDpi="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9" tint="0.39997558519241921"/>
    <pageSetUpPr fitToPage="1"/>
  </sheetPr>
  <dimension ref="B1:W489"/>
  <sheetViews>
    <sheetView showGridLines="0" workbookViewId="0">
      <selection activeCell="Q340" sqref="Q340:U348"/>
    </sheetView>
  </sheetViews>
  <sheetFormatPr defaultRowHeight="12.75" x14ac:dyDescent="0.2"/>
  <cols>
    <col min="1" max="1" width="1.7109375" customWidth="1"/>
    <col min="2" max="2" width="3.7109375" customWidth="1"/>
    <col min="3" max="3" width="17.5703125" customWidth="1"/>
    <col min="4" max="4" width="14.85546875" customWidth="1"/>
    <col min="5" max="5" width="2.28515625" customWidth="1"/>
    <col min="6" max="6" width="9.85546875" customWidth="1"/>
    <col min="7" max="8" width="14.85546875" customWidth="1"/>
    <col min="9" max="9" width="14.42578125" customWidth="1"/>
    <col min="10" max="10" width="2.7109375" customWidth="1"/>
    <col min="11" max="11" width="9.7109375" customWidth="1"/>
    <col min="12" max="13" width="13.85546875" customWidth="1"/>
    <col min="14" max="14" width="14.5703125" customWidth="1"/>
    <col min="15" max="15" width="15.42578125" customWidth="1"/>
    <col min="16" max="16" width="2.28515625" customWidth="1"/>
    <col min="17" max="17" width="12.85546875" customWidth="1"/>
    <col min="18" max="18" width="11.85546875" customWidth="1"/>
    <col min="19" max="19" width="11.42578125" customWidth="1"/>
    <col min="20" max="20" width="14" customWidth="1"/>
    <col min="21" max="21" width="13.7109375" customWidth="1"/>
    <col min="22" max="22" width="3.28515625" customWidth="1"/>
    <col min="24" max="25" width="10.140625" bestFit="1" customWidth="1"/>
    <col min="27" max="27" width="10.140625" bestFit="1" customWidth="1"/>
  </cols>
  <sheetData>
    <row r="1" spans="2:22" x14ac:dyDescent="0.2">
      <c r="B1" s="43"/>
      <c r="C1" s="43"/>
      <c r="D1" s="43"/>
      <c r="E1" s="43"/>
      <c r="F1" s="43"/>
      <c r="G1" s="43"/>
      <c r="H1" s="43"/>
      <c r="I1" s="43"/>
      <c r="J1" s="43"/>
      <c r="K1" s="43"/>
      <c r="L1" s="43"/>
      <c r="M1" s="43"/>
      <c r="N1" s="43"/>
      <c r="O1" s="43"/>
      <c r="P1" s="43"/>
      <c r="Q1" s="43"/>
      <c r="R1" s="43"/>
      <c r="S1" s="43"/>
      <c r="T1" s="152" t="s">
        <v>301</v>
      </c>
      <c r="U1" s="123" t="str">
        <f>EBNUMBER</f>
        <v>EB-2016-0066</v>
      </c>
    </row>
    <row r="2" spans="2:22" x14ac:dyDescent="0.2">
      <c r="B2" s="43"/>
      <c r="C2" s="43"/>
      <c r="D2" s="43"/>
      <c r="E2" s="43"/>
      <c r="F2" s="43"/>
      <c r="G2" s="43"/>
      <c r="H2" s="43"/>
      <c r="I2" s="43"/>
      <c r="J2" s="43"/>
      <c r="K2" s="43"/>
      <c r="L2" s="43"/>
      <c r="M2" s="43"/>
      <c r="N2" s="43"/>
      <c r="O2" s="43"/>
      <c r="P2" s="43"/>
      <c r="Q2" s="43"/>
      <c r="R2" s="43"/>
      <c r="S2" s="43"/>
      <c r="T2" s="152" t="s">
        <v>302</v>
      </c>
      <c r="U2" s="124"/>
    </row>
    <row r="3" spans="2:22" x14ac:dyDescent="0.2">
      <c r="B3" s="43"/>
      <c r="C3" s="43"/>
      <c r="D3" s="43"/>
      <c r="E3" s="43"/>
      <c r="F3" s="43"/>
      <c r="G3" s="43"/>
      <c r="H3" s="43"/>
      <c r="I3" s="43"/>
      <c r="J3" s="43"/>
      <c r="K3" s="43"/>
      <c r="L3" s="43"/>
      <c r="M3" s="43"/>
      <c r="N3" s="43"/>
      <c r="O3" s="43"/>
      <c r="P3" s="43"/>
      <c r="Q3" s="43"/>
      <c r="R3" s="43"/>
      <c r="S3" s="43"/>
      <c r="T3" s="152" t="s">
        <v>303</v>
      </c>
      <c r="U3" s="124"/>
    </row>
    <row r="4" spans="2:22" x14ac:dyDescent="0.2">
      <c r="B4" s="43"/>
      <c r="C4" s="43"/>
      <c r="D4" s="43"/>
      <c r="E4" s="43"/>
      <c r="F4" s="43"/>
      <c r="G4" s="43"/>
      <c r="H4" s="43"/>
      <c r="I4" s="43"/>
      <c r="J4" s="43"/>
      <c r="K4" s="43"/>
      <c r="L4" s="43"/>
      <c r="M4" s="43"/>
      <c r="N4" s="43"/>
      <c r="O4" s="43"/>
      <c r="P4" s="43"/>
      <c r="Q4" s="43"/>
      <c r="R4" s="43"/>
      <c r="S4" s="43"/>
      <c r="T4" s="152" t="s">
        <v>304</v>
      </c>
      <c r="U4" s="124"/>
    </row>
    <row r="5" spans="2:22" x14ac:dyDescent="0.2">
      <c r="B5" s="43"/>
      <c r="C5" s="43"/>
      <c r="D5" s="43"/>
      <c r="E5" s="43"/>
      <c r="F5" s="43"/>
      <c r="G5" s="43"/>
      <c r="H5" s="43"/>
      <c r="I5" s="43"/>
      <c r="J5" s="43"/>
      <c r="K5" s="43"/>
      <c r="L5" s="43"/>
      <c r="M5" s="43"/>
      <c r="N5" s="43"/>
      <c r="O5" s="43"/>
      <c r="P5" s="43"/>
      <c r="Q5" s="43"/>
      <c r="R5" s="43"/>
      <c r="S5" s="43"/>
      <c r="T5" s="152" t="s">
        <v>305</v>
      </c>
      <c r="U5" s="125"/>
    </row>
    <row r="6" spans="2:22" x14ac:dyDescent="0.2">
      <c r="B6" s="43"/>
      <c r="C6" s="43"/>
      <c r="D6" s="43"/>
      <c r="E6" s="43"/>
      <c r="F6" s="43"/>
      <c r="G6" s="43"/>
      <c r="H6" s="43"/>
      <c r="I6" s="43"/>
      <c r="J6" s="43"/>
      <c r="K6" s="43"/>
      <c r="L6" s="43"/>
      <c r="M6" s="43"/>
      <c r="N6" s="43"/>
      <c r="O6" s="43"/>
      <c r="P6" s="43"/>
      <c r="Q6" s="43"/>
      <c r="R6" s="43"/>
      <c r="S6" s="43"/>
      <c r="T6" s="152"/>
      <c r="U6" s="1253"/>
    </row>
    <row r="7" spans="2:22" x14ac:dyDescent="0.2">
      <c r="B7" s="43"/>
      <c r="C7" s="43"/>
      <c r="D7" s="43"/>
      <c r="E7" s="43"/>
      <c r="F7" s="43"/>
      <c r="G7" s="43"/>
      <c r="H7" s="43"/>
      <c r="I7" s="43"/>
      <c r="J7" s="43"/>
      <c r="K7" s="43"/>
      <c r="L7" s="43"/>
      <c r="M7" s="43"/>
      <c r="N7" s="43"/>
      <c r="O7" s="43"/>
      <c r="P7" s="43"/>
      <c r="Q7" s="43"/>
      <c r="R7" s="43"/>
      <c r="S7" s="43"/>
      <c r="T7" s="152" t="s">
        <v>306</v>
      </c>
      <c r="U7" s="125"/>
    </row>
    <row r="8" spans="2:22" x14ac:dyDescent="0.2">
      <c r="B8" s="43"/>
      <c r="C8" s="43"/>
      <c r="D8" s="43"/>
      <c r="E8" s="43"/>
      <c r="F8" s="43"/>
      <c r="G8" s="43"/>
      <c r="H8" s="43"/>
      <c r="I8" s="43"/>
      <c r="J8" s="43"/>
      <c r="K8" s="43"/>
      <c r="L8" s="43"/>
      <c r="M8" s="43"/>
    </row>
    <row r="9" spans="2:22" ht="18" x14ac:dyDescent="0.25">
      <c r="B9" s="1591" t="s">
        <v>1214</v>
      </c>
      <c r="C9" s="1591"/>
      <c r="D9" s="1591"/>
      <c r="E9" s="1591"/>
      <c r="F9" s="1591"/>
      <c r="G9" s="1591"/>
      <c r="H9" s="1591"/>
      <c r="I9" s="1591"/>
      <c r="J9" s="1591"/>
      <c r="K9" s="1591"/>
      <c r="L9" s="1591"/>
      <c r="M9" s="1591"/>
      <c r="N9" s="1591"/>
      <c r="O9" s="1591"/>
      <c r="P9" s="1591"/>
      <c r="Q9" s="1591"/>
      <c r="R9" s="1591"/>
      <c r="S9" s="1591"/>
      <c r="T9" s="1591"/>
      <c r="U9" s="1591"/>
      <c r="V9" s="1591"/>
    </row>
    <row r="10" spans="2:22" ht="18" x14ac:dyDescent="0.2">
      <c r="B10" s="1871" t="s">
        <v>1225</v>
      </c>
      <c r="C10" s="1871"/>
      <c r="D10" s="1871"/>
      <c r="E10" s="1871"/>
      <c r="F10" s="1871"/>
      <c r="G10" s="1871"/>
      <c r="H10" s="1871"/>
      <c r="I10" s="1871"/>
      <c r="J10" s="1871"/>
      <c r="K10" s="1871"/>
      <c r="L10" s="1871"/>
      <c r="M10" s="1871"/>
      <c r="N10" s="1871"/>
      <c r="O10" s="1871"/>
      <c r="P10" s="1871"/>
      <c r="Q10" s="1871"/>
      <c r="R10" s="1871"/>
      <c r="S10" s="1871"/>
      <c r="T10" s="1871"/>
      <c r="U10" s="1871"/>
      <c r="V10" s="1871"/>
    </row>
    <row r="12" spans="2:22" hidden="1" x14ac:dyDescent="0.2">
      <c r="B12" s="1288" t="s">
        <v>1191</v>
      </c>
      <c r="C12" s="1289"/>
      <c r="D12" s="1289"/>
      <c r="E12" s="1289"/>
      <c r="F12" s="1289"/>
      <c r="G12" s="1289"/>
      <c r="H12" s="1289"/>
      <c r="I12" s="1289"/>
      <c r="J12" s="1289"/>
      <c r="K12" s="1289"/>
      <c r="L12" s="1289"/>
      <c r="M12" s="1289"/>
      <c r="N12" s="1289"/>
      <c r="O12" s="1289"/>
      <c r="P12" s="1289"/>
      <c r="Q12" s="1289"/>
      <c r="R12" s="1289"/>
      <c r="S12" s="1289"/>
      <c r="T12" s="1289"/>
      <c r="U12" s="1289"/>
      <c r="V12" s="1289"/>
    </row>
    <row r="13" spans="2:22" hidden="1" x14ac:dyDescent="0.2">
      <c r="B13" s="1289"/>
      <c r="C13" s="1289"/>
      <c r="D13" s="1289"/>
      <c r="E13" s="1289"/>
      <c r="F13" s="1289"/>
      <c r="G13" s="1289"/>
      <c r="H13" s="1289"/>
      <c r="I13" s="1289"/>
      <c r="J13" s="1289"/>
      <c r="K13" s="1289"/>
      <c r="L13" s="1289"/>
      <c r="M13" s="1289"/>
      <c r="N13" s="1289"/>
      <c r="O13" s="1289"/>
      <c r="P13" s="1289"/>
      <c r="Q13" s="1289"/>
      <c r="R13" s="1289"/>
      <c r="S13" s="1289"/>
      <c r="T13" s="1289"/>
      <c r="U13" s="1289"/>
      <c r="V13" s="1289"/>
    </row>
    <row r="14" spans="2:22" hidden="1" x14ac:dyDescent="0.2">
      <c r="B14" s="1288" t="s">
        <v>1192</v>
      </c>
      <c r="C14" s="1288" t="s">
        <v>1193</v>
      </c>
      <c r="D14" s="1289"/>
      <c r="E14" s="1289"/>
      <c r="F14" s="1289"/>
      <c r="G14" s="1289"/>
      <c r="H14" s="1289"/>
      <c r="I14" s="1289"/>
      <c r="J14" s="1289"/>
      <c r="K14" s="1289"/>
      <c r="L14" s="1289"/>
      <c r="M14" s="1289"/>
      <c r="N14" s="1289"/>
      <c r="O14" s="1289"/>
      <c r="P14" s="1289"/>
      <c r="Q14" s="1289"/>
      <c r="R14" s="1289"/>
      <c r="S14" s="1289"/>
      <c r="T14" s="1289"/>
      <c r="U14" s="1289"/>
      <c r="V14" s="1289"/>
    </row>
    <row r="15" spans="2:22" hidden="1" x14ac:dyDescent="0.2">
      <c r="B15" s="1288" t="s">
        <v>1194</v>
      </c>
      <c r="C15" s="1288" t="s">
        <v>1019</v>
      </c>
      <c r="D15" s="1289"/>
      <c r="E15" s="1289"/>
      <c r="F15" s="1289"/>
      <c r="G15" s="1289"/>
      <c r="H15" s="1289"/>
      <c r="I15" s="1289"/>
      <c r="J15" s="1289"/>
      <c r="K15" s="1289"/>
      <c r="L15" s="1289"/>
      <c r="M15" s="1289"/>
      <c r="N15" s="1289"/>
      <c r="O15" s="1289"/>
      <c r="P15" s="1289"/>
      <c r="Q15" s="1289"/>
      <c r="R15" s="1289"/>
      <c r="S15" s="1289"/>
      <c r="T15" s="1289"/>
      <c r="U15" s="1289"/>
      <c r="V15" s="1289"/>
    </row>
    <row r="16" spans="2:22" hidden="1" x14ac:dyDescent="0.2">
      <c r="B16" s="1288" t="s">
        <v>1195</v>
      </c>
      <c r="C16" s="1288" t="s">
        <v>1196</v>
      </c>
      <c r="D16" s="1289"/>
      <c r="E16" s="1289"/>
      <c r="F16" s="1289"/>
      <c r="G16" s="1289"/>
      <c r="H16" s="1289"/>
      <c r="I16" s="1289"/>
      <c r="J16" s="1289"/>
      <c r="K16" s="1289"/>
      <c r="L16" s="1289"/>
      <c r="M16" s="1289"/>
      <c r="N16" s="1289"/>
      <c r="O16" s="1289"/>
      <c r="P16" s="1289"/>
      <c r="Q16" s="1289"/>
      <c r="R16" s="1289"/>
      <c r="S16" s="1289"/>
      <c r="T16" s="1289"/>
      <c r="U16" s="1289"/>
      <c r="V16" s="1289"/>
    </row>
    <row r="17" spans="2:22" hidden="1" x14ac:dyDescent="0.2">
      <c r="B17" s="1288" t="s">
        <v>1197</v>
      </c>
      <c r="C17" s="1288" t="s">
        <v>1198</v>
      </c>
      <c r="D17" s="1289"/>
      <c r="E17" s="1289"/>
      <c r="F17" s="1289"/>
      <c r="G17" s="1289"/>
      <c r="H17" s="1289"/>
      <c r="I17" s="1289"/>
      <c r="J17" s="1289"/>
      <c r="K17" s="1289"/>
      <c r="L17" s="1289"/>
      <c r="M17" s="1289"/>
      <c r="N17" s="1289"/>
      <c r="O17" s="1289"/>
      <c r="P17" s="1289"/>
      <c r="Q17" s="1289"/>
      <c r="R17" s="1289"/>
      <c r="S17" s="1289"/>
      <c r="T17" s="1289"/>
      <c r="U17" s="1289"/>
      <c r="V17" s="1289"/>
    </row>
    <row r="18" spans="2:22" hidden="1" x14ac:dyDescent="0.2">
      <c r="B18" s="1289"/>
      <c r="C18" s="1289"/>
      <c r="D18" s="1289"/>
      <c r="E18" s="1289"/>
      <c r="F18" s="1289"/>
      <c r="G18" s="1289"/>
      <c r="H18" s="1289"/>
      <c r="I18" s="1289"/>
      <c r="J18" s="1289"/>
      <c r="K18" s="1289"/>
      <c r="L18" s="1289"/>
      <c r="M18" s="1289"/>
      <c r="N18" s="1289"/>
      <c r="O18" s="1289"/>
      <c r="P18" s="1289"/>
      <c r="Q18" s="1289"/>
      <c r="R18" s="1289"/>
      <c r="S18" s="1289"/>
      <c r="T18" s="1289"/>
      <c r="U18" s="1289"/>
      <c r="V18" s="1289"/>
    </row>
    <row r="19" spans="2:22" ht="27" hidden="1" customHeight="1" x14ac:dyDescent="0.2">
      <c r="B19" s="1886" t="s">
        <v>1208</v>
      </c>
      <c r="C19" s="1886"/>
      <c r="D19" s="1886"/>
      <c r="E19" s="1886"/>
      <c r="F19" s="1886"/>
      <c r="G19" s="1886"/>
      <c r="H19" s="1886"/>
      <c r="I19" s="1886"/>
      <c r="J19" s="1886"/>
      <c r="K19" s="1886"/>
      <c r="L19" s="1886"/>
      <c r="M19" s="1886"/>
      <c r="N19" s="1886"/>
      <c r="O19" s="1886"/>
      <c r="P19" s="1886"/>
      <c r="Q19" s="1886"/>
      <c r="R19" s="1886"/>
      <c r="S19" s="1886"/>
      <c r="T19" s="1886"/>
      <c r="U19" s="1886"/>
      <c r="V19" s="1886"/>
    </row>
    <row r="20" spans="2:22" hidden="1" x14ac:dyDescent="0.2">
      <c r="B20" s="1289"/>
      <c r="C20" s="1289"/>
      <c r="D20" s="1289"/>
      <c r="E20" s="1289"/>
      <c r="F20" s="1289"/>
      <c r="G20" s="1289"/>
      <c r="H20" s="1289"/>
      <c r="I20" s="1289"/>
      <c r="J20" s="1289"/>
      <c r="K20" s="1289"/>
      <c r="L20" s="1289"/>
      <c r="M20" s="1289"/>
      <c r="N20" s="1289"/>
      <c r="O20" s="1289"/>
      <c r="P20" s="1289"/>
      <c r="Q20" s="1289"/>
      <c r="R20" s="1289"/>
      <c r="S20" s="1289"/>
      <c r="T20" s="1289"/>
      <c r="U20" s="1289"/>
      <c r="V20" s="1289"/>
    </row>
    <row r="21" spans="2:22" ht="27.75" hidden="1" customHeight="1" x14ac:dyDescent="0.2">
      <c r="B21" s="1886" t="s">
        <v>1199</v>
      </c>
      <c r="C21" s="1886"/>
      <c r="D21" s="1886"/>
      <c r="E21" s="1886"/>
      <c r="F21" s="1886"/>
      <c r="G21" s="1886"/>
      <c r="H21" s="1886"/>
      <c r="I21" s="1886"/>
      <c r="J21" s="1886"/>
      <c r="K21" s="1886"/>
      <c r="L21" s="1886"/>
      <c r="M21" s="1886"/>
      <c r="N21" s="1886"/>
      <c r="O21" s="1886"/>
      <c r="P21" s="1886"/>
      <c r="Q21" s="1886"/>
      <c r="R21" s="1886"/>
      <c r="S21" s="1886"/>
      <c r="T21" s="1886"/>
      <c r="U21" s="1886"/>
      <c r="V21" s="1886"/>
    </row>
    <row r="22" spans="2:22" hidden="1" x14ac:dyDescent="0.2">
      <c r="B22" s="1289"/>
      <c r="C22" s="1289"/>
      <c r="D22" s="1289"/>
      <c r="E22" s="1289"/>
      <c r="F22" s="1289"/>
      <c r="G22" s="1289"/>
      <c r="H22" s="1289"/>
      <c r="I22" s="1289"/>
      <c r="J22" s="1289"/>
      <c r="K22" s="1289"/>
      <c r="L22" s="1289"/>
      <c r="M22" s="1289"/>
      <c r="N22" s="1289"/>
      <c r="O22" s="1289"/>
      <c r="P22" s="1289"/>
      <c r="Q22" s="1289"/>
      <c r="R22" s="1289"/>
      <c r="S22" s="1289"/>
      <c r="T22" s="1289"/>
      <c r="U22" s="1289"/>
      <c r="V22" s="1289"/>
    </row>
    <row r="23" spans="2:22" ht="24.75" hidden="1" customHeight="1" x14ac:dyDescent="0.2">
      <c r="B23" s="1886" t="s">
        <v>1200</v>
      </c>
      <c r="C23" s="1886"/>
      <c r="D23" s="1886"/>
      <c r="E23" s="1886"/>
      <c r="F23" s="1886"/>
      <c r="G23" s="1886"/>
      <c r="H23" s="1886"/>
      <c r="I23" s="1886"/>
      <c r="J23" s="1886"/>
      <c r="K23" s="1886"/>
      <c r="L23" s="1886"/>
      <c r="M23" s="1886"/>
      <c r="N23" s="1886"/>
      <c r="O23" s="1886"/>
      <c r="P23" s="1886"/>
      <c r="Q23" s="1886"/>
      <c r="R23" s="1886"/>
      <c r="S23" s="1886"/>
      <c r="T23" s="1886"/>
      <c r="U23" s="1886"/>
      <c r="V23" s="1886"/>
    </row>
    <row r="24" spans="2:22" hidden="1" x14ac:dyDescent="0.2">
      <c r="B24" s="1289"/>
      <c r="C24" s="1289"/>
      <c r="D24" s="1289"/>
      <c r="E24" s="1289"/>
      <c r="F24" s="1289"/>
      <c r="G24" s="1289"/>
      <c r="H24" s="1289"/>
      <c r="I24" s="1289"/>
      <c r="J24" s="1289"/>
      <c r="K24" s="1289"/>
      <c r="L24" s="1289"/>
      <c r="M24" s="1289"/>
      <c r="N24" s="1289"/>
      <c r="O24" s="1289"/>
      <c r="P24" s="1289"/>
      <c r="Q24" s="1289"/>
      <c r="R24" s="1289"/>
      <c r="S24" s="1289"/>
      <c r="T24" s="1289"/>
      <c r="U24" s="1289"/>
      <c r="V24" s="1289"/>
    </row>
    <row r="25" spans="2:22" ht="26.25" hidden="1" customHeight="1" x14ac:dyDescent="0.2">
      <c r="B25" s="1886" t="s">
        <v>1201</v>
      </c>
      <c r="C25" s="1886"/>
      <c r="D25" s="1886"/>
      <c r="E25" s="1886"/>
      <c r="F25" s="1886"/>
      <c r="G25" s="1886"/>
      <c r="H25" s="1886"/>
      <c r="I25" s="1886"/>
      <c r="J25" s="1886"/>
      <c r="K25" s="1886"/>
      <c r="L25" s="1886"/>
      <c r="M25" s="1886"/>
      <c r="N25" s="1886"/>
      <c r="O25" s="1886"/>
      <c r="P25" s="1886"/>
      <c r="Q25" s="1886"/>
      <c r="R25" s="1886"/>
      <c r="S25" s="1886"/>
      <c r="T25" s="1886"/>
      <c r="U25" s="1886"/>
      <c r="V25" s="1886"/>
    </row>
    <row r="26" spans="2:22" hidden="1" x14ac:dyDescent="0.2">
      <c r="B26" s="1289"/>
      <c r="C26" s="1289"/>
      <c r="D26" s="1289"/>
      <c r="E26" s="1289"/>
      <c r="F26" s="1289"/>
      <c r="G26" s="1289"/>
      <c r="H26" s="1289"/>
      <c r="I26" s="1289"/>
      <c r="J26" s="1289"/>
      <c r="K26" s="1289"/>
      <c r="L26" s="1289"/>
      <c r="M26" s="1289"/>
      <c r="N26" s="1289"/>
      <c r="O26" s="1289"/>
      <c r="P26" s="1289"/>
      <c r="Q26" s="1289"/>
      <c r="R26" s="1289"/>
      <c r="S26" s="1289"/>
      <c r="T26" s="1289"/>
      <c r="U26" s="1289"/>
      <c r="V26" s="1289"/>
    </row>
    <row r="27" spans="2:22" ht="30.75" hidden="1" customHeight="1" x14ac:dyDescent="0.2">
      <c r="B27" s="1887" t="s">
        <v>1202</v>
      </c>
      <c r="C27" s="1887"/>
      <c r="D27" s="1887"/>
      <c r="E27" s="1887"/>
      <c r="F27" s="1887"/>
      <c r="G27" s="1887"/>
      <c r="H27" s="1887"/>
      <c r="I27" s="1887"/>
      <c r="J27" s="1887"/>
      <c r="K27" s="1887"/>
      <c r="L27" s="1887"/>
      <c r="M27" s="1887"/>
      <c r="N27" s="1887"/>
      <c r="O27" s="1887"/>
      <c r="P27" s="1887"/>
      <c r="Q27" s="1887"/>
      <c r="R27" s="1887"/>
      <c r="S27" s="1887"/>
      <c r="T27" s="1887"/>
      <c r="U27" s="1887"/>
      <c r="V27" s="1887"/>
    </row>
    <row r="28" spans="2:22" ht="13.5" customHeight="1" x14ac:dyDescent="0.2">
      <c r="B28" s="1254"/>
      <c r="C28" s="1254"/>
      <c r="D28" s="1254"/>
      <c r="E28" s="1254"/>
      <c r="F28" s="1254"/>
      <c r="G28" s="1254"/>
      <c r="H28" s="1254"/>
      <c r="I28" s="1254"/>
      <c r="J28" s="1254"/>
      <c r="K28" s="1254"/>
      <c r="L28" s="1254"/>
      <c r="M28" s="1254"/>
      <c r="N28" s="1254"/>
      <c r="O28" s="1254"/>
      <c r="P28" s="1254"/>
      <c r="Q28" s="1254"/>
      <c r="R28" s="1254"/>
      <c r="S28" s="1254"/>
      <c r="T28" s="1254"/>
      <c r="U28" s="1254"/>
      <c r="V28" s="1254"/>
    </row>
    <row r="29" spans="2:22" ht="15.75" customHeight="1" x14ac:dyDescent="0.2">
      <c r="B29" s="1889" t="s">
        <v>1227</v>
      </c>
      <c r="C29" s="1889"/>
      <c r="D29" s="1889"/>
      <c r="E29" s="1889"/>
      <c r="F29" s="1889"/>
      <c r="G29" s="1889"/>
      <c r="H29" s="1889"/>
      <c r="I29" s="1889"/>
      <c r="J29" s="1889"/>
      <c r="K29" s="1889"/>
      <c r="L29" s="1889"/>
      <c r="M29" s="1889"/>
      <c r="N29" s="1889"/>
      <c r="O29" s="1889"/>
      <c r="P29" s="1889"/>
      <c r="Q29" s="1889"/>
      <c r="R29" s="1889"/>
      <c r="S29" s="1889"/>
      <c r="T29" s="1889"/>
      <c r="U29" s="1889"/>
      <c r="V29" s="1889"/>
    </row>
    <row r="30" spans="2:22" ht="15.75" customHeight="1" x14ac:dyDescent="0.2">
      <c r="B30" s="1290"/>
      <c r="C30" s="1290"/>
      <c r="D30" s="1290"/>
      <c r="E30" s="1290"/>
      <c r="F30" s="1290"/>
      <c r="G30" s="1290"/>
      <c r="H30" s="1290"/>
      <c r="I30" s="1290"/>
      <c r="J30" s="1290"/>
      <c r="K30" s="1290"/>
      <c r="L30" s="1290"/>
      <c r="M30" s="1290"/>
      <c r="N30" s="1290"/>
      <c r="O30" s="1290"/>
      <c r="P30" s="1290"/>
      <c r="Q30" s="1290"/>
      <c r="R30" s="1290"/>
      <c r="S30" s="1290"/>
      <c r="T30" s="1290"/>
      <c r="U30" s="1290"/>
      <c r="V30" s="1290"/>
    </row>
    <row r="31" spans="2:22" ht="15.75" customHeight="1" x14ac:dyDescent="0.2">
      <c r="B31" s="1290" t="s">
        <v>1228</v>
      </c>
      <c r="C31" s="1290"/>
      <c r="D31" s="1320"/>
      <c r="E31" s="1290"/>
      <c r="F31" s="1290" t="s">
        <v>1229</v>
      </c>
      <c r="G31" s="1290"/>
      <c r="H31" s="1322"/>
      <c r="I31" s="1321"/>
      <c r="J31" s="1290"/>
      <c r="K31" s="1290" t="s">
        <v>1230</v>
      </c>
      <c r="L31" s="1290"/>
      <c r="M31" s="1290"/>
      <c r="N31" s="1290"/>
      <c r="O31" s="1290"/>
      <c r="P31" s="1290"/>
      <c r="Q31" s="1290"/>
      <c r="R31" s="1290"/>
      <c r="S31" s="1290"/>
      <c r="T31" s="1290"/>
      <c r="U31" s="1290"/>
      <c r="V31" s="1290"/>
    </row>
    <row r="32" spans="2:22" ht="15.75" customHeight="1" x14ac:dyDescent="0.2">
      <c r="B32" s="1290"/>
      <c r="C32" s="1290"/>
      <c r="D32" s="1290"/>
      <c r="E32" s="1290"/>
      <c r="F32" s="1290"/>
      <c r="G32" s="1290"/>
      <c r="H32" s="1290"/>
      <c r="I32" s="1290"/>
      <c r="J32" s="1290"/>
      <c r="K32" s="1290"/>
      <c r="L32" s="1290"/>
      <c r="M32" s="1290"/>
      <c r="N32" s="1290"/>
      <c r="O32" s="1290"/>
      <c r="P32" s="1290"/>
      <c r="Q32" s="1290"/>
      <c r="R32" s="1290"/>
      <c r="S32" s="1290"/>
      <c r="T32" s="1290"/>
      <c r="U32" s="1290"/>
      <c r="V32" s="1290"/>
    </row>
    <row r="33" spans="2:23" ht="15.75" customHeight="1" x14ac:dyDescent="0.2">
      <c r="B33" s="1290"/>
      <c r="C33" s="1290"/>
      <c r="D33" s="1323"/>
      <c r="E33" s="1290"/>
      <c r="F33" s="1290" t="s">
        <v>1231</v>
      </c>
      <c r="G33" s="1290"/>
      <c r="H33" s="1290"/>
      <c r="I33" s="1327"/>
      <c r="J33" s="1290"/>
      <c r="K33" s="1290" t="s">
        <v>1232</v>
      </c>
      <c r="L33" s="1290"/>
      <c r="M33" s="1290"/>
      <c r="N33" s="1290"/>
      <c r="O33" s="1290"/>
      <c r="P33" s="1290"/>
      <c r="Q33" s="1290"/>
      <c r="R33" s="1290"/>
      <c r="S33" s="1290"/>
      <c r="T33" s="1290"/>
      <c r="U33" s="1290"/>
      <c r="V33" s="1290"/>
    </row>
    <row r="34" spans="2:23" ht="15.75" customHeight="1" x14ac:dyDescent="0.2">
      <c r="B34" s="1290"/>
      <c r="C34" s="1290"/>
      <c r="D34" s="1290"/>
      <c r="E34" s="1290"/>
      <c r="F34" s="1290"/>
      <c r="G34" s="1290"/>
      <c r="H34" s="1290"/>
      <c r="I34" s="1290"/>
      <c r="J34" s="1290"/>
      <c r="K34" s="1290"/>
      <c r="L34" s="1290"/>
      <c r="M34" s="1290"/>
      <c r="N34" s="1290"/>
      <c r="O34" s="1290"/>
      <c r="P34" s="1290"/>
      <c r="Q34" s="1290"/>
      <c r="R34" s="1290"/>
      <c r="S34" s="1290"/>
      <c r="T34" s="1290"/>
      <c r="U34" s="1290"/>
      <c r="V34" s="1290"/>
    </row>
    <row r="35" spans="2:23" ht="15.75" customHeight="1" x14ac:dyDescent="0.2">
      <c r="B35" s="1337" t="s">
        <v>1233</v>
      </c>
      <c r="C35" s="1322"/>
      <c r="D35" s="1322"/>
      <c r="E35" s="1290"/>
      <c r="F35" s="1290"/>
      <c r="G35" s="1290"/>
      <c r="H35" s="1290"/>
      <c r="I35" s="1290"/>
      <c r="J35" s="1290"/>
      <c r="K35" s="1290"/>
      <c r="L35" s="1290"/>
      <c r="M35" s="1290"/>
      <c r="N35" s="1290"/>
      <c r="O35" s="1290"/>
      <c r="P35" s="1290"/>
      <c r="Q35" s="1290"/>
      <c r="R35" s="1290"/>
      <c r="S35" s="1290"/>
      <c r="T35" s="1290"/>
      <c r="U35" s="1290"/>
      <c r="V35" s="1290"/>
    </row>
    <row r="36" spans="2:23" ht="15.75" customHeight="1" thickBot="1" x14ac:dyDescent="0.25">
      <c r="B36" s="1322"/>
      <c r="C36" s="1322"/>
      <c r="D36" s="1322"/>
      <c r="E36" s="1290"/>
      <c r="F36" s="1342"/>
      <c r="G36" s="1342"/>
      <c r="H36" s="1342"/>
      <c r="I36" s="1342"/>
      <c r="J36" s="1290"/>
      <c r="K36" s="1290"/>
      <c r="L36" s="1290"/>
      <c r="M36" s="1290"/>
      <c r="N36" s="1290"/>
      <c r="O36" s="1290"/>
      <c r="P36" s="1290"/>
      <c r="Q36" s="1290"/>
      <c r="R36" s="1290"/>
      <c r="S36" s="1290"/>
      <c r="T36" s="1290"/>
      <c r="U36" s="1290"/>
      <c r="V36" s="1290"/>
    </row>
    <row r="37" spans="2:23" ht="15.75" customHeight="1" x14ac:dyDescent="0.2">
      <c r="C37" s="1264"/>
      <c r="D37" s="1268" t="s">
        <v>1205</v>
      </c>
      <c r="E37" s="1287"/>
      <c r="F37" s="1341"/>
      <c r="G37" s="1341"/>
      <c r="H37" s="1341"/>
      <c r="I37" s="1341"/>
      <c r="J37" s="1340"/>
      <c r="K37" s="1859" t="s">
        <v>1213</v>
      </c>
      <c r="L37" s="1860"/>
      <c r="M37" s="1860"/>
      <c r="N37" s="1860"/>
      <c r="O37" s="1861"/>
      <c r="P37" s="1290"/>
      <c r="Q37" s="1290"/>
      <c r="R37" s="1290"/>
      <c r="S37" s="1290"/>
      <c r="T37" s="1290"/>
      <c r="U37" s="1290"/>
      <c r="V37" s="1290"/>
      <c r="W37" s="1290"/>
    </row>
    <row r="38" spans="2:23" ht="39.75" customHeight="1" thickBot="1" x14ac:dyDescent="0.25">
      <c r="C38" s="1271"/>
      <c r="D38" s="1277" t="str">
        <f>CONCATENATE("(for ",TestYear," Cost of Service")</f>
        <v>(for 2017 Cost of Service</v>
      </c>
      <c r="E38" s="1344"/>
      <c r="F38" s="1888"/>
      <c r="G38" s="1888"/>
      <c r="H38" s="1888"/>
      <c r="I38" s="1295"/>
      <c r="J38" s="1343"/>
      <c r="K38" s="1284"/>
      <c r="L38" s="1276" t="s">
        <v>1226</v>
      </c>
      <c r="M38" s="1276" t="s">
        <v>1210</v>
      </c>
      <c r="N38" s="1305"/>
      <c r="O38" s="1306" t="s">
        <v>1210</v>
      </c>
      <c r="P38" s="1290"/>
      <c r="Q38" s="1290"/>
      <c r="R38" s="1290"/>
      <c r="S38" s="1290"/>
      <c r="T38" s="1290"/>
      <c r="U38" s="1290"/>
      <c r="V38" s="1290"/>
      <c r="W38" s="1290"/>
    </row>
    <row r="39" spans="2:23" ht="15.75" customHeight="1" x14ac:dyDescent="0.2">
      <c r="C39" s="1266" t="s">
        <v>890</v>
      </c>
      <c r="D39" s="1363">
        <f t="shared" ref="D39:D44" si="0">D40-1</f>
        <v>2011</v>
      </c>
      <c r="E39" s="1309"/>
      <c r="F39" s="1292"/>
      <c r="G39" s="1331"/>
      <c r="H39" s="2"/>
      <c r="I39" s="2"/>
      <c r="J39" s="1297"/>
      <c r="K39" s="1300" t="s">
        <v>413</v>
      </c>
      <c r="L39" s="1301">
        <v>241928636.40000001</v>
      </c>
      <c r="M39" s="1301">
        <v>238805859.95542297</v>
      </c>
      <c r="N39" s="1297" t="str">
        <f t="shared" ref="N39:N45" si="1">IF(D39=RebaseYear,"Board-approved","")</f>
        <v/>
      </c>
      <c r="O39" s="1492"/>
      <c r="P39" s="1290"/>
      <c r="Q39" s="1290"/>
      <c r="R39" s="1290"/>
      <c r="S39" s="1290"/>
      <c r="T39" s="1290"/>
      <c r="U39" s="1290"/>
      <c r="V39" s="1290"/>
      <c r="W39" s="1290"/>
    </row>
    <row r="40" spans="2:23" ht="15.75" customHeight="1" x14ac:dyDescent="0.2">
      <c r="C40" s="1266" t="s">
        <v>890</v>
      </c>
      <c r="D40" s="1363">
        <f t="shared" si="0"/>
        <v>2012</v>
      </c>
      <c r="E40" s="1309"/>
      <c r="F40" s="1292"/>
      <c r="G40" s="1331"/>
      <c r="H40" s="2"/>
      <c r="I40" s="2"/>
      <c r="J40" s="1297"/>
      <c r="K40" s="1300" t="s">
        <v>413</v>
      </c>
      <c r="L40" s="1301">
        <v>233351045.58096856</v>
      </c>
      <c r="M40" s="1301">
        <v>233040481.08302724</v>
      </c>
      <c r="N40" s="1297" t="str">
        <f t="shared" si="1"/>
        <v>Board-approved</v>
      </c>
      <c r="O40" s="1493">
        <v>240658927.78864172</v>
      </c>
      <c r="P40" s="1290"/>
      <c r="Q40" s="1290"/>
      <c r="R40" s="1290"/>
      <c r="S40" s="1290"/>
      <c r="T40" s="1290"/>
      <c r="U40" s="1290"/>
      <c r="V40" s="1290"/>
      <c r="W40" s="1290"/>
    </row>
    <row r="41" spans="2:23" ht="15.75" customHeight="1" x14ac:dyDescent="0.2">
      <c r="C41" s="1266" t="s">
        <v>890</v>
      </c>
      <c r="D41" s="1363">
        <f t="shared" si="0"/>
        <v>2013</v>
      </c>
      <c r="E41" s="1309"/>
      <c r="F41" s="1292"/>
      <c r="G41" s="1331"/>
      <c r="H41" s="2"/>
      <c r="I41" s="1292"/>
      <c r="J41" s="1297"/>
      <c r="K41" s="1300" t="s">
        <v>413</v>
      </c>
      <c r="L41" s="1301">
        <v>229730886.55255783</v>
      </c>
      <c r="M41" s="1301">
        <v>230500404.74313378</v>
      </c>
      <c r="N41" s="1297" t="str">
        <f t="shared" si="1"/>
        <v/>
      </c>
      <c r="O41" s="1325"/>
      <c r="P41" s="1290"/>
      <c r="Q41" s="1290"/>
      <c r="R41" s="1290"/>
      <c r="S41" s="1290"/>
      <c r="T41" s="1290"/>
      <c r="U41" s="1290"/>
      <c r="V41" s="1290"/>
      <c r="W41" s="1290"/>
    </row>
    <row r="42" spans="2:23" ht="15.75" customHeight="1" x14ac:dyDescent="0.2">
      <c r="C42" s="1266" t="s">
        <v>890</v>
      </c>
      <c r="D42" s="1363">
        <f t="shared" si="0"/>
        <v>2014</v>
      </c>
      <c r="E42" s="1309"/>
      <c r="F42" s="1292"/>
      <c r="G42" s="1331"/>
      <c r="H42" s="2"/>
      <c r="I42" s="2"/>
      <c r="J42" s="1297"/>
      <c r="K42" s="1300" t="s">
        <v>413</v>
      </c>
      <c r="L42" s="1301">
        <v>230942887.5</v>
      </c>
      <c r="M42" s="1301">
        <v>231786400.86942917</v>
      </c>
      <c r="N42" s="1297" t="str">
        <f t="shared" si="1"/>
        <v/>
      </c>
      <c r="O42" s="1324"/>
      <c r="P42" s="1290"/>
      <c r="Q42" s="1290"/>
      <c r="R42" s="1290"/>
      <c r="S42" s="1290"/>
      <c r="T42" s="1290"/>
      <c r="U42" s="1290"/>
      <c r="V42" s="1290"/>
      <c r="W42" s="1290"/>
    </row>
    <row r="43" spans="2:23" ht="15.75" customHeight="1" x14ac:dyDescent="0.2">
      <c r="C43" s="1266" t="s">
        <v>890</v>
      </c>
      <c r="D43" s="1363">
        <f t="shared" si="0"/>
        <v>2015</v>
      </c>
      <c r="E43" s="1309"/>
      <c r="F43" s="1292"/>
      <c r="G43" s="1331"/>
      <c r="H43" s="2"/>
      <c r="I43" s="2"/>
      <c r="J43" s="1297"/>
      <c r="K43" s="1300" t="s">
        <v>413</v>
      </c>
      <c r="L43" s="1301">
        <v>232502517.32197464</v>
      </c>
      <c r="M43" s="1301">
        <v>235738189.36956033</v>
      </c>
      <c r="N43" s="1297" t="str">
        <f t="shared" si="1"/>
        <v/>
      </c>
      <c r="O43" s="1324"/>
      <c r="P43" s="1290"/>
      <c r="Q43" s="1290"/>
      <c r="R43" s="1290"/>
      <c r="S43" s="1290"/>
      <c r="T43" s="1290"/>
      <c r="U43" s="1290"/>
      <c r="V43" s="1290"/>
      <c r="W43" s="1290"/>
    </row>
    <row r="44" spans="2:23" ht="15.75" customHeight="1" x14ac:dyDescent="0.2">
      <c r="C44" s="1266" t="s">
        <v>313</v>
      </c>
      <c r="D44" s="1363">
        <f t="shared" si="0"/>
        <v>2016</v>
      </c>
      <c r="E44" s="1309"/>
      <c r="F44" s="1292"/>
      <c r="G44" s="1331"/>
      <c r="H44" s="2"/>
      <c r="I44" s="2"/>
      <c r="J44" s="1297"/>
      <c r="K44" s="1300" t="s">
        <v>86</v>
      </c>
      <c r="L44" s="1303"/>
      <c r="M44" s="1301">
        <v>233105737.22604215</v>
      </c>
      <c r="N44" s="1297" t="str">
        <f t="shared" si="1"/>
        <v/>
      </c>
      <c r="O44" s="1324"/>
      <c r="P44" s="1290"/>
      <c r="Q44" s="1290"/>
      <c r="R44" s="1290"/>
      <c r="S44" s="1290"/>
      <c r="T44" s="1290"/>
      <c r="U44" s="1290"/>
      <c r="V44" s="1290"/>
      <c r="W44" s="1290"/>
    </row>
    <row r="45" spans="2:23" ht="15.75" customHeight="1" thickBot="1" x14ac:dyDescent="0.25">
      <c r="C45" s="1267" t="s">
        <v>314</v>
      </c>
      <c r="D45" s="1364">
        <f>TestYear</f>
        <v>2017</v>
      </c>
      <c r="E45" s="1310"/>
      <c r="F45" s="1293"/>
      <c r="G45" s="1338"/>
      <c r="H45" s="1307"/>
      <c r="I45" s="1307"/>
      <c r="J45" s="1298"/>
      <c r="K45" s="1300" t="s">
        <v>86</v>
      </c>
      <c r="L45" s="1304"/>
      <c r="M45" s="1302">
        <v>229752893.87397906</v>
      </c>
      <c r="N45" s="1298" t="str">
        <f t="shared" si="1"/>
        <v/>
      </c>
      <c r="O45" s="1326"/>
      <c r="P45" s="1290"/>
      <c r="Q45" s="1290"/>
      <c r="R45" s="1290"/>
      <c r="S45" s="1290"/>
      <c r="T45" s="1290"/>
      <c r="U45" s="1290"/>
      <c r="V45" s="1290"/>
      <c r="W45" s="1290"/>
    </row>
    <row r="46" spans="2:23" ht="15.75" customHeight="1" thickBot="1" x14ac:dyDescent="0.25">
      <c r="C46" s="1362"/>
      <c r="D46" s="1361"/>
      <c r="F46" s="1299"/>
      <c r="G46" s="1299"/>
      <c r="H46" s="1299"/>
      <c r="I46" s="1339"/>
      <c r="J46" s="1299"/>
      <c r="K46" s="1345"/>
      <c r="O46" s="1408">
        <f>SUM(O39:O44)</f>
        <v>240658927.78864172</v>
      </c>
      <c r="P46" s="1290"/>
      <c r="Q46" s="1290"/>
      <c r="R46" s="1290"/>
      <c r="S46" s="1290"/>
      <c r="T46" s="1290"/>
      <c r="U46" s="1290"/>
      <c r="V46" s="1290"/>
      <c r="W46" s="1290"/>
    </row>
    <row r="47" spans="2:23" ht="33" customHeight="1" thickBot="1" x14ac:dyDescent="0.25">
      <c r="C47" s="1346" t="s">
        <v>952</v>
      </c>
      <c r="D47" s="1345"/>
      <c r="E47" s="1345"/>
      <c r="F47" s="1347"/>
      <c r="G47" s="1348"/>
      <c r="H47" s="1347"/>
      <c r="I47" s="1349"/>
      <c r="J47" s="1359"/>
      <c r="K47" s="1395" t="s">
        <v>15</v>
      </c>
      <c r="L47" s="1874" t="s">
        <v>1222</v>
      </c>
      <c r="M47" s="1874"/>
      <c r="N47" s="1393"/>
      <c r="O47" s="1394" t="s">
        <v>1223</v>
      </c>
      <c r="P47" s="1290"/>
      <c r="Q47" s="1290"/>
      <c r="R47" s="1290"/>
      <c r="S47" s="1290"/>
      <c r="T47" s="1290"/>
      <c r="U47" s="1290"/>
      <c r="V47" s="1290"/>
      <c r="W47" s="1290"/>
    </row>
    <row r="48" spans="2:23" ht="15.75" customHeight="1" x14ac:dyDescent="0.2">
      <c r="C48" s="1367"/>
      <c r="D48" s="1368">
        <f t="shared" ref="D48:D54" si="2">D39</f>
        <v>2011</v>
      </c>
      <c r="E48" s="1329"/>
      <c r="F48" s="2"/>
      <c r="G48" s="1350"/>
      <c r="H48" s="2"/>
      <c r="I48" s="1350"/>
      <c r="J48" s="1297"/>
      <c r="K48" s="1363">
        <f>D48</f>
        <v>2011</v>
      </c>
      <c r="L48" s="1351"/>
      <c r="M48" s="1351"/>
      <c r="N48" s="1329"/>
      <c r="O48" s="1324"/>
      <c r="P48" s="1290"/>
      <c r="Q48" s="1290"/>
      <c r="R48" s="1290"/>
      <c r="S48" s="1290"/>
      <c r="T48" s="1290"/>
      <c r="U48" s="1290"/>
      <c r="V48" s="1290"/>
      <c r="W48" s="1290"/>
    </row>
    <row r="49" spans="2:23" ht="15.75" customHeight="1" x14ac:dyDescent="0.2">
      <c r="C49" s="1367"/>
      <c r="D49" s="1368">
        <f t="shared" si="2"/>
        <v>2012</v>
      </c>
      <c r="E49" s="1329"/>
      <c r="F49" s="2"/>
      <c r="G49" s="1352"/>
      <c r="H49" s="2"/>
      <c r="I49" s="1350"/>
      <c r="J49" s="1297"/>
      <c r="K49" s="1363">
        <f t="shared" ref="K49:K55" si="3">D49</f>
        <v>2012</v>
      </c>
      <c r="L49" s="1353">
        <f t="shared" ref="L49:M52" si="4">IF(L39=0,"",L40/L39-1)</f>
        <v>-3.5455045531895713E-2</v>
      </c>
      <c r="M49" s="1353">
        <f t="shared" si="4"/>
        <v>-2.414253516840803E-2</v>
      </c>
      <c r="N49" s="1329"/>
      <c r="O49" s="1324"/>
      <c r="P49" s="1290"/>
      <c r="Q49" s="1290"/>
      <c r="R49" s="1290"/>
      <c r="S49" s="1290"/>
      <c r="T49" s="1290"/>
      <c r="U49" s="1290"/>
      <c r="V49" s="1290"/>
      <c r="W49" s="1290"/>
    </row>
    <row r="50" spans="2:23" ht="15.75" customHeight="1" x14ac:dyDescent="0.2">
      <c r="C50" s="1367"/>
      <c r="D50" s="1368">
        <f t="shared" si="2"/>
        <v>2013</v>
      </c>
      <c r="E50" s="1329"/>
      <c r="F50" s="2"/>
      <c r="G50" s="1352"/>
      <c r="H50" s="2"/>
      <c r="I50" s="1350"/>
      <c r="J50" s="1297"/>
      <c r="K50" s="1363">
        <f t="shared" si="3"/>
        <v>2013</v>
      </c>
      <c r="L50" s="1353">
        <f t="shared" si="4"/>
        <v>-1.5513789618545326E-2</v>
      </c>
      <c r="M50" s="1353">
        <f t="shared" si="4"/>
        <v>-1.0899721490827519E-2</v>
      </c>
      <c r="N50" s="1329"/>
      <c r="O50" s="1324"/>
      <c r="P50" s="1290"/>
      <c r="Q50" s="1290"/>
      <c r="R50" s="1290"/>
      <c r="S50" s="1290"/>
      <c r="T50" s="1290"/>
      <c r="U50" s="1290"/>
      <c r="V50" s="1290"/>
      <c r="W50" s="1290"/>
    </row>
    <row r="51" spans="2:23" ht="15.75" customHeight="1" x14ac:dyDescent="0.2">
      <c r="C51" s="1367"/>
      <c r="D51" s="1368">
        <f t="shared" si="2"/>
        <v>2014</v>
      </c>
      <c r="E51" s="1329"/>
      <c r="F51" s="2"/>
      <c r="G51" s="1352"/>
      <c r="H51" s="2"/>
      <c r="I51" s="1350"/>
      <c r="J51" s="1297"/>
      <c r="K51" s="1363">
        <f t="shared" si="3"/>
        <v>2014</v>
      </c>
      <c r="L51" s="1353">
        <f t="shared" si="4"/>
        <v>5.2757422636111606E-3</v>
      </c>
      <c r="M51" s="1353">
        <f t="shared" si="4"/>
        <v>5.5791491027032958E-3</v>
      </c>
      <c r="N51" s="1329"/>
      <c r="O51" s="1324"/>
      <c r="P51" s="1290"/>
      <c r="Q51" s="1290"/>
      <c r="R51" s="1290"/>
      <c r="S51" s="1290"/>
      <c r="T51" s="1290"/>
      <c r="U51" s="1290"/>
      <c r="V51" s="1290"/>
      <c r="W51" s="1290"/>
    </row>
    <row r="52" spans="2:23" ht="15.75" customHeight="1" x14ac:dyDescent="0.2">
      <c r="C52" s="1367"/>
      <c r="D52" s="1368">
        <f t="shared" si="2"/>
        <v>2015</v>
      </c>
      <c r="E52" s="1329"/>
      <c r="F52" s="2"/>
      <c r="G52" s="1352"/>
      <c r="H52" s="2"/>
      <c r="I52" s="1350"/>
      <c r="J52" s="1297"/>
      <c r="K52" s="1363">
        <f t="shared" si="3"/>
        <v>2015</v>
      </c>
      <c r="L52" s="1353">
        <f t="shared" si="4"/>
        <v>6.7533139420656862E-3</v>
      </c>
      <c r="M52" s="1353">
        <f t="shared" si="4"/>
        <v>1.7049268142169005E-2</v>
      </c>
      <c r="N52" s="1329"/>
      <c r="O52" s="1324"/>
      <c r="P52" s="1290"/>
      <c r="Q52" s="1290"/>
      <c r="R52" s="1290"/>
      <c r="S52" s="1290"/>
      <c r="T52" s="1290"/>
      <c r="U52" s="1290"/>
      <c r="V52" s="1290"/>
      <c r="W52" s="1290"/>
    </row>
    <row r="53" spans="2:23" ht="15.75" customHeight="1" x14ac:dyDescent="0.2">
      <c r="C53" s="1367"/>
      <c r="D53" s="1368">
        <f t="shared" si="2"/>
        <v>2016</v>
      </c>
      <c r="E53" s="1329"/>
      <c r="F53" s="2"/>
      <c r="G53" s="1352"/>
      <c r="H53" s="2"/>
      <c r="I53" s="1350"/>
      <c r="J53" s="1297"/>
      <c r="K53" s="1363">
        <f t="shared" si="3"/>
        <v>2016</v>
      </c>
      <c r="L53" s="1353" t="str">
        <f>IF(K44="Forecast","",IF(L43=0,"",L44/L43-1))</f>
        <v/>
      </c>
      <c r="M53" s="1353">
        <f>IF(M43=0,"",M44/M43-1)</f>
        <v>-1.1166846366972627E-2</v>
      </c>
      <c r="N53" s="1329"/>
      <c r="O53" s="1324"/>
      <c r="P53" s="1290"/>
      <c r="Q53" s="1290"/>
      <c r="R53" s="1290"/>
      <c r="S53" s="1290"/>
      <c r="T53" s="1290"/>
      <c r="U53" s="1290"/>
      <c r="V53" s="1290"/>
      <c r="W53" s="1290"/>
    </row>
    <row r="54" spans="2:23" ht="15.75" customHeight="1" x14ac:dyDescent="0.2">
      <c r="C54" s="1367"/>
      <c r="D54" s="1368">
        <f t="shared" si="2"/>
        <v>2017</v>
      </c>
      <c r="E54" s="1329"/>
      <c r="F54" s="2"/>
      <c r="G54" s="1352"/>
      <c r="H54" s="2"/>
      <c r="I54" s="1352"/>
      <c r="J54" s="1297"/>
      <c r="K54" s="1363">
        <f t="shared" si="3"/>
        <v>2017</v>
      </c>
      <c r="L54" s="1353" t="str">
        <f>IF(K45="Forecast","",IF(L44=0,"",L45/L44-1))</f>
        <v/>
      </c>
      <c r="M54" s="1353">
        <f>IF(M44=0,"",M45/M44-1)</f>
        <v>-1.4383358350428921E-2</v>
      </c>
      <c r="N54" s="1329"/>
      <c r="O54" s="1354">
        <f>IF(O46=0,"",M45/O46-1)</f>
        <v>-4.5317387619381644E-2</v>
      </c>
      <c r="P54" s="1290"/>
      <c r="Q54" s="1290"/>
      <c r="R54" s="1290"/>
      <c r="S54" s="1290"/>
      <c r="T54" s="1290"/>
      <c r="U54" s="1290"/>
      <c r="V54" s="1290"/>
      <c r="W54" s="1290"/>
    </row>
    <row r="55" spans="2:23" ht="31.5" customHeight="1" thickBot="1" x14ac:dyDescent="0.25">
      <c r="C55" s="1369"/>
      <c r="D55" s="1370" t="s">
        <v>1221</v>
      </c>
      <c r="E55" s="1355"/>
      <c r="F55" s="1307"/>
      <c r="G55" s="1356"/>
      <c r="H55" s="1307"/>
      <c r="I55" s="1357"/>
      <c r="J55" s="1360"/>
      <c r="K55" s="1404" t="str">
        <f t="shared" si="3"/>
        <v>Geometric Mean</v>
      </c>
      <c r="L55" s="1358">
        <f>IF(L39=0,"",(L43/L39)^(1/($D43-$D39-1))-1)</f>
        <v>-1.3159887941596726E-2</v>
      </c>
      <c r="M55" s="1358">
        <f>IF(M39=0,"",(M45/M39)^(1/($D45-$D39-1))-1)</f>
        <v>-7.699518372429659E-3</v>
      </c>
      <c r="N55" s="1355"/>
      <c r="O55" s="1371">
        <f>IF(O46=0,"",(M45/O46)^(1/(TestYear-RebaseYear-1))-1)</f>
        <v>-1.1527131805295965E-2</v>
      </c>
      <c r="P55" s="1290"/>
      <c r="Q55" s="1290"/>
      <c r="R55" s="1290"/>
      <c r="S55" s="1290"/>
      <c r="T55" s="1290"/>
      <c r="U55" s="1290"/>
      <c r="V55" s="1290"/>
      <c r="W55" s="1290"/>
    </row>
    <row r="56" spans="2:23" ht="15.75" customHeight="1" x14ac:dyDescent="0.2">
      <c r="B56" s="1290"/>
      <c r="C56" s="1290"/>
      <c r="D56" s="1290"/>
      <c r="E56" s="1290"/>
      <c r="F56" s="1290"/>
      <c r="G56" s="1290"/>
      <c r="H56" s="1290"/>
      <c r="I56" s="1290"/>
      <c r="J56" s="1290"/>
      <c r="K56" s="1290"/>
      <c r="L56" s="1290"/>
      <c r="M56" s="1290"/>
      <c r="N56" s="1290"/>
      <c r="O56" s="1290"/>
      <c r="P56" s="1290"/>
      <c r="Q56" s="1290"/>
      <c r="R56" s="1290"/>
      <c r="S56" s="1290"/>
      <c r="T56" s="1290"/>
      <c r="U56" s="1290"/>
      <c r="V56" s="1290"/>
    </row>
    <row r="57" spans="2:23" ht="20.25" customHeight="1" x14ac:dyDescent="0.2">
      <c r="B57" s="1336" t="s">
        <v>1234</v>
      </c>
      <c r="C57" s="1290"/>
      <c r="D57" s="1290"/>
      <c r="E57" s="1290"/>
      <c r="F57" s="1290"/>
      <c r="G57" s="1290"/>
      <c r="H57" s="1290"/>
      <c r="I57" s="1290"/>
      <c r="J57" s="1290"/>
      <c r="K57" s="1290"/>
      <c r="L57" s="1290"/>
      <c r="M57" s="1290"/>
      <c r="N57" s="1290"/>
      <c r="O57" s="1290"/>
      <c r="P57" s="1290"/>
      <c r="Q57" s="1290"/>
      <c r="R57" s="1290"/>
      <c r="S57" s="1290"/>
      <c r="T57" s="1290"/>
      <c r="U57" s="1290"/>
      <c r="V57" s="1290"/>
    </row>
    <row r="58" spans="2:23" ht="14.25" customHeight="1" thickBot="1" x14ac:dyDescent="0.25">
      <c r="B58" s="1290"/>
      <c r="C58" s="1290"/>
      <c r="D58" s="1290"/>
      <c r="E58" s="1290"/>
      <c r="F58" s="1290"/>
      <c r="G58" s="1290"/>
      <c r="H58" s="1290"/>
      <c r="I58" s="1290"/>
      <c r="J58" s="1290"/>
      <c r="K58" s="1290"/>
      <c r="L58" s="1290"/>
      <c r="M58" s="1290"/>
      <c r="N58" s="1290"/>
      <c r="O58" s="1290"/>
      <c r="P58" s="1290"/>
      <c r="Q58" s="1290"/>
      <c r="R58" s="1290"/>
      <c r="S58" s="1290"/>
      <c r="T58" s="1290"/>
      <c r="U58" s="1290"/>
      <c r="V58" s="1290"/>
    </row>
    <row r="59" spans="2:23" ht="13.5" thickBot="1" x14ac:dyDescent="0.25">
      <c r="B59" s="1318">
        <v>1</v>
      </c>
      <c r="C59" s="3" t="s">
        <v>14</v>
      </c>
      <c r="D59" s="1880" t="s">
        <v>76</v>
      </c>
      <c r="E59" s="1881"/>
      <c r="F59" s="1882"/>
      <c r="G59" s="1291"/>
      <c r="H59" s="13" t="s">
        <v>1224</v>
      </c>
      <c r="N59" s="1317" t="s">
        <v>74</v>
      </c>
      <c r="O59" s="1316"/>
      <c r="P59" s="1316"/>
      <c r="Q59" s="1316"/>
      <c r="R59" s="1316"/>
      <c r="S59" s="1316"/>
      <c r="T59" s="1316"/>
      <c r="U59" s="1316"/>
    </row>
    <row r="60" spans="2:23" ht="13.5" thickBot="1" x14ac:dyDescent="0.25">
      <c r="Q60" s="1355"/>
      <c r="R60" s="1355"/>
      <c r="S60" s="1355"/>
      <c r="T60" s="1355"/>
      <c r="U60" s="1355"/>
    </row>
    <row r="61" spans="2:23" ht="12.75" customHeight="1" x14ac:dyDescent="0.2">
      <c r="C61" s="1264"/>
      <c r="D61" s="1268" t="s">
        <v>1205</v>
      </c>
      <c r="E61" s="1268"/>
      <c r="F61" s="1883" t="s">
        <v>1034</v>
      </c>
      <c r="G61" s="1884"/>
      <c r="H61" s="1884"/>
      <c r="I61" s="1885"/>
      <c r="J61" s="1268"/>
      <c r="K61" s="1859" t="s">
        <v>1213</v>
      </c>
      <c r="L61" s="1860"/>
      <c r="M61" s="1860"/>
      <c r="N61" s="1860"/>
      <c r="O61" s="1861"/>
      <c r="P61" s="1287"/>
      <c r="Q61" s="1869" t="str">
        <f>CONCATENATE("Consumption (kWh) per ",LEFT(F61,LEN(F61)-1))</f>
        <v>Consumption (kWh) per Customer</v>
      </c>
      <c r="R61" s="1879"/>
      <c r="S61" s="1879"/>
      <c r="T61" s="1879"/>
      <c r="U61" s="1870"/>
      <c r="V61" s="1308"/>
    </row>
    <row r="62" spans="2:23" ht="38.25" customHeight="1" thickBot="1" x14ac:dyDescent="0.25">
      <c r="C62" s="1271"/>
      <c r="D62" s="1277" t="str">
        <f>CONCATENATE("(for ",TestYear," Cost of Service")</f>
        <v>(for 2017 Cost of Service</v>
      </c>
      <c r="E62" s="1266"/>
      <c r="F62" s="1872"/>
      <c r="G62" s="1873"/>
      <c r="H62" s="1875"/>
      <c r="I62" s="1296"/>
      <c r="J62" s="1266"/>
      <c r="K62" s="1284"/>
      <c r="L62" s="1276" t="s">
        <v>1226</v>
      </c>
      <c r="M62" s="1276" t="s">
        <v>1210</v>
      </c>
      <c r="N62" s="1305"/>
      <c r="O62" s="1306" t="s">
        <v>1210</v>
      </c>
      <c r="P62" s="1266"/>
      <c r="Q62" s="1389"/>
      <c r="R62" s="1390" t="str">
        <f>L62</f>
        <v>Actual (Weather actual)</v>
      </c>
      <c r="S62" s="1391" t="str">
        <f>M62</f>
        <v>Weather-normalized</v>
      </c>
      <c r="T62" s="1391"/>
      <c r="U62" s="1392" t="str">
        <f>O62</f>
        <v>Weather-normalized</v>
      </c>
      <c r="V62" s="1308"/>
    </row>
    <row r="63" spans="2:23" x14ac:dyDescent="0.2">
      <c r="C63" s="1266" t="s">
        <v>890</v>
      </c>
      <c r="D63" s="1363">
        <f t="shared" ref="D63:D68" si="5">D64-1</f>
        <v>2011</v>
      </c>
      <c r="E63" s="1265"/>
      <c r="F63" s="1313" t="str">
        <f>K39</f>
        <v>Actual</v>
      </c>
      <c r="G63" s="1301">
        <v>9931.5</v>
      </c>
      <c r="H63" s="1297" t="str">
        <f t="shared" ref="H63:H69" si="6">IF(D63=RebaseYear,"Board-approved","")</f>
        <v/>
      </c>
      <c r="I63" s="1324"/>
      <c r="J63" s="1265"/>
      <c r="K63" s="1282" t="str">
        <f>F63</f>
        <v>Actual</v>
      </c>
      <c r="L63" s="1301">
        <v>91775630</v>
      </c>
      <c r="M63" s="1301">
        <v>90591004.732752308</v>
      </c>
      <c r="N63" s="1297" t="str">
        <f>H63</f>
        <v/>
      </c>
      <c r="O63" s="1492"/>
      <c r="P63" s="1265"/>
      <c r="Q63" s="1499" t="str">
        <f>K63</f>
        <v>Actual</v>
      </c>
      <c r="R63" s="1497">
        <f>IF(G63=0,"",L63/G63)</f>
        <v>9240.862910939939</v>
      </c>
      <c r="S63" s="1497">
        <f>IF(G63=0,"",M63/G63)</f>
        <v>9121.5833190104531</v>
      </c>
      <c r="T63" s="1329" t="str">
        <f>N63</f>
        <v/>
      </c>
      <c r="U63" s="1329" t="str">
        <f>IF(T63="","",IF(I63=0,"",O63/I63))</f>
        <v/>
      </c>
      <c r="V63" s="1309"/>
    </row>
    <row r="64" spans="2:23" x14ac:dyDescent="0.2">
      <c r="C64" s="1266" t="s">
        <v>890</v>
      </c>
      <c r="D64" s="1363">
        <f t="shared" si="5"/>
        <v>2012</v>
      </c>
      <c r="E64" s="1265"/>
      <c r="F64" s="1314" t="str">
        <f t="shared" ref="F64:F69" si="7">K40</f>
        <v>Actual</v>
      </c>
      <c r="G64" s="1301">
        <v>10007.5</v>
      </c>
      <c r="H64" s="1297" t="str">
        <f t="shared" si="6"/>
        <v>Board-approved</v>
      </c>
      <c r="I64" s="1494">
        <v>10023.425678689409</v>
      </c>
      <c r="J64" s="1265"/>
      <c r="K64" s="1282" t="str">
        <f t="shared" ref="K64:K69" si="8">F64</f>
        <v>Actual</v>
      </c>
      <c r="L64" s="1301">
        <v>90281488</v>
      </c>
      <c r="M64" s="1301">
        <v>90161333.299495831</v>
      </c>
      <c r="N64" s="1297" t="str">
        <f t="shared" ref="N64:N69" si="9">H64</f>
        <v>Board-approved</v>
      </c>
      <c r="O64" s="1493">
        <v>95979438.068175137</v>
      </c>
      <c r="P64" s="1265"/>
      <c r="Q64" s="1385" t="str">
        <f t="shared" ref="Q64:Q69" si="10">K64</f>
        <v>Actual</v>
      </c>
      <c r="R64" s="1497">
        <f t="shared" ref="R64:R69" si="11">IF(G64=0,"",L64/G64)</f>
        <v>9021.3827629278039</v>
      </c>
      <c r="S64" s="1497">
        <f t="shared" ref="S64:S69" si="12">IF(G64=0,"",M64/G64)</f>
        <v>9009.3762977262886</v>
      </c>
      <c r="T64" s="1329" t="str">
        <f t="shared" ref="T64:T69" si="13">N64</f>
        <v>Board-approved</v>
      </c>
      <c r="U64" s="1497">
        <f t="shared" ref="U64:U69" si="14">IF(T64="","",IF(I64=0,"",O64/I64))</f>
        <v>9575.512518862186</v>
      </c>
      <c r="V64" s="1309"/>
    </row>
    <row r="65" spans="2:22" x14ac:dyDescent="0.2">
      <c r="C65" s="1266" t="s">
        <v>890</v>
      </c>
      <c r="D65" s="1363">
        <f t="shared" si="5"/>
        <v>2013</v>
      </c>
      <c r="E65" s="1265"/>
      <c r="F65" s="1314" t="str">
        <f t="shared" si="7"/>
        <v>Actual</v>
      </c>
      <c r="G65" s="1301">
        <v>10082.5</v>
      </c>
      <c r="H65" s="1297" t="str">
        <f t="shared" si="6"/>
        <v/>
      </c>
      <c r="I65" s="1325"/>
      <c r="J65" s="1265"/>
      <c r="K65" s="1282" t="str">
        <f t="shared" si="8"/>
        <v>Actual</v>
      </c>
      <c r="L65" s="1301">
        <v>88791227</v>
      </c>
      <c r="M65" s="1301">
        <v>89088646.582387879</v>
      </c>
      <c r="N65" s="1297" t="str">
        <f t="shared" si="9"/>
        <v/>
      </c>
      <c r="O65" s="1325"/>
      <c r="P65" s="1265"/>
      <c r="Q65" s="1385" t="str">
        <f t="shared" si="10"/>
        <v>Actual</v>
      </c>
      <c r="R65" s="1495">
        <f t="shared" si="11"/>
        <v>8806.4693280436404</v>
      </c>
      <c r="S65" s="1497">
        <f t="shared" si="12"/>
        <v>8835.9679228750683</v>
      </c>
      <c r="T65" s="1329" t="str">
        <f t="shared" si="13"/>
        <v/>
      </c>
      <c r="U65" s="1329" t="str">
        <f t="shared" si="14"/>
        <v/>
      </c>
      <c r="V65" s="1309"/>
    </row>
    <row r="66" spans="2:22" x14ac:dyDescent="0.2">
      <c r="C66" s="1266" t="s">
        <v>890</v>
      </c>
      <c r="D66" s="1363">
        <f t="shared" si="5"/>
        <v>2014</v>
      </c>
      <c r="E66" s="1265"/>
      <c r="F66" s="1314" t="str">
        <f t="shared" si="7"/>
        <v>Actual</v>
      </c>
      <c r="G66" s="1301">
        <v>10153.5</v>
      </c>
      <c r="H66" s="1297" t="str">
        <f t="shared" si="6"/>
        <v/>
      </c>
      <c r="I66" s="1324"/>
      <c r="J66" s="1265"/>
      <c r="K66" s="1282" t="str">
        <f t="shared" si="8"/>
        <v>Actual</v>
      </c>
      <c r="L66" s="1301">
        <v>89130958</v>
      </c>
      <c r="M66" s="1301">
        <v>89456506.690920517</v>
      </c>
      <c r="N66" s="1297" t="str">
        <f t="shared" si="9"/>
        <v/>
      </c>
      <c r="O66" s="1324"/>
      <c r="P66" s="1265"/>
      <c r="Q66" s="1385" t="str">
        <f t="shared" si="10"/>
        <v>Actual</v>
      </c>
      <c r="R66" s="1495">
        <f t="shared" si="11"/>
        <v>8778.3481558083422</v>
      </c>
      <c r="S66" s="1497">
        <f t="shared" si="12"/>
        <v>8810.4108623549037</v>
      </c>
      <c r="T66" s="1329" t="str">
        <f t="shared" si="13"/>
        <v/>
      </c>
      <c r="U66" s="1329" t="str">
        <f t="shared" si="14"/>
        <v/>
      </c>
      <c r="V66" s="1309"/>
    </row>
    <row r="67" spans="2:22" x14ac:dyDescent="0.2">
      <c r="C67" s="1266" t="s">
        <v>890</v>
      </c>
      <c r="D67" s="1363">
        <f t="shared" si="5"/>
        <v>2015</v>
      </c>
      <c r="E67" s="1265"/>
      <c r="F67" s="1314" t="str">
        <f t="shared" si="7"/>
        <v>Actual</v>
      </c>
      <c r="G67" s="1301">
        <v>10217.5</v>
      </c>
      <c r="H67" s="1297" t="str">
        <f t="shared" si="6"/>
        <v/>
      </c>
      <c r="I67" s="1324"/>
      <c r="J67" s="1265"/>
      <c r="K67" s="1282" t="str">
        <f t="shared" si="8"/>
        <v>Actual</v>
      </c>
      <c r="L67" s="1301">
        <v>90749018</v>
      </c>
      <c r="M67" s="1301">
        <v>92011946.523400977</v>
      </c>
      <c r="N67" s="1297" t="str">
        <f t="shared" si="9"/>
        <v/>
      </c>
      <c r="O67" s="1324"/>
      <c r="P67" s="1265"/>
      <c r="Q67" s="1385" t="str">
        <f t="shared" si="10"/>
        <v>Actual</v>
      </c>
      <c r="R67" s="1495">
        <f t="shared" si="11"/>
        <v>8881.7242965500373</v>
      </c>
      <c r="S67" s="1497">
        <f t="shared" si="12"/>
        <v>9005.3287519844362</v>
      </c>
      <c r="T67" s="1329" t="str">
        <f t="shared" si="13"/>
        <v/>
      </c>
      <c r="U67" s="1329" t="str">
        <f t="shared" si="14"/>
        <v/>
      </c>
      <c r="V67" s="1309"/>
    </row>
    <row r="68" spans="2:22" x14ac:dyDescent="0.2">
      <c r="C68" s="1266" t="s">
        <v>313</v>
      </c>
      <c r="D68" s="1363">
        <f t="shared" si="5"/>
        <v>2016</v>
      </c>
      <c r="E68" s="1265"/>
      <c r="F68" s="1314" t="str">
        <f t="shared" si="7"/>
        <v>Forecast</v>
      </c>
      <c r="G68" s="1301">
        <v>10301.603081592852</v>
      </c>
      <c r="H68" s="1297" t="str">
        <f t="shared" si="6"/>
        <v/>
      </c>
      <c r="I68" s="1324"/>
      <c r="J68" s="1265"/>
      <c r="K68" s="1282" t="str">
        <f t="shared" si="8"/>
        <v>Forecast</v>
      </c>
      <c r="L68" s="1303"/>
      <c r="M68" s="1301">
        <v>92479879.620842174</v>
      </c>
      <c r="N68" s="1297" t="str">
        <f t="shared" si="9"/>
        <v/>
      </c>
      <c r="O68" s="1324"/>
      <c r="P68" s="1265"/>
      <c r="Q68" s="1385" t="str">
        <f t="shared" si="10"/>
        <v>Forecast</v>
      </c>
      <c r="R68" s="1387">
        <f t="shared" si="11"/>
        <v>0</v>
      </c>
      <c r="S68" s="1497">
        <f t="shared" si="12"/>
        <v>8977.231882102642</v>
      </c>
      <c r="T68" s="1329" t="str">
        <f t="shared" si="13"/>
        <v/>
      </c>
      <c r="U68" s="1329" t="str">
        <f t="shared" si="14"/>
        <v/>
      </c>
      <c r="V68" s="1309"/>
    </row>
    <row r="69" spans="2:22" ht="13.5" thickBot="1" x14ac:dyDescent="0.25">
      <c r="C69" s="1267" t="s">
        <v>314</v>
      </c>
      <c r="D69" s="1364">
        <f>TestYear</f>
        <v>2017</v>
      </c>
      <c r="E69" s="1271"/>
      <c r="F69" s="1315" t="str">
        <f t="shared" si="7"/>
        <v>Forecast</v>
      </c>
      <c r="G69" s="1302">
        <v>10386.398439019657</v>
      </c>
      <c r="H69" s="1298" t="str">
        <f t="shared" si="6"/>
        <v/>
      </c>
      <c r="I69" s="1326"/>
      <c r="J69" s="1271"/>
      <c r="K69" s="1283" t="str">
        <f t="shared" si="8"/>
        <v>Forecast</v>
      </c>
      <c r="L69" s="1304"/>
      <c r="M69" s="1302">
        <v>92079767.015226617</v>
      </c>
      <c r="N69" s="1298" t="str">
        <f t="shared" si="9"/>
        <v/>
      </c>
      <c r="O69" s="1326"/>
      <c r="P69" s="1271"/>
      <c r="Q69" s="1386" t="str">
        <f t="shared" si="10"/>
        <v>Forecast</v>
      </c>
      <c r="R69" s="1388">
        <f t="shared" si="11"/>
        <v>0</v>
      </c>
      <c r="S69" s="1498">
        <f t="shared" si="12"/>
        <v>8865.4183214559762</v>
      </c>
      <c r="T69" s="1355" t="str">
        <f t="shared" si="13"/>
        <v/>
      </c>
      <c r="U69" s="1355" t="str">
        <f t="shared" si="14"/>
        <v/>
      </c>
      <c r="V69" s="1309"/>
    </row>
    <row r="70" spans="2:22" ht="13.5" thickBot="1" x14ac:dyDescent="0.25">
      <c r="B70" s="1329"/>
      <c r="C70" s="1366"/>
      <c r="I70" s="1408">
        <f>SUM(I63:I68)</f>
        <v>10023.425678689409</v>
      </c>
      <c r="O70" s="1408">
        <f>SUM(O63:O68)</f>
        <v>95979438.068175137</v>
      </c>
      <c r="U70" s="1408">
        <f>SUM(U63:U68)</f>
        <v>9575.512518862186</v>
      </c>
    </row>
    <row r="71" spans="2:22" ht="39" thickBot="1" x14ac:dyDescent="0.25">
      <c r="C71" s="1400" t="s">
        <v>952</v>
      </c>
      <c r="D71" s="1399" t="s">
        <v>15</v>
      </c>
      <c r="E71" s="1361"/>
      <c r="F71" s="1361"/>
      <c r="G71" s="1398" t="s">
        <v>1222</v>
      </c>
      <c r="H71" s="1361"/>
      <c r="I71" s="1394" t="s">
        <v>1235</v>
      </c>
      <c r="J71" s="1396"/>
      <c r="K71" s="1395" t="s">
        <v>15</v>
      </c>
      <c r="L71" s="1874" t="s">
        <v>1222</v>
      </c>
      <c r="M71" s="1874"/>
      <c r="N71" s="1361"/>
      <c r="O71" s="1394" t="str">
        <f>I71</f>
        <v>Test Year Versus Board-approved</v>
      </c>
      <c r="P71" s="1397"/>
      <c r="Q71" s="1395" t="s">
        <v>15</v>
      </c>
      <c r="R71" s="1874" t="s">
        <v>1222</v>
      </c>
      <c r="S71" s="1874"/>
      <c r="T71" s="1361"/>
      <c r="U71" s="1394" t="str">
        <f>O71</f>
        <v>Test Year Versus Board-approved</v>
      </c>
    </row>
    <row r="72" spans="2:22" x14ac:dyDescent="0.2">
      <c r="C72" s="1265"/>
      <c r="D72" s="1377">
        <f t="shared" ref="D72:D78" si="15">D63</f>
        <v>2011</v>
      </c>
      <c r="E72" s="1329"/>
      <c r="F72" s="1329"/>
      <c r="G72" s="1372"/>
      <c r="H72" s="1329"/>
      <c r="I72" s="1378"/>
      <c r="J72" s="1384"/>
      <c r="K72" s="1363">
        <f>D72</f>
        <v>2011</v>
      </c>
      <c r="L72" s="1351"/>
      <c r="M72" s="1351"/>
      <c r="N72" s="1329"/>
      <c r="O72" s="1324"/>
      <c r="P72" s="1265"/>
      <c r="Q72" s="1363">
        <f>K72</f>
        <v>2011</v>
      </c>
      <c r="R72" s="1330"/>
      <c r="S72" s="1330"/>
      <c r="T72" s="1329"/>
      <c r="U72" s="1324"/>
    </row>
    <row r="73" spans="2:22" x14ac:dyDescent="0.2">
      <c r="C73" s="1265"/>
      <c r="D73" s="1365">
        <f t="shared" si="15"/>
        <v>2012</v>
      </c>
      <c r="E73" s="1329"/>
      <c r="F73" s="1329"/>
      <c r="G73" s="1373">
        <f t="shared" ref="G73:G78" si="16">IF(G63=0,"",G64/G63-1)</f>
        <v>7.6524190706337425E-3</v>
      </c>
      <c r="H73" s="1329"/>
      <c r="I73" s="1378"/>
      <c r="J73" s="1384"/>
      <c r="K73" s="1363">
        <f t="shared" ref="K73:K79" si="17">D73</f>
        <v>2012</v>
      </c>
      <c r="L73" s="1353">
        <f t="shared" ref="L73:M76" si="18">IF(L63=0,"",L64/L63-1)</f>
        <v>-1.6280378571086884E-2</v>
      </c>
      <c r="M73" s="1353">
        <f t="shared" si="18"/>
        <v>-4.7429812101547064E-3</v>
      </c>
      <c r="N73" s="1329"/>
      <c r="O73" s="1324"/>
      <c r="P73" s="1265"/>
      <c r="Q73" s="1363">
        <f t="shared" ref="Q73:Q79" si="19">K73</f>
        <v>2012</v>
      </c>
      <c r="R73" s="1374">
        <f>IF(R63="","",IF(R63=0,"",R64/R63-1))</f>
        <v>-2.3751044694354295E-2</v>
      </c>
      <c r="S73" s="1374">
        <f>IF(S63="","",IF(S63=0,"",S64/S63-1))</f>
        <v>-1.2301265839485542E-2</v>
      </c>
      <c r="T73" s="1329"/>
      <c r="U73" s="1324"/>
    </row>
    <row r="74" spans="2:22" x14ac:dyDescent="0.2">
      <c r="C74" s="1265"/>
      <c r="D74" s="1365">
        <f t="shared" si="15"/>
        <v>2013</v>
      </c>
      <c r="E74" s="1329"/>
      <c r="F74" s="1329"/>
      <c r="G74" s="1373">
        <f t="shared" si="16"/>
        <v>7.4943792155883759E-3</v>
      </c>
      <c r="H74" s="1329"/>
      <c r="I74" s="1378"/>
      <c r="J74" s="1384"/>
      <c r="K74" s="1363">
        <f t="shared" si="17"/>
        <v>2013</v>
      </c>
      <c r="L74" s="1353">
        <f t="shared" si="18"/>
        <v>-1.650682806645809E-2</v>
      </c>
      <c r="M74" s="1353">
        <f t="shared" si="18"/>
        <v>-1.1897414089305114E-2</v>
      </c>
      <c r="N74" s="1329"/>
      <c r="O74" s="1324"/>
      <c r="P74" s="1265"/>
      <c r="Q74" s="1363">
        <f t="shared" si="19"/>
        <v>2013</v>
      </c>
      <c r="R74" s="1374">
        <f t="shared" ref="R74:S76" si="20">IF(R64="","",IF(R64=0,"",R65/R64-1))</f>
        <v>-2.3822671150516062E-2</v>
      </c>
      <c r="S74" s="1374">
        <f t="shared" si="20"/>
        <v>-1.9247544904410718E-2</v>
      </c>
      <c r="T74" s="1329"/>
      <c r="U74" s="1324"/>
    </row>
    <row r="75" spans="2:22" x14ac:dyDescent="0.2">
      <c r="C75" s="1265"/>
      <c r="D75" s="1365">
        <f t="shared" si="15"/>
        <v>2014</v>
      </c>
      <c r="E75" s="1329"/>
      <c r="F75" s="1329"/>
      <c r="G75" s="1373">
        <f t="shared" si="16"/>
        <v>7.041904289610601E-3</v>
      </c>
      <c r="H75" s="1329"/>
      <c r="I75" s="1378"/>
      <c r="J75" s="1384"/>
      <c r="K75" s="1363">
        <f t="shared" si="17"/>
        <v>2014</v>
      </c>
      <c r="L75" s="1353">
        <f t="shared" si="18"/>
        <v>3.8261775569337075E-3</v>
      </c>
      <c r="M75" s="1353">
        <f t="shared" si="18"/>
        <v>4.1291468963158273E-3</v>
      </c>
      <c r="N75" s="1329"/>
      <c r="O75" s="1324"/>
      <c r="P75" s="1265"/>
      <c r="Q75" s="1363">
        <f t="shared" si="19"/>
        <v>2014</v>
      </c>
      <c r="R75" s="1374">
        <f t="shared" si="20"/>
        <v>-3.1932402405295823E-3</v>
      </c>
      <c r="S75" s="1374">
        <f t="shared" si="20"/>
        <v>-2.8923894635245473E-3</v>
      </c>
      <c r="T75" s="1329"/>
      <c r="U75" s="1324"/>
    </row>
    <row r="76" spans="2:22" x14ac:dyDescent="0.2">
      <c r="C76" s="1265"/>
      <c r="D76" s="1365">
        <f t="shared" si="15"/>
        <v>2015</v>
      </c>
      <c r="E76" s="1329"/>
      <c r="F76" s="1329"/>
      <c r="G76" s="1373">
        <f t="shared" si="16"/>
        <v>6.3032451863889172E-3</v>
      </c>
      <c r="H76" s="1329"/>
      <c r="I76" s="1378"/>
      <c r="J76" s="1384"/>
      <c r="K76" s="1363">
        <f t="shared" si="17"/>
        <v>2015</v>
      </c>
      <c r="L76" s="1353">
        <f t="shared" si="18"/>
        <v>1.8153737335573128E-2</v>
      </c>
      <c r="M76" s="1353">
        <f t="shared" si="18"/>
        <v>2.8566282398101217E-2</v>
      </c>
      <c r="N76" s="1329"/>
      <c r="O76" s="1324"/>
      <c r="P76" s="1265"/>
      <c r="Q76" s="1363">
        <f t="shared" si="19"/>
        <v>2015</v>
      </c>
      <c r="R76" s="1374">
        <f t="shared" si="20"/>
        <v>1.1776263473133541E-2</v>
      </c>
      <c r="S76" s="1374">
        <f t="shared" si="20"/>
        <v>2.2123586819585928E-2</v>
      </c>
      <c r="T76" s="1329"/>
      <c r="U76" s="1324"/>
    </row>
    <row r="77" spans="2:22" x14ac:dyDescent="0.2">
      <c r="C77" s="1265"/>
      <c r="D77" s="1365">
        <f t="shared" si="15"/>
        <v>2016</v>
      </c>
      <c r="E77" s="1329"/>
      <c r="F77" s="1329"/>
      <c r="G77" s="1373">
        <f t="shared" si="16"/>
        <v>8.2312778657060992E-3</v>
      </c>
      <c r="H77" s="1329"/>
      <c r="I77" s="1378"/>
      <c r="J77" s="1384"/>
      <c r="K77" s="1363">
        <f t="shared" si="17"/>
        <v>2016</v>
      </c>
      <c r="L77" s="1353" t="str">
        <f>IF(K68="Forecast","",IF(L67=0,"",L68/L67-1))</f>
        <v/>
      </c>
      <c r="M77" s="1353">
        <f>IF(M67=0,"",M68/M67-1)</f>
        <v>5.0855689410089777E-3</v>
      </c>
      <c r="N77" s="1329"/>
      <c r="O77" s="1324"/>
      <c r="P77" s="1265"/>
      <c r="Q77" s="1363">
        <f t="shared" si="19"/>
        <v>2016</v>
      </c>
      <c r="R77" s="1374" t="str">
        <f>IF(Q68="Forecast","",IF(R67=0,"",R68/R67-1))</f>
        <v/>
      </c>
      <c r="S77" s="1374">
        <f>IF(S67="","",IF(S67=0,"",S68/S67-1))</f>
        <v>-3.120027114568491E-3</v>
      </c>
      <c r="T77" s="1329"/>
      <c r="U77" s="1324"/>
    </row>
    <row r="78" spans="2:22" x14ac:dyDescent="0.2">
      <c r="C78" s="1265"/>
      <c r="D78" s="1365">
        <f t="shared" si="15"/>
        <v>2017</v>
      </c>
      <c r="E78" s="1329"/>
      <c r="F78" s="1329"/>
      <c r="G78" s="1373">
        <f t="shared" si="16"/>
        <v>8.2312778657060992E-3</v>
      </c>
      <c r="H78" s="1329"/>
      <c r="I78" s="1379">
        <f>IF(I70=0,"",G69/I70-1)</f>
        <v>3.6212445920754899E-2</v>
      </c>
      <c r="J78" s="1384"/>
      <c r="K78" s="1363">
        <f t="shared" si="17"/>
        <v>2017</v>
      </c>
      <c r="L78" s="1353" t="str">
        <f>IF(K69="Forecast","",IF(L68=0,"",L69/L68-1))</f>
        <v/>
      </c>
      <c r="M78" s="1353">
        <f>IF(M68=0,"",M69/M68-1)</f>
        <v>-4.3264827685327578E-3</v>
      </c>
      <c r="N78" s="1329"/>
      <c r="O78" s="1354">
        <f>IF(O70=0,"",M69/O70-1)</f>
        <v>-4.0630275936586968E-2</v>
      </c>
      <c r="P78" s="1265"/>
      <c r="Q78" s="1363">
        <f t="shared" si="19"/>
        <v>2017</v>
      </c>
      <c r="R78" s="1374" t="str">
        <f>IF(Q69="Forecast","",IF(R68=0,"",R69/R68-1))</f>
        <v/>
      </c>
      <c r="S78" s="1374">
        <f>IF(S68="","",IF(S68=0,"",S69/S68-1))</f>
        <v>-1.2455238108484368E-2</v>
      </c>
      <c r="T78" s="1329"/>
      <c r="U78" s="1354">
        <f>IF(U70=0,"",S69/U70-1)</f>
        <v>-7.4157304479257946E-2</v>
      </c>
    </row>
    <row r="79" spans="2:22" ht="26.25" thickBot="1" x14ac:dyDescent="0.25">
      <c r="C79" s="1271"/>
      <c r="D79" s="1405" t="s">
        <v>1221</v>
      </c>
      <c r="E79" s="1355"/>
      <c r="F79" s="1355"/>
      <c r="G79" s="1375">
        <f>IF(G63=0,"",(G69/G63)^(1/($D69-$D63-1))-1)</f>
        <v>8.9973517548049831E-3</v>
      </c>
      <c r="H79" s="1355"/>
      <c r="I79" s="1406">
        <f>IF(I70=0,"",(G69/I70)^(1/(TestYear-RebaseYear-1))-1)</f>
        <v>8.9327072309206557E-3</v>
      </c>
      <c r="J79" s="1360"/>
      <c r="K79" s="1404" t="str">
        <f t="shared" si="17"/>
        <v>Geometric Mean</v>
      </c>
      <c r="L79" s="1358">
        <f>IF(L63=0,"",(L67/L63)^(1/($D67-$D63-1))-1)</f>
        <v>-3.7426925428687419E-3</v>
      </c>
      <c r="M79" s="1358">
        <f>IF(M63=0,"",(M69/M63)^(1/($D69-$D63-1))-1)</f>
        <v>3.2653820941292988E-3</v>
      </c>
      <c r="N79" s="1355"/>
      <c r="O79" s="1371">
        <f>IF(O70=0,"",(M69/O70)^(1/(TestYear-RebaseYear-1))-1)</f>
        <v>-1.0316107051186019E-2</v>
      </c>
      <c r="P79" s="1271"/>
      <c r="Q79" s="1404" t="str">
        <f t="shared" si="19"/>
        <v>Geometric Mean</v>
      </c>
      <c r="R79" s="1376">
        <f>IF(R63="","",IF(R63=0,"",(R67/R63)^(1/($D67-$D63-1))-1))</f>
        <v>-1.312627382875553E-2</v>
      </c>
      <c r="S79" s="1358">
        <f>IF(S63="","",IF(S63=0,"",(S69/S63)^(1/($D69-$D63-1))-1))</f>
        <v>-5.6808569920494545E-3</v>
      </c>
      <c r="T79" s="1355"/>
      <c r="U79" s="1371">
        <f>IF(U70=0,"",(S69/U70)^(1/(TestYear-RebaseYear-1))-1)</f>
        <v>-1.9078392586693305E-2</v>
      </c>
    </row>
    <row r="81" spans="3:21" ht="13.5" thickBot="1" x14ac:dyDescent="0.25">
      <c r="Q81" s="1355"/>
      <c r="R81" s="1355"/>
      <c r="S81" s="1355"/>
      <c r="T81" s="1355"/>
      <c r="U81" s="1355"/>
    </row>
    <row r="82" spans="3:21" x14ac:dyDescent="0.2">
      <c r="C82" s="1264"/>
      <c r="D82" s="1268" t="s">
        <v>1205</v>
      </c>
      <c r="E82" s="1268"/>
      <c r="F82" s="1876" t="s">
        <v>1198</v>
      </c>
      <c r="G82" s="1877"/>
      <c r="H82" s="1877"/>
      <c r="I82" s="1878"/>
      <c r="K82" s="1859" t="str">
        <f>IF(ISBLANK(N59),"",CONCATENATE("Demand (",N59,")"))</f>
        <v>Demand (kWh)</v>
      </c>
      <c r="L82" s="1860"/>
      <c r="M82" s="1860"/>
      <c r="N82" s="1860"/>
      <c r="O82" s="1861"/>
      <c r="Q82" s="1869" t="str">
        <f>CONCATENATE("Demand (",N59,") per ",LEFT(F61,LEN(F61)-1))</f>
        <v>Demand (kWh) per Customer</v>
      </c>
      <c r="R82" s="1879"/>
      <c r="S82" s="1879"/>
      <c r="T82" s="1879"/>
      <c r="U82" s="1870"/>
    </row>
    <row r="83" spans="3:21" ht="39" thickBot="1" x14ac:dyDescent="0.25">
      <c r="C83" s="1271"/>
      <c r="D83" s="1277" t="str">
        <f>CONCATENATE("(for ",TestYear," Cost of Service")</f>
        <v>(for 2017 Cost of Service</v>
      </c>
      <c r="E83" s="1266"/>
      <c r="F83" s="1872"/>
      <c r="G83" s="1873"/>
      <c r="H83" s="1873"/>
      <c r="I83" s="1296"/>
      <c r="K83" s="1284"/>
      <c r="L83" s="1276" t="s">
        <v>1226</v>
      </c>
      <c r="M83" s="1276" t="s">
        <v>1210</v>
      </c>
      <c r="N83" s="1305"/>
      <c r="O83" s="1306" t="str">
        <f>M83</f>
        <v>Weather-normalized</v>
      </c>
      <c r="Q83" s="1403"/>
      <c r="R83" s="1276" t="str">
        <f>L83</f>
        <v>Actual (Weather actual)</v>
      </c>
      <c r="S83" s="1276" t="str">
        <f>M83</f>
        <v>Weather-normalized</v>
      </c>
      <c r="T83" s="1276"/>
      <c r="U83" s="1280" t="str">
        <f>O83</f>
        <v>Weather-normalized</v>
      </c>
    </row>
    <row r="84" spans="3:21" x14ac:dyDescent="0.2">
      <c r="C84" s="1266" t="s">
        <v>890</v>
      </c>
      <c r="D84" s="1363">
        <f t="shared" ref="D84:D89" si="21">D85-1</f>
        <v>2011</v>
      </c>
      <c r="E84" s="1265"/>
      <c r="F84" s="1313" t="str">
        <f t="shared" ref="F84:F90" si="22">F63</f>
        <v>Actual</v>
      </c>
      <c r="G84" s="1311">
        <v>1917697</v>
      </c>
      <c r="H84" s="2" t="str">
        <f t="shared" ref="H84:H90" si="23">IF(D84=RebaseYear,"Board-approved","")</f>
        <v/>
      </c>
      <c r="I84" s="1383"/>
      <c r="K84" s="1282" t="str">
        <f t="shared" ref="K84:K90" si="24">K63</f>
        <v>Actual</v>
      </c>
      <c r="L84" s="1294"/>
      <c r="M84" s="1294"/>
      <c r="N84" s="1258" t="str">
        <f t="shared" ref="N84:N90" si="25">N63</f>
        <v/>
      </c>
      <c r="O84" s="1324"/>
      <c r="Q84" s="1385" t="str">
        <f>K84</f>
        <v>Actual</v>
      </c>
      <c r="R84" s="1329">
        <f>IF(G84=0,"",L84/G84)</f>
        <v>0</v>
      </c>
      <c r="S84" s="1309">
        <f>IF(G84=0,"",M84/G84)</f>
        <v>0</v>
      </c>
      <c r="T84" s="1309" t="str">
        <f>N84</f>
        <v/>
      </c>
      <c r="U84" s="1265" t="str">
        <f>IF(T84="","",IF(I84=0,"",O84/I84))</f>
        <v/>
      </c>
    </row>
    <row r="85" spans="3:21" x14ac:dyDescent="0.2">
      <c r="C85" s="1266" t="s">
        <v>890</v>
      </c>
      <c r="D85" s="1363">
        <f t="shared" si="21"/>
        <v>2012</v>
      </c>
      <c r="E85" s="1265"/>
      <c r="F85" s="1314" t="str">
        <f t="shared" si="22"/>
        <v>Actual</v>
      </c>
      <c r="G85" s="1311">
        <v>2012554</v>
      </c>
      <c r="H85" s="2" t="str">
        <f t="shared" si="23"/>
        <v>Board-approved</v>
      </c>
      <c r="I85" s="1311">
        <v>2055321.799325021</v>
      </c>
      <c r="K85" s="1282" t="str">
        <f t="shared" si="24"/>
        <v>Actual</v>
      </c>
      <c r="L85" s="1294"/>
      <c r="M85" s="1294"/>
      <c r="N85" s="1258" t="str">
        <f t="shared" si="25"/>
        <v>Board-approved</v>
      </c>
      <c r="O85" s="1324"/>
      <c r="Q85" s="1385" t="str">
        <f t="shared" ref="Q85:Q90" si="26">K85</f>
        <v>Actual</v>
      </c>
      <c r="R85" s="1329">
        <f t="shared" ref="R85:R90" si="27">IF(G85=0,"",L85/G85)</f>
        <v>0</v>
      </c>
      <c r="S85" s="1309">
        <f t="shared" ref="S85:S90" si="28">IF(G85=0,"",M85/G85)</f>
        <v>0</v>
      </c>
      <c r="T85" s="1309" t="str">
        <f t="shared" ref="T85:T90" si="29">N85</f>
        <v>Board-approved</v>
      </c>
      <c r="U85" s="1265">
        <f t="shared" ref="U85:U90" si="30">IF(T85="","",IF(I85=0,"",O85/I85))</f>
        <v>0</v>
      </c>
    </row>
    <row r="86" spans="3:21" x14ac:dyDescent="0.2">
      <c r="C86" s="1266" t="s">
        <v>890</v>
      </c>
      <c r="D86" s="1363">
        <f t="shared" si="21"/>
        <v>2013</v>
      </c>
      <c r="E86" s="1265"/>
      <c r="F86" s="1314" t="str">
        <f t="shared" si="22"/>
        <v>Actual</v>
      </c>
      <c r="G86" s="1311">
        <v>2471804.4840444927</v>
      </c>
      <c r="H86" s="2" t="str">
        <f t="shared" si="23"/>
        <v/>
      </c>
      <c r="I86" s="1328"/>
      <c r="K86" s="1282" t="str">
        <f t="shared" si="24"/>
        <v>Actual</v>
      </c>
      <c r="L86" s="1294"/>
      <c r="M86" s="1294"/>
      <c r="N86" s="1258" t="str">
        <f t="shared" si="25"/>
        <v/>
      </c>
      <c r="O86" s="1325"/>
      <c r="Q86" s="1385" t="str">
        <f t="shared" si="26"/>
        <v>Actual</v>
      </c>
      <c r="R86" s="1329">
        <f t="shared" si="27"/>
        <v>0</v>
      </c>
      <c r="S86" s="1309">
        <f t="shared" si="28"/>
        <v>0</v>
      </c>
      <c r="T86" s="1309" t="str">
        <f t="shared" si="29"/>
        <v/>
      </c>
      <c r="U86" s="1265" t="str">
        <f t="shared" si="30"/>
        <v/>
      </c>
    </row>
    <row r="87" spans="3:21" x14ac:dyDescent="0.2">
      <c r="C87" s="1266" t="s">
        <v>890</v>
      </c>
      <c r="D87" s="1363">
        <f t="shared" si="21"/>
        <v>2014</v>
      </c>
      <c r="E87" s="1265"/>
      <c r="F87" s="1314" t="str">
        <f t="shared" si="22"/>
        <v>Actual</v>
      </c>
      <c r="G87" s="1311">
        <v>2213912</v>
      </c>
      <c r="H87" s="2" t="str">
        <f t="shared" si="23"/>
        <v/>
      </c>
      <c r="I87" s="1324"/>
      <c r="K87" s="1282" t="str">
        <f t="shared" si="24"/>
        <v>Actual</v>
      </c>
      <c r="L87" s="1294"/>
      <c r="M87" s="1294"/>
      <c r="N87" s="1258" t="str">
        <f t="shared" si="25"/>
        <v/>
      </c>
      <c r="O87" s="1324"/>
      <c r="Q87" s="1385" t="str">
        <f t="shared" si="26"/>
        <v>Actual</v>
      </c>
      <c r="R87" s="1329">
        <f t="shared" si="27"/>
        <v>0</v>
      </c>
      <c r="S87" s="1309">
        <f t="shared" si="28"/>
        <v>0</v>
      </c>
      <c r="T87" s="1309" t="str">
        <f t="shared" si="29"/>
        <v/>
      </c>
      <c r="U87" s="1265" t="str">
        <f t="shared" si="30"/>
        <v/>
      </c>
    </row>
    <row r="88" spans="3:21" x14ac:dyDescent="0.2">
      <c r="C88" s="1266" t="s">
        <v>890</v>
      </c>
      <c r="D88" s="1363">
        <f t="shared" si="21"/>
        <v>2015</v>
      </c>
      <c r="E88" s="1265"/>
      <c r="F88" s="1314" t="str">
        <f t="shared" si="22"/>
        <v>Actual</v>
      </c>
      <c r="G88" s="1311">
        <v>2248530.17</v>
      </c>
      <c r="H88" s="2" t="str">
        <f t="shared" si="23"/>
        <v/>
      </c>
      <c r="I88" s="1324"/>
      <c r="K88" s="1282" t="str">
        <f t="shared" si="24"/>
        <v>Actual</v>
      </c>
      <c r="L88" s="1294"/>
      <c r="M88" s="1294"/>
      <c r="N88" s="1258" t="str">
        <f t="shared" si="25"/>
        <v/>
      </c>
      <c r="O88" s="1324"/>
      <c r="Q88" s="1385" t="str">
        <f t="shared" si="26"/>
        <v>Actual</v>
      </c>
      <c r="R88" s="1329">
        <f t="shared" si="27"/>
        <v>0</v>
      </c>
      <c r="S88" s="1309">
        <f t="shared" si="28"/>
        <v>0</v>
      </c>
      <c r="T88" s="1309" t="str">
        <f t="shared" si="29"/>
        <v/>
      </c>
      <c r="U88" s="1265" t="str">
        <f t="shared" si="30"/>
        <v/>
      </c>
    </row>
    <row r="89" spans="3:21" x14ac:dyDescent="0.2">
      <c r="C89" s="1266" t="s">
        <v>1203</v>
      </c>
      <c r="D89" s="1363">
        <f t="shared" si="21"/>
        <v>2016</v>
      </c>
      <c r="E89" s="1265"/>
      <c r="F89" s="1314" t="str">
        <f t="shared" si="22"/>
        <v>Forecast</v>
      </c>
      <c r="G89" s="1311">
        <v>2221219.6825808138</v>
      </c>
      <c r="H89" s="2" t="str">
        <f t="shared" si="23"/>
        <v/>
      </c>
      <c r="I89" s="1324"/>
      <c r="K89" s="1282" t="str">
        <f t="shared" si="24"/>
        <v>Forecast</v>
      </c>
      <c r="L89" s="1303"/>
      <c r="M89" s="1334"/>
      <c r="N89" s="1258" t="str">
        <f t="shared" si="25"/>
        <v/>
      </c>
      <c r="O89" s="1324"/>
      <c r="Q89" s="1385" t="str">
        <f t="shared" si="26"/>
        <v>Forecast</v>
      </c>
      <c r="R89" s="1329">
        <f t="shared" si="27"/>
        <v>0</v>
      </c>
      <c r="S89" s="1309">
        <f t="shared" si="28"/>
        <v>0</v>
      </c>
      <c r="T89" s="1309" t="str">
        <f t="shared" si="29"/>
        <v/>
      </c>
      <c r="U89" s="1265" t="str">
        <f t="shared" si="30"/>
        <v/>
      </c>
    </row>
    <row r="90" spans="3:21" ht="13.5" thickBot="1" x14ac:dyDescent="0.25">
      <c r="C90" s="1267" t="s">
        <v>1204</v>
      </c>
      <c r="D90" s="1364">
        <f>TestYear</f>
        <v>2017</v>
      </c>
      <c r="E90" s="1271"/>
      <c r="F90" s="1315" t="str">
        <f t="shared" si="22"/>
        <v>Forecast</v>
      </c>
      <c r="G90" s="1312">
        <v>2652608.397151059</v>
      </c>
      <c r="H90" s="1307" t="str">
        <f t="shared" si="23"/>
        <v/>
      </c>
      <c r="I90" s="1326"/>
      <c r="K90" s="1283" t="str">
        <f t="shared" si="24"/>
        <v>Forecast</v>
      </c>
      <c r="L90" s="1304"/>
      <c r="M90" s="1335"/>
      <c r="N90" s="1262" t="str">
        <f t="shared" si="25"/>
        <v/>
      </c>
      <c r="O90" s="1326"/>
      <c r="Q90" s="1319" t="str">
        <f t="shared" si="26"/>
        <v>Forecast</v>
      </c>
      <c r="R90" s="1310">
        <f t="shared" si="27"/>
        <v>0</v>
      </c>
      <c r="S90" s="1310">
        <f t="shared" si="28"/>
        <v>0</v>
      </c>
      <c r="T90" s="1310" t="str">
        <f t="shared" si="29"/>
        <v/>
      </c>
      <c r="U90" s="1271" t="str">
        <f t="shared" si="30"/>
        <v/>
      </c>
    </row>
    <row r="91" spans="3:21" ht="13.5" thickBot="1" x14ac:dyDescent="0.25">
      <c r="C91" s="1366"/>
      <c r="I91" s="1408">
        <f>SUM(I84:I89)</f>
        <v>2055321.799325021</v>
      </c>
      <c r="J91" s="1329"/>
      <c r="O91" s="1408">
        <f>SUM(O84:O89)</f>
        <v>0</v>
      </c>
      <c r="U91" s="1408">
        <f>SUM(U84:U89)</f>
        <v>0</v>
      </c>
    </row>
    <row r="92" spans="3:21" ht="39" customHeight="1" thickBot="1" x14ac:dyDescent="0.25">
      <c r="C92" s="1400" t="s">
        <v>952</v>
      </c>
      <c r="D92" s="1399" t="s">
        <v>15</v>
      </c>
      <c r="E92" s="1398"/>
      <c r="F92" s="1398"/>
      <c r="G92" s="1398" t="s">
        <v>1222</v>
      </c>
      <c r="H92" s="1398"/>
      <c r="I92" s="1394" t="str">
        <f>I71</f>
        <v>Test Year Versus Board-approved</v>
      </c>
      <c r="J92" s="1407"/>
      <c r="K92" s="1395" t="s">
        <v>15</v>
      </c>
      <c r="L92" s="1874" t="s">
        <v>1222</v>
      </c>
      <c r="M92" s="1874"/>
      <c r="N92" s="1398"/>
      <c r="O92" s="1394" t="str">
        <f>I92</f>
        <v>Test Year Versus Board-approved</v>
      </c>
      <c r="P92" s="1380"/>
      <c r="Q92" s="1395" t="s">
        <v>15</v>
      </c>
      <c r="R92" s="1874" t="s">
        <v>1222</v>
      </c>
      <c r="S92" s="1874"/>
      <c r="T92" s="1398"/>
      <c r="U92" s="1394" t="str">
        <f>O92</f>
        <v>Test Year Versus Board-approved</v>
      </c>
    </row>
    <row r="93" spans="3:21" x14ac:dyDescent="0.2">
      <c r="C93" s="1265"/>
      <c r="D93" s="1402">
        <f t="shared" ref="D93:D99" si="31">D84</f>
        <v>2011</v>
      </c>
      <c r="E93" s="1345"/>
      <c r="F93" s="1329"/>
      <c r="G93" s="1372"/>
      <c r="H93" s="1329"/>
      <c r="I93" s="1378"/>
      <c r="J93" s="1265"/>
      <c r="K93" s="1363">
        <f>D93</f>
        <v>2011</v>
      </c>
      <c r="L93" s="1351"/>
      <c r="M93" s="1351"/>
      <c r="N93" s="1329"/>
      <c r="O93" s="1381"/>
      <c r="P93" s="1265"/>
      <c r="Q93" s="1363">
        <f>K93</f>
        <v>2011</v>
      </c>
      <c r="R93" s="1330"/>
      <c r="S93" s="1330"/>
      <c r="T93" s="1329"/>
      <c r="U93" s="1324"/>
    </row>
    <row r="94" spans="3:21" x14ac:dyDescent="0.2">
      <c r="C94" s="1265"/>
      <c r="D94" s="1365">
        <f t="shared" si="31"/>
        <v>2012</v>
      </c>
      <c r="E94" s="1329"/>
      <c r="F94" s="1329"/>
      <c r="G94" s="1373">
        <f t="shared" ref="G94:G99" si="32">IF(G84=0,"",G85/G84-1)</f>
        <v>4.9464018559762124E-2</v>
      </c>
      <c r="H94" s="1329"/>
      <c r="I94" s="1378"/>
      <c r="J94" s="1265"/>
      <c r="K94" s="1363">
        <f t="shared" ref="K94:K100" si="33">D94</f>
        <v>2012</v>
      </c>
      <c r="L94" s="1353" t="str">
        <f t="shared" ref="L94:M97" si="34">IF(L84=0,"",L85/L84-1)</f>
        <v/>
      </c>
      <c r="M94" s="1353" t="str">
        <f t="shared" si="34"/>
        <v/>
      </c>
      <c r="N94" s="1329"/>
      <c r="O94" s="1381"/>
      <c r="P94" s="1265"/>
      <c r="Q94" s="1363">
        <f t="shared" ref="Q94:Q100" si="35">K94</f>
        <v>2012</v>
      </c>
      <c r="R94" s="1374" t="str">
        <f>IF(R84="","",IF(R84=0,"",R85/R84-1))</f>
        <v/>
      </c>
      <c r="S94" s="1374" t="str">
        <f>IF(S84="","",IF(S84=0,"",S85/S84-1))</f>
        <v/>
      </c>
      <c r="T94" s="1329"/>
      <c r="U94" s="1324"/>
    </row>
    <row r="95" spans="3:21" x14ac:dyDescent="0.2">
      <c r="C95" s="1265"/>
      <c r="D95" s="1401">
        <f t="shared" si="31"/>
        <v>2013</v>
      </c>
      <c r="E95" s="1329"/>
      <c r="F95" s="1329"/>
      <c r="G95" s="1373">
        <f t="shared" si="32"/>
        <v>0.22819287534371391</v>
      </c>
      <c r="H95" s="1329"/>
      <c r="I95" s="1378"/>
      <c r="J95" s="1265"/>
      <c r="K95" s="1363">
        <f t="shared" si="33"/>
        <v>2013</v>
      </c>
      <c r="L95" s="1353" t="str">
        <f t="shared" si="34"/>
        <v/>
      </c>
      <c r="M95" s="1353" t="str">
        <f t="shared" si="34"/>
        <v/>
      </c>
      <c r="N95" s="1329"/>
      <c r="O95" s="1381"/>
      <c r="P95" s="1265"/>
      <c r="Q95" s="1363">
        <f t="shared" si="35"/>
        <v>2013</v>
      </c>
      <c r="R95" s="1374" t="str">
        <f t="shared" ref="R95:S97" si="36">IF(R85="","",IF(R85=0,"",R86/R85-1))</f>
        <v/>
      </c>
      <c r="S95" s="1374" t="str">
        <f t="shared" si="36"/>
        <v/>
      </c>
      <c r="T95" s="1329"/>
      <c r="U95" s="1324"/>
    </row>
    <row r="96" spans="3:21" x14ac:dyDescent="0.2">
      <c r="C96" s="1265"/>
      <c r="D96" s="1365">
        <f t="shared" si="31"/>
        <v>2014</v>
      </c>
      <c r="E96" s="1329"/>
      <c r="F96" s="1329"/>
      <c r="G96" s="1373">
        <f t="shared" si="32"/>
        <v>-0.10433369051200836</v>
      </c>
      <c r="H96" s="1329"/>
      <c r="I96" s="1378"/>
      <c r="J96" s="1265"/>
      <c r="K96" s="1363">
        <f t="shared" si="33"/>
        <v>2014</v>
      </c>
      <c r="L96" s="1353" t="str">
        <f t="shared" si="34"/>
        <v/>
      </c>
      <c r="M96" s="1353" t="str">
        <f t="shared" si="34"/>
        <v/>
      </c>
      <c r="N96" s="1329"/>
      <c r="O96" s="1381"/>
      <c r="P96" s="1265"/>
      <c r="Q96" s="1363">
        <f t="shared" si="35"/>
        <v>2014</v>
      </c>
      <c r="R96" s="1374" t="str">
        <f t="shared" si="36"/>
        <v/>
      </c>
      <c r="S96" s="1374" t="str">
        <f t="shared" si="36"/>
        <v/>
      </c>
      <c r="T96" s="1329"/>
      <c r="U96" s="1324"/>
    </row>
    <row r="97" spans="2:22" x14ac:dyDescent="0.2">
      <c r="C97" s="1265"/>
      <c r="D97" s="1365">
        <f t="shared" si="31"/>
        <v>2015</v>
      </c>
      <c r="E97" s="1329"/>
      <c r="F97" s="1329"/>
      <c r="G97" s="1373">
        <f t="shared" si="32"/>
        <v>1.5636651321281114E-2</v>
      </c>
      <c r="H97" s="1329"/>
      <c r="I97" s="1378"/>
      <c r="J97" s="1265"/>
      <c r="K97" s="1363">
        <f t="shared" si="33"/>
        <v>2015</v>
      </c>
      <c r="L97" s="1353" t="str">
        <f t="shared" si="34"/>
        <v/>
      </c>
      <c r="M97" s="1353" t="str">
        <f t="shared" si="34"/>
        <v/>
      </c>
      <c r="N97" s="1329"/>
      <c r="O97" s="1381"/>
      <c r="P97" s="1265"/>
      <c r="Q97" s="1363">
        <f t="shared" si="35"/>
        <v>2015</v>
      </c>
      <c r="R97" s="1374" t="str">
        <f t="shared" si="36"/>
        <v/>
      </c>
      <c r="S97" s="1374" t="str">
        <f t="shared" si="36"/>
        <v/>
      </c>
      <c r="T97" s="1329"/>
      <c r="U97" s="1324"/>
    </row>
    <row r="98" spans="2:22" x14ac:dyDescent="0.2">
      <c r="C98" s="1265"/>
      <c r="D98" s="1365">
        <f t="shared" si="31"/>
        <v>2016</v>
      </c>
      <c r="E98" s="1329"/>
      <c r="F98" s="1329"/>
      <c r="G98" s="1373">
        <f t="shared" si="32"/>
        <v>-1.2145928831004404E-2</v>
      </c>
      <c r="H98" s="1329"/>
      <c r="I98" s="1378"/>
      <c r="J98" s="1265"/>
      <c r="K98" s="1363">
        <f t="shared" si="33"/>
        <v>2016</v>
      </c>
      <c r="L98" s="1353" t="str">
        <f>IF(K89="Forecast","",IF(L88=0,"",L89/L88-1))</f>
        <v/>
      </c>
      <c r="M98" s="1353" t="str">
        <f>IF(M88=0,"",M89/M88-1)</f>
        <v/>
      </c>
      <c r="N98" s="1329"/>
      <c r="O98" s="1381"/>
      <c r="P98" s="1265"/>
      <c r="Q98" s="1363">
        <f t="shared" si="35"/>
        <v>2016</v>
      </c>
      <c r="R98" s="1374" t="str">
        <f>IF(Q89="Forecast","",IF(R88=0,"",R89/R88-1))</f>
        <v/>
      </c>
      <c r="S98" s="1374" t="str">
        <f>IF(S88="","",IF(S88=0,"",S89/S88-1))</f>
        <v/>
      </c>
      <c r="T98" s="1329"/>
      <c r="U98" s="1324"/>
    </row>
    <row r="99" spans="2:22" x14ac:dyDescent="0.2">
      <c r="C99" s="1265"/>
      <c r="D99" s="1401">
        <f t="shared" si="31"/>
        <v>2017</v>
      </c>
      <c r="E99" s="1329"/>
      <c r="F99" s="1329"/>
      <c r="G99" s="1373">
        <f t="shared" si="32"/>
        <v>0.19421253915282199</v>
      </c>
      <c r="H99" s="1329"/>
      <c r="I99" s="1379">
        <f>IF(I91=0,"",G90/I91-1)</f>
        <v>0.29060490577299869</v>
      </c>
      <c r="J99" s="1265"/>
      <c r="K99" s="1363">
        <f t="shared" si="33"/>
        <v>2017</v>
      </c>
      <c r="L99" s="1353" t="str">
        <f>IF(K90="Forecast","",IF(L89=0,"",L90/L89-1))</f>
        <v/>
      </c>
      <c r="M99" s="1353" t="str">
        <f>IF(M89=0,"",M90/M89-1)</f>
        <v/>
      </c>
      <c r="N99" s="1329"/>
      <c r="O99" s="1382" t="str">
        <f>IF(O91=0,"",M90/O91-1)</f>
        <v/>
      </c>
      <c r="P99" s="1265"/>
      <c r="Q99" s="1363">
        <f t="shared" si="35"/>
        <v>2017</v>
      </c>
      <c r="R99" s="1374" t="str">
        <f>IF(Q90="Forecast","",IF(R89=0,"",R90/R89-1))</f>
        <v/>
      </c>
      <c r="S99" s="1374" t="str">
        <f>IF(S89="","",IF(S89=0,"",S90/S89-1))</f>
        <v/>
      </c>
      <c r="T99" s="1329"/>
      <c r="U99" s="1354" t="str">
        <f>IF(U91=0,"",S90/U91-1)</f>
        <v/>
      </c>
    </row>
    <row r="100" spans="2:22" ht="26.25" thickBot="1" x14ac:dyDescent="0.25">
      <c r="C100" s="1271"/>
      <c r="D100" s="1405" t="s">
        <v>1221</v>
      </c>
      <c r="E100" s="1355"/>
      <c r="F100" s="1355"/>
      <c r="G100" s="1375">
        <f>IF(G84=0,"",(G90/G84)^(1/($D90-$D84-1))-1)</f>
        <v>6.7034914557533298E-2</v>
      </c>
      <c r="H100" s="1355"/>
      <c r="I100" s="1371">
        <f>IF(I91=0,"",(G90/I91)^(1/(TestYear-RebaseYear-1))-1)</f>
        <v>6.5855493426623335E-2</v>
      </c>
      <c r="J100" s="1265"/>
      <c r="K100" s="1404" t="str">
        <f t="shared" si="33"/>
        <v>Geometric Mean</v>
      </c>
      <c r="L100" s="1358" t="str">
        <f>IF(L84=0,"",(L88/L84)^(1/($D88-$D84-1))-1)</f>
        <v/>
      </c>
      <c r="M100" s="1358" t="str">
        <f>IF(M84=0,"",(M90/M84)^(1/($D90-$D84-1))-1)</f>
        <v/>
      </c>
      <c r="N100" s="1355"/>
      <c r="O100" s="1371" t="str">
        <f>IF(O91=0,"",(M90/O91)^(1/(TestYear-RebaseYear-1))-1)</f>
        <v/>
      </c>
      <c r="P100" s="1271"/>
      <c r="Q100" s="1404" t="str">
        <f t="shared" si="35"/>
        <v>Geometric Mean</v>
      </c>
      <c r="R100" s="1376" t="str">
        <f>IF(R84="","",IF(R84=0,"",(R88/R84)^(1/($D88-$D84-1))-1))</f>
        <v/>
      </c>
      <c r="S100" s="1358" t="str">
        <f>IF(S84="","",IF(S84=0,"",(S90/S84)^(1/($D90-$D84-1))-1))</f>
        <v/>
      </c>
      <c r="T100" s="1355"/>
      <c r="U100" s="1371" t="str">
        <f>IF(U91=0,"",(S90/U91)^(1/(TestYear-RebaseYear-1))-1)</f>
        <v/>
      </c>
    </row>
    <row r="101" spans="2:22" ht="13.5" thickBot="1" x14ac:dyDescent="0.25"/>
    <row r="102" spans="2:22" ht="13.5" thickBot="1" x14ac:dyDescent="0.25">
      <c r="B102" s="1318">
        <v>2</v>
      </c>
      <c r="C102" s="3" t="s">
        <v>14</v>
      </c>
      <c r="D102" s="1880" t="s">
        <v>77</v>
      </c>
      <c r="E102" s="1881"/>
      <c r="F102" s="1882"/>
      <c r="G102" s="1291"/>
      <c r="H102" s="13" t="s">
        <v>1224</v>
      </c>
      <c r="N102" s="1317" t="s">
        <v>74</v>
      </c>
      <c r="O102" s="1316"/>
      <c r="P102" s="1316"/>
      <c r="Q102" s="1316"/>
      <c r="R102" s="1316"/>
      <c r="S102" s="1316"/>
      <c r="T102" s="1316"/>
      <c r="U102" s="1316"/>
    </row>
    <row r="103" spans="2:22" ht="13.5" thickBot="1" x14ac:dyDescent="0.25">
      <c r="Q103" s="1355"/>
      <c r="R103" s="1355"/>
      <c r="S103" s="1355"/>
      <c r="T103" s="1355"/>
      <c r="U103" s="1355"/>
    </row>
    <row r="104" spans="2:22" ht="12.75" customHeight="1" x14ac:dyDescent="0.2">
      <c r="C104" s="1264"/>
      <c r="D104" s="1268" t="s">
        <v>1205</v>
      </c>
      <c r="E104" s="1268"/>
      <c r="F104" s="1883" t="s">
        <v>1034</v>
      </c>
      <c r="G104" s="1884"/>
      <c r="H104" s="1884"/>
      <c r="I104" s="1885"/>
      <c r="J104" s="1268"/>
      <c r="K104" s="1859" t="s">
        <v>1213</v>
      </c>
      <c r="L104" s="1860"/>
      <c r="M104" s="1860"/>
      <c r="N104" s="1860"/>
      <c r="O104" s="1861"/>
      <c r="P104" s="1287"/>
      <c r="Q104" s="1869" t="str">
        <f>CONCATENATE("Consumption (kWh) per ",LEFT(F104,LEN(F104)-1))</f>
        <v>Consumption (kWh) per Customer</v>
      </c>
      <c r="R104" s="1879"/>
      <c r="S104" s="1879"/>
      <c r="T104" s="1879"/>
      <c r="U104" s="1870"/>
      <c r="V104" s="1308"/>
    </row>
    <row r="105" spans="2:22" ht="39" thickBot="1" x14ac:dyDescent="0.25">
      <c r="C105" s="1271"/>
      <c r="D105" s="1277" t="str">
        <f>CONCATENATE("(for ",TestYear," Cost of Service")</f>
        <v>(for 2017 Cost of Service</v>
      </c>
      <c r="E105" s="1266"/>
      <c r="F105" s="1872"/>
      <c r="G105" s="1873"/>
      <c r="H105" s="1875"/>
      <c r="I105" s="1296"/>
      <c r="J105" s="1266"/>
      <c r="K105" s="1284"/>
      <c r="L105" s="1433" t="s">
        <v>1226</v>
      </c>
      <c r="M105" s="1433" t="s">
        <v>1210</v>
      </c>
      <c r="N105" s="1305"/>
      <c r="O105" s="1306" t="s">
        <v>1210</v>
      </c>
      <c r="P105" s="1266"/>
      <c r="Q105" s="1389"/>
      <c r="R105" s="1390" t="str">
        <f>L105</f>
        <v>Actual (Weather actual)</v>
      </c>
      <c r="S105" s="1391" t="str">
        <f>M105</f>
        <v>Weather-normalized</v>
      </c>
      <c r="T105" s="1391"/>
      <c r="U105" s="1392" t="str">
        <f>O105</f>
        <v>Weather-normalized</v>
      </c>
      <c r="V105" s="1308"/>
    </row>
    <row r="106" spans="2:22" x14ac:dyDescent="0.2">
      <c r="C106" s="1266" t="s">
        <v>890</v>
      </c>
      <c r="D106" s="1363">
        <f t="shared" ref="D106:D111" si="37">D107-1</f>
        <v>2011</v>
      </c>
      <c r="E106" s="1265"/>
      <c r="F106" s="1313" t="str">
        <f>F63</f>
        <v>Actual</v>
      </c>
      <c r="G106" s="1301">
        <v>1194</v>
      </c>
      <c r="H106" s="1297" t="str">
        <f t="shared" ref="H106:H112" si="38">IF(D106=RebaseYear,"Board-approved","")</f>
        <v/>
      </c>
      <c r="I106" s="1324"/>
      <c r="J106" s="1265"/>
      <c r="K106" s="1282" t="str">
        <f>F106</f>
        <v>Actual</v>
      </c>
      <c r="L106" s="1301">
        <v>30635475</v>
      </c>
      <c r="M106" s="1301">
        <v>30240037.150549825</v>
      </c>
      <c r="N106" s="1297" t="str">
        <f>H106</f>
        <v/>
      </c>
      <c r="O106" s="1492"/>
      <c r="P106" s="1265"/>
      <c r="Q106" s="1385" t="str">
        <f>K106</f>
        <v>Actual</v>
      </c>
      <c r="R106" s="1497">
        <f>IF(G106=0,"",L106/G106)</f>
        <v>25657.851758793971</v>
      </c>
      <c r="S106" s="1497">
        <f>IF(G106=0,"",M106/G106)</f>
        <v>25326.664280192483</v>
      </c>
      <c r="T106" s="1329" t="str">
        <f>N106</f>
        <v/>
      </c>
      <c r="U106" s="1329" t="str">
        <f>IF(T106="","",IF(I106=0,"",O106/I106))</f>
        <v/>
      </c>
      <c r="V106" s="1309"/>
    </row>
    <row r="107" spans="2:22" x14ac:dyDescent="0.2">
      <c r="C107" s="1266" t="s">
        <v>890</v>
      </c>
      <c r="D107" s="1363">
        <f t="shared" si="37"/>
        <v>2012</v>
      </c>
      <c r="E107" s="1265"/>
      <c r="F107" s="1314" t="str">
        <f t="shared" ref="F107:F112" si="39">F64</f>
        <v>Actual</v>
      </c>
      <c r="G107" s="1301">
        <v>1205</v>
      </c>
      <c r="H107" s="1297" t="str">
        <f t="shared" si="38"/>
        <v>Board-approved</v>
      </c>
      <c r="I107" s="1494">
        <v>1214.4801246521154</v>
      </c>
      <c r="J107" s="1265"/>
      <c r="K107" s="1282" t="str">
        <f t="shared" ref="K107:K112" si="40">F107</f>
        <v>Actual</v>
      </c>
      <c r="L107" s="1301">
        <v>29408826</v>
      </c>
      <c r="M107" s="1301">
        <v>29369686.09703109</v>
      </c>
      <c r="N107" s="1297" t="str">
        <f t="shared" ref="N107:N112" si="41">H107</f>
        <v>Board-approved</v>
      </c>
      <c r="O107" s="1493">
        <v>32594961.595119238</v>
      </c>
      <c r="P107" s="1265"/>
      <c r="Q107" s="1385" t="str">
        <f t="shared" ref="Q107:Q112" si="42">K107</f>
        <v>Actual</v>
      </c>
      <c r="R107" s="1497">
        <f t="shared" ref="R107:R112" si="43">IF(G107=0,"",L107/G107)</f>
        <v>24405.664730290457</v>
      </c>
      <c r="S107" s="1497">
        <f t="shared" ref="S107:S112" si="44">IF(G107=0,"",M107/G107)</f>
        <v>24373.183483013352</v>
      </c>
      <c r="T107" s="1329" t="str">
        <f t="shared" ref="T107:T112" si="45">N107</f>
        <v>Board-approved</v>
      </c>
      <c r="U107" s="1497">
        <f t="shared" ref="U107:U112" si="46">IF(T107="","",IF(I107=0,"",O107/I107))</f>
        <v>26838.612615793922</v>
      </c>
      <c r="V107" s="1309"/>
    </row>
    <row r="108" spans="2:22" x14ac:dyDescent="0.2">
      <c r="C108" s="1266" t="s">
        <v>890</v>
      </c>
      <c r="D108" s="1363">
        <f t="shared" si="37"/>
        <v>2013</v>
      </c>
      <c r="E108" s="1265"/>
      <c r="F108" s="1314" t="str">
        <f t="shared" si="39"/>
        <v>Actual</v>
      </c>
      <c r="G108" s="1301">
        <v>1207.5</v>
      </c>
      <c r="H108" s="1297" t="str">
        <f t="shared" si="38"/>
        <v/>
      </c>
      <c r="I108" s="1325"/>
      <c r="J108" s="1265"/>
      <c r="K108" s="1282" t="str">
        <f t="shared" si="40"/>
        <v>Actual</v>
      </c>
      <c r="L108" s="1301">
        <v>28921439</v>
      </c>
      <c r="M108" s="1301">
        <v>29018315.714063611</v>
      </c>
      <c r="N108" s="1297" t="str">
        <f t="shared" si="41"/>
        <v/>
      </c>
      <c r="O108" s="1325"/>
      <c r="P108" s="1265"/>
      <c r="Q108" s="1385" t="str">
        <f t="shared" si="42"/>
        <v>Actual</v>
      </c>
      <c r="R108" s="1495">
        <f t="shared" si="43"/>
        <v>23951.502277432712</v>
      </c>
      <c r="S108" s="1497">
        <f t="shared" si="44"/>
        <v>24031.731440218311</v>
      </c>
      <c r="T108" s="1329" t="str">
        <f t="shared" si="45"/>
        <v/>
      </c>
      <c r="U108" s="1329" t="str">
        <f t="shared" si="46"/>
        <v/>
      </c>
      <c r="V108" s="1309"/>
    </row>
    <row r="109" spans="2:22" x14ac:dyDescent="0.2">
      <c r="C109" s="1266" t="s">
        <v>890</v>
      </c>
      <c r="D109" s="1363">
        <f t="shared" si="37"/>
        <v>2014</v>
      </c>
      <c r="E109" s="1265"/>
      <c r="F109" s="1314" t="str">
        <f t="shared" si="39"/>
        <v>Actual</v>
      </c>
      <c r="G109" s="1301">
        <v>1214.5</v>
      </c>
      <c r="H109" s="1297" t="str">
        <f t="shared" si="38"/>
        <v/>
      </c>
      <c r="I109" s="1324"/>
      <c r="J109" s="1265"/>
      <c r="K109" s="1282" t="str">
        <f t="shared" si="40"/>
        <v>Actual</v>
      </c>
      <c r="L109" s="1301">
        <v>29746584</v>
      </c>
      <c r="M109" s="1301">
        <v>29855232.686133914</v>
      </c>
      <c r="N109" s="1297" t="str">
        <f t="shared" si="41"/>
        <v/>
      </c>
      <c r="O109" s="1324"/>
      <c r="P109" s="1265"/>
      <c r="Q109" s="1385" t="str">
        <f t="shared" si="42"/>
        <v>Actual</v>
      </c>
      <c r="R109" s="1495">
        <f t="shared" si="43"/>
        <v>24492.864553314121</v>
      </c>
      <c r="S109" s="1497">
        <f t="shared" si="44"/>
        <v>24582.324154906473</v>
      </c>
      <c r="T109" s="1329" t="str">
        <f t="shared" si="45"/>
        <v/>
      </c>
      <c r="U109" s="1329" t="str">
        <f t="shared" si="46"/>
        <v/>
      </c>
      <c r="V109" s="1309"/>
    </row>
    <row r="110" spans="2:22" x14ac:dyDescent="0.2">
      <c r="C110" s="1266" t="s">
        <v>890</v>
      </c>
      <c r="D110" s="1363">
        <f t="shared" si="37"/>
        <v>2015</v>
      </c>
      <c r="E110" s="1265"/>
      <c r="F110" s="1314" t="str">
        <f t="shared" si="39"/>
        <v>Actual</v>
      </c>
      <c r="G110" s="1301">
        <v>1221</v>
      </c>
      <c r="H110" s="1297" t="str">
        <f t="shared" si="38"/>
        <v/>
      </c>
      <c r="I110" s="1324"/>
      <c r="J110" s="1265"/>
      <c r="K110" s="1282" t="str">
        <f t="shared" si="40"/>
        <v>Actual</v>
      </c>
      <c r="L110" s="1301">
        <v>28622003</v>
      </c>
      <c r="M110" s="1301">
        <v>29020327.354160707</v>
      </c>
      <c r="N110" s="1297" t="str">
        <f t="shared" si="41"/>
        <v/>
      </c>
      <c r="O110" s="1324"/>
      <c r="P110" s="1265"/>
      <c r="Q110" s="1385" t="str">
        <f t="shared" si="42"/>
        <v>Actual</v>
      </c>
      <c r="R110" s="1495">
        <f t="shared" si="43"/>
        <v>23441.4438984439</v>
      </c>
      <c r="S110" s="1497">
        <f t="shared" si="44"/>
        <v>23767.671870729489</v>
      </c>
      <c r="T110" s="1329" t="str">
        <f t="shared" si="45"/>
        <v/>
      </c>
      <c r="U110" s="1329" t="str">
        <f t="shared" si="46"/>
        <v/>
      </c>
      <c r="V110" s="1309"/>
    </row>
    <row r="111" spans="2:22" x14ac:dyDescent="0.2">
      <c r="C111" s="1266" t="s">
        <v>313</v>
      </c>
      <c r="D111" s="1363">
        <f t="shared" si="37"/>
        <v>2016</v>
      </c>
      <c r="E111" s="1265"/>
      <c r="F111" s="1314" t="str">
        <f t="shared" si="39"/>
        <v>Forecast</v>
      </c>
      <c r="G111" s="1301">
        <v>1237.0605612126985</v>
      </c>
      <c r="H111" s="1297" t="str">
        <f t="shared" si="38"/>
        <v/>
      </c>
      <c r="I111" s="1324"/>
      <c r="J111" s="1265"/>
      <c r="K111" s="1282" t="str">
        <f t="shared" si="40"/>
        <v>Forecast</v>
      </c>
      <c r="L111" s="1303"/>
      <c r="M111" s="1301">
        <v>29223413.333587732</v>
      </c>
      <c r="N111" s="1297" t="str">
        <f t="shared" si="41"/>
        <v/>
      </c>
      <c r="O111" s="1324"/>
      <c r="P111" s="1265"/>
      <c r="Q111" s="1385" t="str">
        <f t="shared" si="42"/>
        <v>Forecast</v>
      </c>
      <c r="R111" s="1387">
        <f t="shared" si="43"/>
        <v>0</v>
      </c>
      <c r="S111" s="1497">
        <f t="shared" si="44"/>
        <v>23623.268132434703</v>
      </c>
      <c r="T111" s="1329" t="str">
        <f t="shared" si="45"/>
        <v/>
      </c>
      <c r="U111" s="1329" t="str">
        <f t="shared" si="46"/>
        <v/>
      </c>
      <c r="V111" s="1309"/>
    </row>
    <row r="112" spans="2:22" ht="13.5" thickBot="1" x14ac:dyDescent="0.25">
      <c r="C112" s="1267" t="s">
        <v>314</v>
      </c>
      <c r="D112" s="1364">
        <f>TestYear</f>
        <v>2017</v>
      </c>
      <c r="E112" s="1271"/>
      <c r="F112" s="1315" t="str">
        <f t="shared" si="39"/>
        <v>Forecast</v>
      </c>
      <c r="G112" s="1302">
        <v>1253.3323768287278</v>
      </c>
      <c r="H112" s="1298" t="str">
        <f t="shared" si="38"/>
        <v/>
      </c>
      <c r="I112" s="1326"/>
      <c r="J112" s="1271"/>
      <c r="K112" s="1283" t="str">
        <f t="shared" si="40"/>
        <v>Forecast</v>
      </c>
      <c r="L112" s="1304"/>
      <c r="M112" s="1302">
        <v>29137273.513669658</v>
      </c>
      <c r="N112" s="1298" t="str">
        <f t="shared" si="41"/>
        <v/>
      </c>
      <c r="O112" s="1326"/>
      <c r="P112" s="1271"/>
      <c r="Q112" s="1386" t="str">
        <f t="shared" si="42"/>
        <v>Forecast</v>
      </c>
      <c r="R112" s="1388">
        <f t="shared" si="43"/>
        <v>0</v>
      </c>
      <c r="S112" s="1498">
        <f t="shared" si="44"/>
        <v>23247.842353993037</v>
      </c>
      <c r="T112" s="1355" t="str">
        <f t="shared" si="45"/>
        <v/>
      </c>
      <c r="U112" s="1355" t="str">
        <f t="shared" si="46"/>
        <v/>
      </c>
      <c r="V112" s="1309"/>
    </row>
    <row r="113" spans="2:21" ht="13.5" thickBot="1" x14ac:dyDescent="0.25">
      <c r="B113" s="1329"/>
      <c r="C113" s="1366"/>
      <c r="I113" s="1408">
        <f>SUM(I106:I111)</f>
        <v>1214.4801246521154</v>
      </c>
      <c r="O113" s="1408">
        <f>SUM(O106:O111)</f>
        <v>32594961.595119238</v>
      </c>
      <c r="U113" s="1408">
        <f>SUM(U106:U111)</f>
        <v>26838.612615793922</v>
      </c>
    </row>
    <row r="114" spans="2:21" ht="39" thickBot="1" x14ac:dyDescent="0.25">
      <c r="C114" s="1400" t="s">
        <v>952</v>
      </c>
      <c r="D114" s="1399" t="s">
        <v>15</v>
      </c>
      <c r="E114" s="1361"/>
      <c r="F114" s="1361"/>
      <c r="G114" s="1435" t="s">
        <v>1222</v>
      </c>
      <c r="H114" s="1361"/>
      <c r="I114" s="1394" t="s">
        <v>1235</v>
      </c>
      <c r="J114" s="1396"/>
      <c r="K114" s="1395" t="s">
        <v>15</v>
      </c>
      <c r="L114" s="1874" t="s">
        <v>1222</v>
      </c>
      <c r="M114" s="1874"/>
      <c r="N114" s="1361"/>
      <c r="O114" s="1394" t="str">
        <f>I114</f>
        <v>Test Year Versus Board-approved</v>
      </c>
      <c r="P114" s="1397"/>
      <c r="Q114" s="1395" t="s">
        <v>15</v>
      </c>
      <c r="R114" s="1874" t="s">
        <v>1222</v>
      </c>
      <c r="S114" s="1874"/>
      <c r="T114" s="1361"/>
      <c r="U114" s="1394" t="str">
        <f>O114</f>
        <v>Test Year Versus Board-approved</v>
      </c>
    </row>
    <row r="115" spans="2:21" x14ac:dyDescent="0.2">
      <c r="C115" s="1265"/>
      <c r="D115" s="1377">
        <f t="shared" ref="D115:D121" si="47">D106</f>
        <v>2011</v>
      </c>
      <c r="E115" s="1329"/>
      <c r="F115" s="1329"/>
      <c r="G115" s="1372"/>
      <c r="H115" s="1329"/>
      <c r="I115" s="1378"/>
      <c r="J115" s="1384"/>
      <c r="K115" s="1363">
        <f>D115</f>
        <v>2011</v>
      </c>
      <c r="L115" s="1351"/>
      <c r="M115" s="1351"/>
      <c r="N115" s="1329"/>
      <c r="O115" s="1324"/>
      <c r="P115" s="1265"/>
      <c r="Q115" s="1363">
        <f>K115</f>
        <v>2011</v>
      </c>
      <c r="R115" s="1330"/>
      <c r="S115" s="1330"/>
      <c r="T115" s="1329"/>
      <c r="U115" s="1324"/>
    </row>
    <row r="116" spans="2:21" x14ac:dyDescent="0.2">
      <c r="C116" s="1265"/>
      <c r="D116" s="1365">
        <f t="shared" si="47"/>
        <v>2012</v>
      </c>
      <c r="E116" s="1329"/>
      <c r="F116" s="1329"/>
      <c r="G116" s="1373">
        <f t="shared" ref="G116:G121" si="48">IF(G106=0,"",G107/G106-1)</f>
        <v>9.2127303182578668E-3</v>
      </c>
      <c r="H116" s="1329"/>
      <c r="I116" s="1378"/>
      <c r="J116" s="1384"/>
      <c r="K116" s="1363">
        <f t="shared" ref="K116:K122" si="49">D116</f>
        <v>2012</v>
      </c>
      <c r="L116" s="1353">
        <f t="shared" ref="L116:M119" si="50">IF(L106=0,"",L107/L106-1)</f>
        <v>-4.0040149532527214E-2</v>
      </c>
      <c r="M116" s="1353">
        <f t="shared" si="50"/>
        <v>-2.8781414823854101E-2</v>
      </c>
      <c r="N116" s="1329"/>
      <c r="O116" s="1324"/>
      <c r="P116" s="1265"/>
      <c r="Q116" s="1363">
        <f t="shared" ref="Q116:Q122" si="51">K116</f>
        <v>2012</v>
      </c>
      <c r="R116" s="1374">
        <f t="shared" ref="R116:S118" si="52">IF(R106="","",IF(R106=0,"",R107/R106-1))</f>
        <v>-4.880326849945027E-2</v>
      </c>
      <c r="S116" s="1374">
        <f t="shared" si="52"/>
        <v>-3.764731062214266E-2</v>
      </c>
      <c r="T116" s="1329"/>
      <c r="U116" s="1324"/>
    </row>
    <row r="117" spans="2:21" x14ac:dyDescent="0.2">
      <c r="C117" s="1265"/>
      <c r="D117" s="1365">
        <f t="shared" si="47"/>
        <v>2013</v>
      </c>
      <c r="E117" s="1329"/>
      <c r="F117" s="1329"/>
      <c r="G117" s="1373">
        <f t="shared" si="48"/>
        <v>2.0746887966804906E-3</v>
      </c>
      <c r="H117" s="1329"/>
      <c r="I117" s="1378"/>
      <c r="J117" s="1384"/>
      <c r="K117" s="1363">
        <f t="shared" si="49"/>
        <v>2013</v>
      </c>
      <c r="L117" s="1353">
        <f t="shared" si="50"/>
        <v>-1.6572813889272564E-2</v>
      </c>
      <c r="M117" s="1353">
        <f t="shared" si="50"/>
        <v>-1.1963709173010151E-2</v>
      </c>
      <c r="N117" s="1329"/>
      <c r="O117" s="1324"/>
      <c r="P117" s="1265"/>
      <c r="Q117" s="1363">
        <f t="shared" si="51"/>
        <v>2013</v>
      </c>
      <c r="R117" s="1374">
        <f t="shared" si="52"/>
        <v>-1.8608895019936567E-2</v>
      </c>
      <c r="S117" s="1374">
        <f t="shared" si="52"/>
        <v>-1.4009332963542231E-2</v>
      </c>
      <c r="T117" s="1329"/>
      <c r="U117" s="1324"/>
    </row>
    <row r="118" spans="2:21" x14ac:dyDescent="0.2">
      <c r="C118" s="1265"/>
      <c r="D118" s="1365">
        <f t="shared" si="47"/>
        <v>2014</v>
      </c>
      <c r="E118" s="1329"/>
      <c r="F118" s="1329"/>
      <c r="G118" s="1373">
        <f t="shared" si="48"/>
        <v>5.7971014492752548E-3</v>
      </c>
      <c r="H118" s="1329"/>
      <c r="I118" s="1378"/>
      <c r="J118" s="1384"/>
      <c r="K118" s="1363">
        <f t="shared" si="49"/>
        <v>2014</v>
      </c>
      <c r="L118" s="1353">
        <f t="shared" si="50"/>
        <v>2.8530565163095822E-2</v>
      </c>
      <c r="M118" s="1353">
        <f t="shared" si="50"/>
        <v>2.8840990645942144E-2</v>
      </c>
      <c r="N118" s="1329"/>
      <c r="O118" s="1324"/>
      <c r="P118" s="1265"/>
      <c r="Q118" s="1363">
        <f t="shared" si="51"/>
        <v>2014</v>
      </c>
      <c r="R118" s="1374">
        <f t="shared" si="52"/>
        <v>2.260243510451887E-2</v>
      </c>
      <c r="S118" s="1374">
        <f t="shared" si="52"/>
        <v>2.2911071391498616E-2</v>
      </c>
      <c r="T118" s="1329"/>
      <c r="U118" s="1324"/>
    </row>
    <row r="119" spans="2:21" x14ac:dyDescent="0.2">
      <c r="C119" s="1265"/>
      <c r="D119" s="1365">
        <f t="shared" si="47"/>
        <v>2015</v>
      </c>
      <c r="E119" s="1329"/>
      <c r="F119" s="1329"/>
      <c r="G119" s="1373">
        <f t="shared" si="48"/>
        <v>5.3519967064634688E-3</v>
      </c>
      <c r="H119" s="1329"/>
      <c r="I119" s="1378"/>
      <c r="J119" s="1384"/>
      <c r="K119" s="1363">
        <f t="shared" si="49"/>
        <v>2015</v>
      </c>
      <c r="L119" s="1353">
        <f t="shared" si="50"/>
        <v>-3.7805382964309464E-2</v>
      </c>
      <c r="M119" s="1353">
        <f t="shared" si="50"/>
        <v>-2.7965125602955831E-2</v>
      </c>
      <c r="N119" s="1329"/>
      <c r="O119" s="1324"/>
      <c r="P119" s="1265"/>
      <c r="Q119" s="1363">
        <f t="shared" si="51"/>
        <v>2015</v>
      </c>
      <c r="R119" s="1374">
        <f t="shared" ref="R119:S121" si="53">IF(R109="","",IF(R109=0,"",R110/R109-1))</f>
        <v>-4.2927631130347033E-2</v>
      </c>
      <c r="S119" s="1374">
        <f t="shared" si="53"/>
        <v>-3.3139758431441235E-2</v>
      </c>
      <c r="T119" s="1329"/>
      <c r="U119" s="1324"/>
    </row>
    <row r="120" spans="2:21" x14ac:dyDescent="0.2">
      <c r="C120" s="1265"/>
      <c r="D120" s="1365">
        <f t="shared" si="47"/>
        <v>2016</v>
      </c>
      <c r="E120" s="1329"/>
      <c r="F120" s="1329"/>
      <c r="G120" s="1373">
        <f t="shared" si="48"/>
        <v>1.3153612786812818E-2</v>
      </c>
      <c r="H120" s="1329"/>
      <c r="I120" s="1378"/>
      <c r="J120" s="1384"/>
      <c r="K120" s="1363">
        <f t="shared" si="49"/>
        <v>2016</v>
      </c>
      <c r="L120" s="1353" t="str">
        <f>IF(K111="Forecast","",IF(L110=0,"",L111/L110-1))</f>
        <v/>
      </c>
      <c r="M120" s="1353">
        <f>IF(M110=0,"",M111/M110-1)</f>
        <v>6.9980595652345823E-3</v>
      </c>
      <c r="N120" s="1329"/>
      <c r="O120" s="1324"/>
      <c r="P120" s="1265"/>
      <c r="Q120" s="1363">
        <f t="shared" si="51"/>
        <v>2016</v>
      </c>
      <c r="R120" s="1374" t="str">
        <f>IF(Q111="Forecast","",IF(R110=0,"",R111/R110-1))</f>
        <v/>
      </c>
      <c r="S120" s="1374">
        <f t="shared" si="53"/>
        <v>-6.0756366496553804E-3</v>
      </c>
      <c r="T120" s="1329"/>
      <c r="U120" s="1324"/>
    </row>
    <row r="121" spans="2:21" x14ac:dyDescent="0.2">
      <c r="C121" s="1265"/>
      <c r="D121" s="1365">
        <f t="shared" si="47"/>
        <v>2017</v>
      </c>
      <c r="E121" s="1329"/>
      <c r="F121" s="1329"/>
      <c r="G121" s="1373">
        <f t="shared" si="48"/>
        <v>1.3153612786812818E-2</v>
      </c>
      <c r="H121" s="1329"/>
      <c r="I121" s="1379">
        <f>IF(I113=0,"",G112/I113-1)</f>
        <v>3.1990850560639217E-2</v>
      </c>
      <c r="J121" s="1384"/>
      <c r="K121" s="1363">
        <f t="shared" si="49"/>
        <v>2017</v>
      </c>
      <c r="L121" s="1353" t="str">
        <f>IF(K112="Forecast","",IF(L111=0,"",L112/L111-1))</f>
        <v/>
      </c>
      <c r="M121" s="1353">
        <f>IF(M111=0,"",M112/M111-1)</f>
        <v>-2.9476303447095731E-3</v>
      </c>
      <c r="N121" s="1329"/>
      <c r="O121" s="1354">
        <f>IF(O113=0,"",M112/O113-1)</f>
        <v>-0.10608044655488513</v>
      </c>
      <c r="P121" s="1265"/>
      <c r="Q121" s="1363">
        <f t="shared" si="51"/>
        <v>2017</v>
      </c>
      <c r="R121" s="1374" t="str">
        <f>IF(Q112="Forecast","",IF(R111=0,"",R112/R111-1))</f>
        <v/>
      </c>
      <c r="S121" s="1374">
        <f t="shared" si="53"/>
        <v>-1.5892203243725089E-2</v>
      </c>
      <c r="T121" s="1329"/>
      <c r="U121" s="1354">
        <f>IF(U113=0,"",S112/U113-1)</f>
        <v>-0.1337912027422683</v>
      </c>
    </row>
    <row r="122" spans="2:21" ht="26.25" thickBot="1" x14ac:dyDescent="0.25">
      <c r="C122" s="1271"/>
      <c r="D122" s="1405" t="s">
        <v>1221</v>
      </c>
      <c r="E122" s="1355"/>
      <c r="F122" s="1355"/>
      <c r="G122" s="1375">
        <f>IF(G106=0,"",(G112/G106)^(1/($D112-$D106-1))-1)</f>
        <v>9.7465695392373597E-3</v>
      </c>
      <c r="H122" s="1355"/>
      <c r="I122" s="1406">
        <f>IF(I113=0,"",(G112/I113)^(1/(TestYear-RebaseYear-1))-1)</f>
        <v>7.9035195348584608E-3</v>
      </c>
      <c r="J122" s="1360"/>
      <c r="K122" s="1404" t="str">
        <f t="shared" si="49"/>
        <v>Geometric Mean</v>
      </c>
      <c r="L122" s="1358">
        <f>IF(L106=0,"",(L110/L106)^(1/($D110-$D106-1))-1)</f>
        <v>-2.2406133378317983E-2</v>
      </c>
      <c r="M122" s="1358">
        <f>IF(M106=0,"",(M112/M106)^(1/($D112-$D106-1))-1)</f>
        <v>-7.4021776383397242E-3</v>
      </c>
      <c r="N122" s="1355"/>
      <c r="O122" s="1371">
        <f>IF(O113=0,"",(M112/O113)^(1/(TestYear-RebaseYear-1))-1)</f>
        <v>-2.7645542905905374E-2</v>
      </c>
      <c r="P122" s="1271"/>
      <c r="Q122" s="1404" t="str">
        <f t="shared" si="51"/>
        <v>Geometric Mean</v>
      </c>
      <c r="R122" s="1376">
        <f>IF(R106="","",IF(R106=0,"",(R110/R106)^(1/($D110-$D106-1))-1))</f>
        <v>-2.9665761649192657E-2</v>
      </c>
      <c r="S122" s="1358">
        <f>IF(S106="","",IF(S106=0,"",(S112/S106)^(1/($D112-$D106-1))-1))</f>
        <v>-1.6983219052085885E-2</v>
      </c>
      <c r="T122" s="1355"/>
      <c r="U122" s="1371">
        <f>IF(U113=0,"",(S112/U113)^(1/(TestYear-RebaseYear-1))-1)</f>
        <v>-3.5270302912692952E-2</v>
      </c>
    </row>
    <row r="124" spans="2:21" ht="13.5" thickBot="1" x14ac:dyDescent="0.25">
      <c r="Q124" s="1355"/>
      <c r="R124" s="1355"/>
      <c r="S124" s="1355"/>
      <c r="T124" s="1355"/>
      <c r="U124" s="1355"/>
    </row>
    <row r="125" spans="2:21" ht="12.75" customHeight="1" x14ac:dyDescent="0.2">
      <c r="C125" s="1264"/>
      <c r="D125" s="1268" t="s">
        <v>1205</v>
      </c>
      <c r="E125" s="1268"/>
      <c r="F125" s="1876" t="s">
        <v>1198</v>
      </c>
      <c r="G125" s="1877"/>
      <c r="H125" s="1877"/>
      <c r="I125" s="1878"/>
      <c r="K125" s="1859" t="str">
        <f>IF(ISBLANK(N102),"",CONCATENATE("Demand (",N102,")"))</f>
        <v>Demand (kWh)</v>
      </c>
      <c r="L125" s="1860"/>
      <c r="M125" s="1860"/>
      <c r="N125" s="1860"/>
      <c r="O125" s="1861"/>
      <c r="Q125" s="1869" t="str">
        <f>CONCATENATE("Demand (",N102,") per ",LEFT(F104,LEN(F104)-1))</f>
        <v>Demand (kWh) per Customer</v>
      </c>
      <c r="R125" s="1879"/>
      <c r="S125" s="1879"/>
      <c r="T125" s="1879"/>
      <c r="U125" s="1870"/>
    </row>
    <row r="126" spans="2:21" ht="39" thickBot="1" x14ac:dyDescent="0.25">
      <c r="C126" s="1271"/>
      <c r="D126" s="1277" t="str">
        <f>CONCATENATE("(for ",TestYear," Cost of Service")</f>
        <v>(for 2017 Cost of Service</v>
      </c>
      <c r="E126" s="1266"/>
      <c r="F126" s="1872"/>
      <c r="G126" s="1873"/>
      <c r="H126" s="1873"/>
      <c r="I126" s="1296"/>
      <c r="K126" s="1284"/>
      <c r="L126" s="1433" t="s">
        <v>1226</v>
      </c>
      <c r="M126" s="1433" t="s">
        <v>1210</v>
      </c>
      <c r="N126" s="1305"/>
      <c r="O126" s="1306" t="str">
        <f>M126</f>
        <v>Weather-normalized</v>
      </c>
      <c r="Q126" s="1403"/>
      <c r="R126" s="1433" t="str">
        <f>L126</f>
        <v>Actual (Weather actual)</v>
      </c>
      <c r="S126" s="1433" t="str">
        <f>M126</f>
        <v>Weather-normalized</v>
      </c>
      <c r="T126" s="1433"/>
      <c r="U126" s="1434" t="str">
        <f>O126</f>
        <v>Weather-normalized</v>
      </c>
    </row>
    <row r="127" spans="2:21" x14ac:dyDescent="0.2">
      <c r="C127" s="1266" t="s">
        <v>890</v>
      </c>
      <c r="D127" s="1363">
        <f t="shared" ref="D127:D132" si="54">D128-1</f>
        <v>2011</v>
      </c>
      <c r="E127" s="1265"/>
      <c r="F127" s="1313" t="str">
        <f t="shared" ref="F127:F133" si="55">F106</f>
        <v>Actual</v>
      </c>
      <c r="G127" s="1311">
        <v>182517</v>
      </c>
      <c r="H127" s="2" t="str">
        <f t="shared" ref="H127:H133" si="56">IF(D127=RebaseYear,"Board-approved","")</f>
        <v/>
      </c>
      <c r="I127" s="1383"/>
      <c r="K127" s="1282" t="str">
        <f t="shared" ref="K127:K133" si="57">K106</f>
        <v>Actual</v>
      </c>
      <c r="L127" s="1294"/>
      <c r="M127" s="1294"/>
      <c r="N127" s="1258" t="str">
        <f t="shared" ref="N127:N133" si="58">N106</f>
        <v/>
      </c>
      <c r="O127" s="1324"/>
      <c r="Q127" s="1385" t="str">
        <f>K127</f>
        <v>Actual</v>
      </c>
      <c r="R127" s="1329">
        <f>IF(G127=0,"",L127/G127)</f>
        <v>0</v>
      </c>
      <c r="S127" s="1309">
        <f>IF(G127=0,"",M127/G127)</f>
        <v>0</v>
      </c>
      <c r="T127" s="1309" t="str">
        <f>N127</f>
        <v/>
      </c>
      <c r="U127" s="1265" t="str">
        <f>IF(T127="","",IF(I127=0,"",O127/I127))</f>
        <v/>
      </c>
    </row>
    <row r="128" spans="2:21" x14ac:dyDescent="0.2">
      <c r="C128" s="1266" t="s">
        <v>890</v>
      </c>
      <c r="D128" s="1363">
        <f t="shared" si="54"/>
        <v>2012</v>
      </c>
      <c r="E128" s="1265"/>
      <c r="F128" s="1314" t="str">
        <f t="shared" si="55"/>
        <v>Actual</v>
      </c>
      <c r="G128" s="1311">
        <v>422909</v>
      </c>
      <c r="H128" s="2" t="str">
        <f t="shared" si="56"/>
        <v>Board-approved</v>
      </c>
      <c r="I128" s="1311">
        <v>351937.48567666271</v>
      </c>
      <c r="K128" s="1282" t="str">
        <f t="shared" si="57"/>
        <v>Actual</v>
      </c>
      <c r="L128" s="1294"/>
      <c r="M128" s="1294"/>
      <c r="N128" s="1258" t="str">
        <f t="shared" si="58"/>
        <v>Board-approved</v>
      </c>
      <c r="O128" s="1324"/>
      <c r="Q128" s="1385" t="str">
        <f t="shared" ref="Q128:Q133" si="59">K128</f>
        <v>Actual</v>
      </c>
      <c r="R128" s="1329">
        <f t="shared" ref="R128:R133" si="60">IF(G128=0,"",L128/G128)</f>
        <v>0</v>
      </c>
      <c r="S128" s="1309">
        <f t="shared" ref="S128:S133" si="61">IF(G128=0,"",M128/G128)</f>
        <v>0</v>
      </c>
      <c r="T128" s="1309" t="str">
        <f t="shared" ref="T128:T133" si="62">N128</f>
        <v>Board-approved</v>
      </c>
      <c r="U128" s="1265">
        <f t="shared" ref="U128:U133" si="63">IF(T128="","",IF(I128=0,"",O128/I128))</f>
        <v>0</v>
      </c>
    </row>
    <row r="129" spans="3:21" x14ac:dyDescent="0.2">
      <c r="C129" s="1266" t="s">
        <v>890</v>
      </c>
      <c r="D129" s="1363">
        <f t="shared" si="54"/>
        <v>2013</v>
      </c>
      <c r="E129" s="1265"/>
      <c r="F129" s="1314" t="str">
        <f t="shared" si="55"/>
        <v>Actual</v>
      </c>
      <c r="G129" s="1311">
        <v>423252.77505673614</v>
      </c>
      <c r="H129" s="2" t="str">
        <f t="shared" si="56"/>
        <v/>
      </c>
      <c r="I129" s="1328"/>
      <c r="K129" s="1282" t="str">
        <f t="shared" si="57"/>
        <v>Actual</v>
      </c>
      <c r="L129" s="1294"/>
      <c r="M129" s="1294"/>
      <c r="N129" s="1258" t="str">
        <f t="shared" si="58"/>
        <v/>
      </c>
      <c r="O129" s="1325"/>
      <c r="Q129" s="1385" t="str">
        <f t="shared" si="59"/>
        <v>Actual</v>
      </c>
      <c r="R129" s="1329">
        <f t="shared" si="60"/>
        <v>0</v>
      </c>
      <c r="S129" s="1309">
        <f t="shared" si="61"/>
        <v>0</v>
      </c>
      <c r="T129" s="1309" t="str">
        <f t="shared" si="62"/>
        <v/>
      </c>
      <c r="U129" s="1265" t="str">
        <f t="shared" si="63"/>
        <v/>
      </c>
    </row>
    <row r="130" spans="3:21" x14ac:dyDescent="0.2">
      <c r="C130" s="1266" t="s">
        <v>890</v>
      </c>
      <c r="D130" s="1363">
        <f t="shared" si="54"/>
        <v>2014</v>
      </c>
      <c r="E130" s="1265"/>
      <c r="F130" s="1314" t="str">
        <f t="shared" si="55"/>
        <v>Actual</v>
      </c>
      <c r="G130" s="1311">
        <v>431736.7</v>
      </c>
      <c r="H130" s="2" t="str">
        <f t="shared" si="56"/>
        <v/>
      </c>
      <c r="I130" s="1324"/>
      <c r="K130" s="1282" t="str">
        <f t="shared" si="57"/>
        <v>Actual</v>
      </c>
      <c r="L130" s="1294"/>
      <c r="M130" s="1294"/>
      <c r="N130" s="1258" t="str">
        <f t="shared" si="58"/>
        <v/>
      </c>
      <c r="O130" s="1324"/>
      <c r="Q130" s="1385" t="str">
        <f t="shared" si="59"/>
        <v>Actual</v>
      </c>
      <c r="R130" s="1329">
        <f t="shared" si="60"/>
        <v>0</v>
      </c>
      <c r="S130" s="1309">
        <f t="shared" si="61"/>
        <v>0</v>
      </c>
      <c r="T130" s="1309" t="str">
        <f t="shared" si="62"/>
        <v/>
      </c>
      <c r="U130" s="1265" t="str">
        <f t="shared" si="63"/>
        <v/>
      </c>
    </row>
    <row r="131" spans="3:21" x14ac:dyDescent="0.2">
      <c r="C131" s="1266" t="s">
        <v>890</v>
      </c>
      <c r="D131" s="1363">
        <f t="shared" si="54"/>
        <v>2015</v>
      </c>
      <c r="E131" s="1265"/>
      <c r="F131" s="1314" t="str">
        <f t="shared" si="55"/>
        <v>Actual</v>
      </c>
      <c r="G131" s="1311">
        <v>385021</v>
      </c>
      <c r="H131" s="2" t="str">
        <f t="shared" si="56"/>
        <v/>
      </c>
      <c r="I131" s="1324"/>
      <c r="K131" s="1282" t="str">
        <f t="shared" si="57"/>
        <v>Actual</v>
      </c>
      <c r="L131" s="1294"/>
      <c r="M131" s="1294"/>
      <c r="N131" s="1258" t="str">
        <f t="shared" si="58"/>
        <v/>
      </c>
      <c r="O131" s="1324"/>
      <c r="Q131" s="1385" t="str">
        <f t="shared" si="59"/>
        <v>Actual</v>
      </c>
      <c r="R131" s="1329">
        <f t="shared" si="60"/>
        <v>0</v>
      </c>
      <c r="S131" s="1309">
        <f t="shared" si="61"/>
        <v>0</v>
      </c>
      <c r="T131" s="1309" t="str">
        <f t="shared" si="62"/>
        <v/>
      </c>
      <c r="U131" s="1265" t="str">
        <f t="shared" si="63"/>
        <v/>
      </c>
    </row>
    <row r="132" spans="3:21" x14ac:dyDescent="0.2">
      <c r="C132" s="1266" t="s">
        <v>1203</v>
      </c>
      <c r="D132" s="1363">
        <f t="shared" si="54"/>
        <v>2016</v>
      </c>
      <c r="E132" s="1265"/>
      <c r="F132" s="1314" t="str">
        <f t="shared" si="55"/>
        <v>Forecast</v>
      </c>
      <c r="G132" s="1311">
        <v>380218.40727182978</v>
      </c>
      <c r="H132" s="2" t="str">
        <f t="shared" si="56"/>
        <v/>
      </c>
      <c r="I132" s="1324"/>
      <c r="K132" s="1282" t="str">
        <f t="shared" si="57"/>
        <v>Forecast</v>
      </c>
      <c r="L132" s="1303"/>
      <c r="M132" s="1334"/>
      <c r="N132" s="1258" t="str">
        <f t="shared" si="58"/>
        <v/>
      </c>
      <c r="O132" s="1324"/>
      <c r="Q132" s="1385" t="str">
        <f t="shared" si="59"/>
        <v>Forecast</v>
      </c>
      <c r="R132" s="1329">
        <f t="shared" si="60"/>
        <v>0</v>
      </c>
      <c r="S132" s="1309">
        <f t="shared" si="61"/>
        <v>0</v>
      </c>
      <c r="T132" s="1309" t="str">
        <f t="shared" si="62"/>
        <v/>
      </c>
      <c r="U132" s="1265" t="str">
        <f t="shared" si="63"/>
        <v/>
      </c>
    </row>
    <row r="133" spans="3:21" ht="13.5" thickBot="1" x14ac:dyDescent="0.25">
      <c r="C133" s="1267" t="s">
        <v>1204</v>
      </c>
      <c r="D133" s="1364">
        <f>TestYear</f>
        <v>2017</v>
      </c>
      <c r="E133" s="1271"/>
      <c r="F133" s="1315" t="str">
        <f t="shared" si="55"/>
        <v>Forecast</v>
      </c>
      <c r="G133" s="1312">
        <v>564424.28282827383</v>
      </c>
      <c r="H133" s="1307" t="str">
        <f t="shared" si="56"/>
        <v/>
      </c>
      <c r="I133" s="1326"/>
      <c r="K133" s="1283" t="str">
        <f t="shared" si="57"/>
        <v>Forecast</v>
      </c>
      <c r="L133" s="1304"/>
      <c r="M133" s="1335"/>
      <c r="N133" s="1262" t="str">
        <f t="shared" si="58"/>
        <v/>
      </c>
      <c r="O133" s="1326"/>
      <c r="Q133" s="1319" t="str">
        <f t="shared" si="59"/>
        <v>Forecast</v>
      </c>
      <c r="R133" s="1310">
        <f t="shared" si="60"/>
        <v>0</v>
      </c>
      <c r="S133" s="1310">
        <f t="shared" si="61"/>
        <v>0</v>
      </c>
      <c r="T133" s="1310" t="str">
        <f t="shared" si="62"/>
        <v/>
      </c>
      <c r="U133" s="1271" t="str">
        <f t="shared" si="63"/>
        <v/>
      </c>
    </row>
    <row r="134" spans="3:21" ht="13.5" thickBot="1" x14ac:dyDescent="0.25">
      <c r="C134" s="1366"/>
      <c r="I134" s="1408">
        <f>SUM(I127:I132)</f>
        <v>351937.48567666271</v>
      </c>
      <c r="J134" s="1329"/>
      <c r="O134" s="1408">
        <f>SUM(O127:O132)</f>
        <v>0</v>
      </c>
      <c r="U134" s="1408">
        <f>SUM(U127:U132)</f>
        <v>0</v>
      </c>
    </row>
    <row r="135" spans="3:21" ht="39" thickBot="1" x14ac:dyDescent="0.25">
      <c r="C135" s="1400" t="s">
        <v>952</v>
      </c>
      <c r="D135" s="1399" t="s">
        <v>15</v>
      </c>
      <c r="E135" s="1435"/>
      <c r="F135" s="1435"/>
      <c r="G135" s="1435" t="s">
        <v>1222</v>
      </c>
      <c r="H135" s="1435"/>
      <c r="I135" s="1394" t="str">
        <f>I114</f>
        <v>Test Year Versus Board-approved</v>
      </c>
      <c r="J135" s="1407"/>
      <c r="K135" s="1395" t="s">
        <v>15</v>
      </c>
      <c r="L135" s="1874" t="s">
        <v>1222</v>
      </c>
      <c r="M135" s="1874"/>
      <c r="N135" s="1435"/>
      <c r="O135" s="1394" t="str">
        <f>I135</f>
        <v>Test Year Versus Board-approved</v>
      </c>
      <c r="P135" s="1380"/>
      <c r="Q135" s="1395" t="s">
        <v>15</v>
      </c>
      <c r="R135" s="1874" t="s">
        <v>1222</v>
      </c>
      <c r="S135" s="1874"/>
      <c r="T135" s="1435"/>
      <c r="U135" s="1394" t="str">
        <f>O135</f>
        <v>Test Year Versus Board-approved</v>
      </c>
    </row>
    <row r="136" spans="3:21" x14ac:dyDescent="0.2">
      <c r="C136" s="1265"/>
      <c r="D136" s="1402">
        <f t="shared" ref="D136:D142" si="64">D127</f>
        <v>2011</v>
      </c>
      <c r="E136" s="1345"/>
      <c r="F136" s="1329"/>
      <c r="G136" s="1372"/>
      <c r="H136" s="1329"/>
      <c r="I136" s="1378"/>
      <c r="J136" s="1265"/>
      <c r="K136" s="1363">
        <f>D136</f>
        <v>2011</v>
      </c>
      <c r="L136" s="1351"/>
      <c r="M136" s="1351"/>
      <c r="N136" s="1329"/>
      <c r="O136" s="1381"/>
      <c r="P136" s="1265"/>
      <c r="Q136" s="1363">
        <f>K136</f>
        <v>2011</v>
      </c>
      <c r="R136" s="1330"/>
      <c r="S136" s="1330"/>
      <c r="T136" s="1329"/>
      <c r="U136" s="1324"/>
    </row>
    <row r="137" spans="3:21" x14ac:dyDescent="0.2">
      <c r="C137" s="1265"/>
      <c r="D137" s="1365">
        <f t="shared" si="64"/>
        <v>2012</v>
      </c>
      <c r="E137" s="1329"/>
      <c r="F137" s="1329"/>
      <c r="G137" s="1373">
        <f t="shared" ref="G137:G142" si="65">IF(G127=0,"",G128/G127-1)</f>
        <v>1.317093750171217</v>
      </c>
      <c r="H137" s="1329"/>
      <c r="I137" s="1378"/>
      <c r="J137" s="1265"/>
      <c r="K137" s="1363">
        <f t="shared" ref="K137:K143" si="66">D137</f>
        <v>2012</v>
      </c>
      <c r="L137" s="1353" t="str">
        <f t="shared" ref="L137:M139" si="67">IF(L127=0,"",L128/L127-1)</f>
        <v/>
      </c>
      <c r="M137" s="1353" t="str">
        <f t="shared" si="67"/>
        <v/>
      </c>
      <c r="N137" s="1329"/>
      <c r="O137" s="1381"/>
      <c r="P137" s="1265"/>
      <c r="Q137" s="1363">
        <f t="shared" ref="Q137:Q143" si="68">K137</f>
        <v>2012</v>
      </c>
      <c r="R137" s="1374" t="str">
        <f t="shared" ref="R137:S139" si="69">IF(R127="","",IF(R127=0,"",R128/R127-1))</f>
        <v/>
      </c>
      <c r="S137" s="1374" t="str">
        <f t="shared" si="69"/>
        <v/>
      </c>
      <c r="T137" s="1329"/>
      <c r="U137" s="1324"/>
    </row>
    <row r="138" spans="3:21" x14ac:dyDescent="0.2">
      <c r="C138" s="1265"/>
      <c r="D138" s="1401">
        <f t="shared" si="64"/>
        <v>2013</v>
      </c>
      <c r="E138" s="1329"/>
      <c r="F138" s="1329"/>
      <c r="G138" s="1373">
        <f t="shared" si="65"/>
        <v>8.1288186521488726E-4</v>
      </c>
      <c r="H138" s="1329"/>
      <c r="I138" s="1378"/>
      <c r="J138" s="1265"/>
      <c r="K138" s="1363">
        <f t="shared" si="66"/>
        <v>2013</v>
      </c>
      <c r="L138" s="1353" t="str">
        <f t="shared" si="67"/>
        <v/>
      </c>
      <c r="M138" s="1353" t="str">
        <f t="shared" si="67"/>
        <v/>
      </c>
      <c r="N138" s="1329"/>
      <c r="O138" s="1381"/>
      <c r="P138" s="1265"/>
      <c r="Q138" s="1363">
        <f t="shared" si="68"/>
        <v>2013</v>
      </c>
      <c r="R138" s="1374" t="str">
        <f t="shared" si="69"/>
        <v/>
      </c>
      <c r="S138" s="1374" t="str">
        <f t="shared" si="69"/>
        <v/>
      </c>
      <c r="T138" s="1329"/>
      <c r="U138" s="1324"/>
    </row>
    <row r="139" spans="3:21" x14ac:dyDescent="0.2">
      <c r="C139" s="1265"/>
      <c r="D139" s="1365">
        <f t="shared" si="64"/>
        <v>2014</v>
      </c>
      <c r="E139" s="1329"/>
      <c r="F139" s="1329"/>
      <c r="G139" s="1373">
        <f t="shared" si="65"/>
        <v>2.0044581969076658E-2</v>
      </c>
      <c r="H139" s="1329"/>
      <c r="I139" s="1378"/>
      <c r="J139" s="1265"/>
      <c r="K139" s="1363">
        <f t="shared" si="66"/>
        <v>2014</v>
      </c>
      <c r="L139" s="1353" t="str">
        <f t="shared" si="67"/>
        <v/>
      </c>
      <c r="M139" s="1353" t="str">
        <f t="shared" si="67"/>
        <v/>
      </c>
      <c r="N139" s="1329"/>
      <c r="O139" s="1381"/>
      <c r="P139" s="1265"/>
      <c r="Q139" s="1363">
        <f t="shared" si="68"/>
        <v>2014</v>
      </c>
      <c r="R139" s="1374" t="str">
        <f t="shared" si="69"/>
        <v/>
      </c>
      <c r="S139" s="1374" t="str">
        <f t="shared" si="69"/>
        <v/>
      </c>
      <c r="T139" s="1329"/>
      <c r="U139" s="1324"/>
    </row>
    <row r="140" spans="3:21" x14ac:dyDescent="0.2">
      <c r="C140" s="1265"/>
      <c r="D140" s="1365">
        <f t="shared" si="64"/>
        <v>2015</v>
      </c>
      <c r="E140" s="1329"/>
      <c r="F140" s="1329"/>
      <c r="G140" s="1373">
        <f t="shared" si="65"/>
        <v>-0.10820414386824195</v>
      </c>
      <c r="H140" s="1329"/>
      <c r="I140" s="1378"/>
      <c r="J140" s="1265"/>
      <c r="K140" s="1363">
        <f t="shared" si="66"/>
        <v>2015</v>
      </c>
      <c r="L140" s="1353" t="str">
        <f t="shared" ref="L140:M142" si="70">IF(L130=0,"",L131/L130-1)</f>
        <v/>
      </c>
      <c r="M140" s="1353" t="str">
        <f t="shared" si="70"/>
        <v/>
      </c>
      <c r="N140" s="1329"/>
      <c r="O140" s="1381"/>
      <c r="P140" s="1265"/>
      <c r="Q140" s="1363">
        <f t="shared" si="68"/>
        <v>2015</v>
      </c>
      <c r="R140" s="1374" t="str">
        <f t="shared" ref="R140:S142" si="71">IF(R130="","",IF(R130=0,"",R131/R130-1))</f>
        <v/>
      </c>
      <c r="S140" s="1374" t="str">
        <f t="shared" si="71"/>
        <v/>
      </c>
      <c r="T140" s="1329"/>
      <c r="U140" s="1324"/>
    </row>
    <row r="141" spans="3:21" x14ac:dyDescent="0.2">
      <c r="C141" s="1265"/>
      <c r="D141" s="1365">
        <f t="shared" si="64"/>
        <v>2016</v>
      </c>
      <c r="E141" s="1329"/>
      <c r="F141" s="1329"/>
      <c r="G141" s="1373">
        <f t="shared" si="65"/>
        <v>-1.247358644897345E-2</v>
      </c>
      <c r="H141" s="1329"/>
      <c r="I141" s="1378"/>
      <c r="J141" s="1265"/>
      <c r="K141" s="1363">
        <f t="shared" si="66"/>
        <v>2016</v>
      </c>
      <c r="L141" s="1353" t="str">
        <f>IF(K132="Forecast","",IF(L131=0,"",L132/L131-1))</f>
        <v/>
      </c>
      <c r="M141" s="1353" t="str">
        <f t="shared" si="70"/>
        <v/>
      </c>
      <c r="N141" s="1329"/>
      <c r="O141" s="1381"/>
      <c r="P141" s="1265"/>
      <c r="Q141" s="1363">
        <f t="shared" si="68"/>
        <v>2016</v>
      </c>
      <c r="R141" s="1374" t="str">
        <f>IF(Q132="Forecast","",IF(R131=0,"",R132/R131-1))</f>
        <v/>
      </c>
      <c r="S141" s="1374" t="str">
        <f t="shared" si="71"/>
        <v/>
      </c>
      <c r="T141" s="1329"/>
      <c r="U141" s="1324"/>
    </row>
    <row r="142" spans="3:21" x14ac:dyDescent="0.2">
      <c r="C142" s="1265"/>
      <c r="D142" s="1401">
        <f t="shared" si="64"/>
        <v>2017</v>
      </c>
      <c r="E142" s="1329"/>
      <c r="F142" s="1329"/>
      <c r="G142" s="1373">
        <f t="shared" si="65"/>
        <v>0.48447384985427511</v>
      </c>
      <c r="H142" s="1329"/>
      <c r="I142" s="1379">
        <f>IF(I134=0,"",G133/I134-1)</f>
        <v>0.60376290051361625</v>
      </c>
      <c r="J142" s="1265"/>
      <c r="K142" s="1363">
        <f t="shared" si="66"/>
        <v>2017</v>
      </c>
      <c r="L142" s="1353" t="str">
        <f>IF(K133="Forecast","",IF(L132=0,"",L133/L132-1))</f>
        <v/>
      </c>
      <c r="M142" s="1353" t="str">
        <f t="shared" si="70"/>
        <v/>
      </c>
      <c r="N142" s="1329"/>
      <c r="O142" s="1382" t="str">
        <f>IF(O134=0,"",M133/O134-1)</f>
        <v/>
      </c>
      <c r="P142" s="1265"/>
      <c r="Q142" s="1363">
        <f t="shared" si="68"/>
        <v>2017</v>
      </c>
      <c r="R142" s="1374" t="str">
        <f>IF(Q133="Forecast","",IF(R132=0,"",R133/R132-1))</f>
        <v/>
      </c>
      <c r="S142" s="1374" t="str">
        <f t="shared" si="71"/>
        <v/>
      </c>
      <c r="T142" s="1329"/>
      <c r="U142" s="1354" t="str">
        <f>IF(U134=0,"",S133/U134-1)</f>
        <v/>
      </c>
    </row>
    <row r="143" spans="3:21" ht="26.25" thickBot="1" x14ac:dyDescent="0.25">
      <c r="C143" s="1271"/>
      <c r="D143" s="1405" t="s">
        <v>1221</v>
      </c>
      <c r="E143" s="1355"/>
      <c r="F143" s="1355"/>
      <c r="G143" s="1375">
        <f>IF(G127=0,"",(G133/G127)^(1/($D133-$D127-1))-1)</f>
        <v>0.25331568155156314</v>
      </c>
      <c r="H143" s="1355"/>
      <c r="I143" s="1371">
        <f>IF(I134=0,"",(G133/I134)^(1/(TestYear-RebaseYear-1))-1)</f>
        <v>0.12534332876307386</v>
      </c>
      <c r="J143" s="1265"/>
      <c r="K143" s="1404" t="str">
        <f t="shared" si="66"/>
        <v>Geometric Mean</v>
      </c>
      <c r="L143" s="1358" t="str">
        <f>IF(L127=0,"",(L131/L127)^(1/($D131-$D127-1))-1)</f>
        <v/>
      </c>
      <c r="M143" s="1358" t="str">
        <f>IF(M127=0,"",(M133/M127)^(1/($D133-$D127-1))-1)</f>
        <v/>
      </c>
      <c r="N143" s="1355"/>
      <c r="O143" s="1371" t="str">
        <f>IF(O134=0,"",(M133/O134)^(1/(TestYear-RebaseYear-1))-1)</f>
        <v/>
      </c>
      <c r="P143" s="1271"/>
      <c r="Q143" s="1404" t="str">
        <f t="shared" si="68"/>
        <v>Geometric Mean</v>
      </c>
      <c r="R143" s="1376" t="str">
        <f>IF(R127="","",IF(R127=0,"",(R131/R127)^(1/($D131-$D127-1))-1))</f>
        <v/>
      </c>
      <c r="S143" s="1358" t="str">
        <f>IF(S127="","",IF(S127=0,"",(S133/S127)^(1/($D133-$D127-1))-1))</f>
        <v/>
      </c>
      <c r="T143" s="1355"/>
      <c r="U143" s="1371" t="str">
        <f>IF(U134=0,"",(S133/U134)^(1/(TestYear-RebaseYear-1))-1)</f>
        <v/>
      </c>
    </row>
    <row r="144" spans="3:21" ht="13.5" thickBot="1" x14ac:dyDescent="0.25"/>
    <row r="145" spans="2:22" ht="13.5" thickBot="1" x14ac:dyDescent="0.25">
      <c r="B145" s="1318">
        <v>3</v>
      </c>
      <c r="C145" s="3" t="s">
        <v>14</v>
      </c>
      <c r="D145" s="1880" t="s">
        <v>1236</v>
      </c>
      <c r="E145" s="1881"/>
      <c r="F145" s="1882"/>
      <c r="G145" s="1291"/>
      <c r="H145" s="13" t="s">
        <v>1224</v>
      </c>
      <c r="N145" s="1317" t="s">
        <v>75</v>
      </c>
      <c r="O145" s="1316"/>
      <c r="P145" s="1316"/>
      <c r="Q145" s="1316"/>
      <c r="R145" s="1316"/>
      <c r="S145" s="1316"/>
      <c r="T145" s="1316"/>
      <c r="U145" s="1316"/>
    </row>
    <row r="146" spans="2:22" ht="13.5" thickBot="1" x14ac:dyDescent="0.25">
      <c r="Q146" s="1355"/>
      <c r="R146" s="1355"/>
      <c r="S146" s="1355"/>
      <c r="T146" s="1355"/>
      <c r="U146" s="1355"/>
    </row>
    <row r="147" spans="2:22" ht="12.75" customHeight="1" x14ac:dyDescent="0.2">
      <c r="C147" s="1264"/>
      <c r="D147" s="1268" t="s">
        <v>1205</v>
      </c>
      <c r="E147" s="1268"/>
      <c r="F147" s="1883" t="s">
        <v>1034</v>
      </c>
      <c r="G147" s="1884"/>
      <c r="H147" s="1884"/>
      <c r="I147" s="1885"/>
      <c r="J147" s="1268"/>
      <c r="K147" s="1859" t="s">
        <v>1213</v>
      </c>
      <c r="L147" s="1860"/>
      <c r="M147" s="1860"/>
      <c r="N147" s="1860"/>
      <c r="O147" s="1861"/>
      <c r="P147" s="1287"/>
      <c r="Q147" s="1869" t="str">
        <f>CONCATENATE("Consumption (kWh) per ",LEFT(F147,LEN(F147)-1))</f>
        <v>Consumption (kWh) per Customer</v>
      </c>
      <c r="R147" s="1879"/>
      <c r="S147" s="1879"/>
      <c r="T147" s="1879"/>
      <c r="U147" s="1870"/>
      <c r="V147" s="1308"/>
    </row>
    <row r="148" spans="2:22" ht="39" thickBot="1" x14ac:dyDescent="0.25">
      <c r="C148" s="1271"/>
      <c r="D148" s="1277" t="str">
        <f>CONCATENATE("(for ",TestYear," Cost of Service")</f>
        <v>(for 2017 Cost of Service</v>
      </c>
      <c r="E148" s="1266"/>
      <c r="F148" s="1872"/>
      <c r="G148" s="1873"/>
      <c r="H148" s="1875"/>
      <c r="I148" s="1296"/>
      <c r="J148" s="1266"/>
      <c r="K148" s="1284"/>
      <c r="L148" s="1433" t="s">
        <v>1226</v>
      </c>
      <c r="M148" s="1433" t="s">
        <v>1210</v>
      </c>
      <c r="N148" s="1305"/>
      <c r="O148" s="1306" t="s">
        <v>1210</v>
      </c>
      <c r="P148" s="1266"/>
      <c r="Q148" s="1389"/>
      <c r="R148" s="1390" t="str">
        <f>L148</f>
        <v>Actual (Weather actual)</v>
      </c>
      <c r="S148" s="1391" t="str">
        <f>M148</f>
        <v>Weather-normalized</v>
      </c>
      <c r="T148" s="1391"/>
      <c r="U148" s="1392" t="str">
        <f>O148</f>
        <v>Weather-normalized</v>
      </c>
      <c r="V148" s="1308"/>
    </row>
    <row r="149" spans="2:22" x14ac:dyDescent="0.2">
      <c r="C149" s="1266" t="s">
        <v>890</v>
      </c>
      <c r="D149" s="1363">
        <f t="shared" ref="D149:D154" si="72">D150-1</f>
        <v>2011</v>
      </c>
      <c r="E149" s="1265"/>
      <c r="F149" s="1313" t="str">
        <f>F106</f>
        <v>Actual</v>
      </c>
      <c r="G149" s="1301">
        <v>95</v>
      </c>
      <c r="H149" s="1297" t="str">
        <f t="shared" ref="H149:H155" si="73">IF(D149=RebaseYear,"Board-approved","")</f>
        <v/>
      </c>
      <c r="I149" s="1324"/>
      <c r="J149" s="1265"/>
      <c r="K149" s="1282" t="str">
        <f>F149</f>
        <v>Actual</v>
      </c>
      <c r="L149" s="1301">
        <v>64324224</v>
      </c>
      <c r="M149" s="1301">
        <v>63493937.124862231</v>
      </c>
      <c r="N149" s="1297" t="str">
        <f>H149</f>
        <v/>
      </c>
      <c r="O149" s="1492"/>
      <c r="P149" s="1265"/>
      <c r="Q149" s="1385" t="str">
        <f>K149</f>
        <v>Actual</v>
      </c>
      <c r="R149" s="1497">
        <f>IF(G149=0,"",L149/G149)</f>
        <v>677097.09473684209</v>
      </c>
      <c r="S149" s="1497">
        <f>IF(G149=0,"",M149/G149)</f>
        <v>668357.23289328662</v>
      </c>
      <c r="T149" s="1329" t="str">
        <f>N149</f>
        <v/>
      </c>
      <c r="U149" s="1329" t="str">
        <f>IF(T149="","",IF(I149=0,"",O149/I149))</f>
        <v/>
      </c>
      <c r="V149" s="1309"/>
    </row>
    <row r="150" spans="2:22" x14ac:dyDescent="0.2">
      <c r="C150" s="1266" t="s">
        <v>890</v>
      </c>
      <c r="D150" s="1363">
        <f t="shared" si="72"/>
        <v>2012</v>
      </c>
      <c r="E150" s="1265"/>
      <c r="F150" s="1314" t="str">
        <f t="shared" ref="F150:F155" si="74">F107</f>
        <v>Actual</v>
      </c>
      <c r="G150" s="1301">
        <v>89</v>
      </c>
      <c r="H150" s="1297" t="str">
        <f t="shared" si="73"/>
        <v>Board-approved</v>
      </c>
      <c r="I150" s="1494">
        <v>93.462448747383306</v>
      </c>
      <c r="J150" s="1265"/>
      <c r="K150" s="1282" t="str">
        <f t="shared" ref="K150:K155" si="75">F150</f>
        <v>Actual</v>
      </c>
      <c r="L150" s="1301">
        <v>60934472.188461378</v>
      </c>
      <c r="M150" s="1301">
        <v>60853375.1283843</v>
      </c>
      <c r="N150" s="1297" t="str">
        <f t="shared" ref="N150:N155" si="76">H150</f>
        <v>Board-approved</v>
      </c>
      <c r="O150" s="1493">
        <v>66668106.413480401</v>
      </c>
      <c r="P150" s="1265"/>
      <c r="Q150" s="1385" t="str">
        <f t="shared" ref="Q150:Q155" si="77">K150</f>
        <v>Actual</v>
      </c>
      <c r="R150" s="1497">
        <f t="shared" ref="R150:R155" si="78">IF(G150=0,"",L150/G150)</f>
        <v>684656.99088158854</v>
      </c>
      <c r="S150" s="1497">
        <f t="shared" ref="S150:S155" si="79">IF(G150=0,"",M150/G150)</f>
        <v>683745.78795937414</v>
      </c>
      <c r="T150" s="1329" t="str">
        <f t="shared" ref="T150:T155" si="80">N150</f>
        <v>Board-approved</v>
      </c>
      <c r="U150" s="1497">
        <f t="shared" ref="U150:U155" si="81">IF(T150="","",IF(I150=0,"",O150/I150))</f>
        <v>713314.35573312989</v>
      </c>
      <c r="V150" s="1309"/>
    </row>
    <row r="151" spans="2:22" x14ac:dyDescent="0.2">
      <c r="C151" s="1266" t="s">
        <v>890</v>
      </c>
      <c r="D151" s="1363">
        <f t="shared" si="72"/>
        <v>2013</v>
      </c>
      <c r="E151" s="1265"/>
      <c r="F151" s="1314" t="str">
        <f t="shared" si="74"/>
        <v>Actual</v>
      </c>
      <c r="G151" s="1301">
        <v>89</v>
      </c>
      <c r="H151" s="1297" t="str">
        <f t="shared" si="73"/>
        <v/>
      </c>
      <c r="I151" s="1325"/>
      <c r="J151" s="1265"/>
      <c r="K151" s="1282" t="str">
        <f t="shared" si="75"/>
        <v>Actual</v>
      </c>
      <c r="L151" s="1301">
        <v>59427521.597267792</v>
      </c>
      <c r="M151" s="1301">
        <v>59626583.027692735</v>
      </c>
      <c r="N151" s="1297" t="str">
        <f t="shared" si="76"/>
        <v/>
      </c>
      <c r="O151" s="1325"/>
      <c r="P151" s="1265"/>
      <c r="Q151" s="1385" t="str">
        <f t="shared" si="77"/>
        <v>Actual</v>
      </c>
      <c r="R151" s="1495">
        <f t="shared" si="78"/>
        <v>667724.96176705381</v>
      </c>
      <c r="S151" s="1497">
        <f t="shared" si="79"/>
        <v>669961.60705272737</v>
      </c>
      <c r="T151" s="1329" t="str">
        <f t="shared" si="80"/>
        <v/>
      </c>
      <c r="U151" s="1329" t="str">
        <f t="shared" si="81"/>
        <v/>
      </c>
      <c r="V151" s="1309"/>
    </row>
    <row r="152" spans="2:22" x14ac:dyDescent="0.2">
      <c r="C152" s="1266" t="s">
        <v>890</v>
      </c>
      <c r="D152" s="1363">
        <f t="shared" si="72"/>
        <v>2014</v>
      </c>
      <c r="E152" s="1265"/>
      <c r="F152" s="1314" t="str">
        <f t="shared" si="74"/>
        <v>Actual</v>
      </c>
      <c r="G152" s="1301">
        <v>90</v>
      </c>
      <c r="H152" s="1297" t="str">
        <f t="shared" si="73"/>
        <v/>
      </c>
      <c r="I152" s="1324"/>
      <c r="J152" s="1265"/>
      <c r="K152" s="1282" t="str">
        <f t="shared" si="75"/>
        <v>Actual</v>
      </c>
      <c r="L152" s="1301">
        <v>57346380</v>
      </c>
      <c r="M152" s="1301">
        <v>57555836.280476987</v>
      </c>
      <c r="N152" s="1297" t="str">
        <f t="shared" si="76"/>
        <v/>
      </c>
      <c r="O152" s="1324"/>
      <c r="P152" s="1265"/>
      <c r="Q152" s="1385" t="str">
        <f t="shared" si="77"/>
        <v>Actual</v>
      </c>
      <c r="R152" s="1495">
        <f t="shared" si="78"/>
        <v>637182</v>
      </c>
      <c r="S152" s="1497">
        <f t="shared" si="79"/>
        <v>639509.29200529982</v>
      </c>
      <c r="T152" s="1329" t="str">
        <f t="shared" si="80"/>
        <v/>
      </c>
      <c r="U152" s="1329" t="str">
        <f t="shared" si="81"/>
        <v/>
      </c>
      <c r="V152" s="1309"/>
    </row>
    <row r="153" spans="2:22" x14ac:dyDescent="0.2">
      <c r="C153" s="1266" t="s">
        <v>890</v>
      </c>
      <c r="D153" s="1363">
        <f t="shared" si="72"/>
        <v>2015</v>
      </c>
      <c r="E153" s="1265"/>
      <c r="F153" s="1314" t="str">
        <f t="shared" si="74"/>
        <v>Actual</v>
      </c>
      <c r="G153" s="1301">
        <v>92.5</v>
      </c>
      <c r="H153" s="1297" t="str">
        <f t="shared" si="73"/>
        <v/>
      </c>
      <c r="I153" s="1324"/>
      <c r="J153" s="1265"/>
      <c r="K153" s="1282" t="str">
        <f t="shared" si="75"/>
        <v>Actual</v>
      </c>
      <c r="L153" s="1301">
        <v>62304426.670519009</v>
      </c>
      <c r="M153" s="1301">
        <v>63171499.828008629</v>
      </c>
      <c r="N153" s="1297" t="str">
        <f t="shared" si="76"/>
        <v/>
      </c>
      <c r="O153" s="1324"/>
      <c r="P153" s="1265"/>
      <c r="Q153" s="1385" t="str">
        <f t="shared" si="77"/>
        <v>Actual</v>
      </c>
      <c r="R153" s="1495">
        <f t="shared" si="78"/>
        <v>673561.36941101635</v>
      </c>
      <c r="S153" s="1497">
        <f t="shared" si="79"/>
        <v>682935.13327576895</v>
      </c>
      <c r="T153" s="1329" t="str">
        <f t="shared" si="80"/>
        <v/>
      </c>
      <c r="U153" s="1329" t="str">
        <f t="shared" si="81"/>
        <v/>
      </c>
      <c r="V153" s="1309"/>
    </row>
    <row r="154" spans="2:22" x14ac:dyDescent="0.2">
      <c r="C154" s="1266" t="s">
        <v>313</v>
      </c>
      <c r="D154" s="1363">
        <f t="shared" si="72"/>
        <v>2016</v>
      </c>
      <c r="E154" s="1265"/>
      <c r="F154" s="1314" t="str">
        <f t="shared" si="74"/>
        <v>Forecast</v>
      </c>
      <c r="G154" s="1301">
        <v>92.5</v>
      </c>
      <c r="H154" s="1297" t="str">
        <f t="shared" si="73"/>
        <v/>
      </c>
      <c r="I154" s="1324"/>
      <c r="J154" s="1265"/>
      <c r="K154" s="1282" t="str">
        <f t="shared" si="75"/>
        <v>Forecast</v>
      </c>
      <c r="L154" s="1303"/>
      <c r="M154" s="1301">
        <v>62116820.189978786</v>
      </c>
      <c r="N154" s="1297" t="str">
        <f t="shared" si="76"/>
        <v/>
      </c>
      <c r="O154" s="1324"/>
      <c r="P154" s="1265"/>
      <c r="Q154" s="1385" t="str">
        <f t="shared" si="77"/>
        <v>Forecast</v>
      </c>
      <c r="R154" s="1387">
        <f t="shared" si="78"/>
        <v>0</v>
      </c>
      <c r="S154" s="1497">
        <f t="shared" si="79"/>
        <v>671533.19124301395</v>
      </c>
      <c r="T154" s="1329" t="str">
        <f t="shared" si="80"/>
        <v/>
      </c>
      <c r="U154" s="1329" t="str">
        <f t="shared" si="81"/>
        <v/>
      </c>
      <c r="V154" s="1309"/>
    </row>
    <row r="155" spans="2:22" ht="13.5" thickBot="1" x14ac:dyDescent="0.25">
      <c r="C155" s="1267" t="s">
        <v>314</v>
      </c>
      <c r="D155" s="1364">
        <f>TestYear</f>
        <v>2017</v>
      </c>
      <c r="E155" s="1271"/>
      <c r="F155" s="1315" t="str">
        <f t="shared" si="74"/>
        <v>Forecast</v>
      </c>
      <c r="G155" s="1302">
        <v>92.5</v>
      </c>
      <c r="H155" s="1298" t="str">
        <f t="shared" si="73"/>
        <v/>
      </c>
      <c r="I155" s="1326"/>
      <c r="J155" s="1271"/>
      <c r="K155" s="1283" t="str">
        <f t="shared" si="75"/>
        <v>Forecast</v>
      </c>
      <c r="L155" s="1304"/>
      <c r="M155" s="1302">
        <v>60741787.912906595</v>
      </c>
      <c r="N155" s="1298" t="str">
        <f t="shared" si="76"/>
        <v/>
      </c>
      <c r="O155" s="1326"/>
      <c r="P155" s="1271"/>
      <c r="Q155" s="1386" t="str">
        <f t="shared" si="77"/>
        <v>Forecast</v>
      </c>
      <c r="R155" s="1388">
        <f t="shared" si="78"/>
        <v>0</v>
      </c>
      <c r="S155" s="1498">
        <f t="shared" si="79"/>
        <v>656667.97743682808</v>
      </c>
      <c r="T155" s="1355" t="str">
        <f t="shared" si="80"/>
        <v/>
      </c>
      <c r="U155" s="1355" t="str">
        <f t="shared" si="81"/>
        <v/>
      </c>
      <c r="V155" s="1309"/>
    </row>
    <row r="156" spans="2:22" ht="13.5" thickBot="1" x14ac:dyDescent="0.25">
      <c r="B156" s="1329"/>
      <c r="C156" s="1366"/>
      <c r="I156" s="1408">
        <f>SUM(I149:I154)</f>
        <v>93.462448747383306</v>
      </c>
      <c r="O156" s="1408">
        <f>SUM(O149:O154)</f>
        <v>66668106.413480401</v>
      </c>
      <c r="U156" s="1408">
        <f>SUM(U149:U154)</f>
        <v>713314.35573312989</v>
      </c>
    </row>
    <row r="157" spans="2:22" ht="39" thickBot="1" x14ac:dyDescent="0.25">
      <c r="C157" s="1400" t="s">
        <v>952</v>
      </c>
      <c r="D157" s="1399" t="s">
        <v>15</v>
      </c>
      <c r="E157" s="1361"/>
      <c r="F157" s="1361"/>
      <c r="G157" s="1435" t="s">
        <v>1222</v>
      </c>
      <c r="H157" s="1361"/>
      <c r="I157" s="1394" t="s">
        <v>1235</v>
      </c>
      <c r="J157" s="1396"/>
      <c r="K157" s="1395" t="s">
        <v>15</v>
      </c>
      <c r="L157" s="1874" t="s">
        <v>1222</v>
      </c>
      <c r="M157" s="1874"/>
      <c r="N157" s="1361"/>
      <c r="O157" s="1394" t="str">
        <f>I157</f>
        <v>Test Year Versus Board-approved</v>
      </c>
      <c r="P157" s="1397"/>
      <c r="Q157" s="1395" t="s">
        <v>15</v>
      </c>
      <c r="R157" s="1874" t="s">
        <v>1222</v>
      </c>
      <c r="S157" s="1874"/>
      <c r="T157" s="1361"/>
      <c r="U157" s="1394" t="str">
        <f>O157</f>
        <v>Test Year Versus Board-approved</v>
      </c>
    </row>
    <row r="158" spans="2:22" x14ac:dyDescent="0.2">
      <c r="C158" s="1265"/>
      <c r="D158" s="1377">
        <f t="shared" ref="D158:D164" si="82">D149</f>
        <v>2011</v>
      </c>
      <c r="E158" s="1329"/>
      <c r="F158" s="1329"/>
      <c r="G158" s="1372"/>
      <c r="H158" s="1329"/>
      <c r="I158" s="1378"/>
      <c r="J158" s="1384"/>
      <c r="K158" s="1363">
        <f>D158</f>
        <v>2011</v>
      </c>
      <c r="L158" s="1351"/>
      <c r="M158" s="1351"/>
      <c r="N158" s="1329"/>
      <c r="O158" s="1324"/>
      <c r="P158" s="1265"/>
      <c r="Q158" s="1363">
        <f>K158</f>
        <v>2011</v>
      </c>
      <c r="R158" s="1330"/>
      <c r="S158" s="1330"/>
      <c r="T158" s="1329"/>
      <c r="U158" s="1324"/>
    </row>
    <row r="159" spans="2:22" x14ac:dyDescent="0.2">
      <c r="C159" s="1265"/>
      <c r="D159" s="1365">
        <f t="shared" si="82"/>
        <v>2012</v>
      </c>
      <c r="E159" s="1329"/>
      <c r="F159" s="1329"/>
      <c r="G159" s="1373">
        <f t="shared" ref="G159:G164" si="83">IF(G149=0,"",G150/G149-1)</f>
        <v>-6.315789473684208E-2</v>
      </c>
      <c r="H159" s="1329"/>
      <c r="I159" s="1378"/>
      <c r="J159" s="1384"/>
      <c r="K159" s="1363">
        <f t="shared" ref="K159:K165" si="84">D159</f>
        <v>2012</v>
      </c>
      <c r="L159" s="1353">
        <f t="shared" ref="L159:M162" si="85">IF(L149=0,"",L150/L149-1)</f>
        <v>-5.2697904471239676E-2</v>
      </c>
      <c r="M159" s="1353">
        <f t="shared" si="85"/>
        <v>-4.1587624205523865E-2</v>
      </c>
      <c r="N159" s="1329"/>
      <c r="O159" s="1324"/>
      <c r="P159" s="1265"/>
      <c r="Q159" s="1363">
        <f t="shared" ref="Q159:Q165" si="86">K159</f>
        <v>2012</v>
      </c>
      <c r="R159" s="1374">
        <f t="shared" ref="R159:S162" si="87">IF(R149="","",IF(R149=0,"",R150/R149-1))</f>
        <v>1.1165158148676912E-2</v>
      </c>
      <c r="S159" s="1374">
        <f t="shared" si="87"/>
        <v>2.3024446072755334E-2</v>
      </c>
      <c r="T159" s="1329"/>
      <c r="U159" s="1324"/>
    </row>
    <row r="160" spans="2:22" x14ac:dyDescent="0.2">
      <c r="C160" s="1265"/>
      <c r="D160" s="1365">
        <f t="shared" si="82"/>
        <v>2013</v>
      </c>
      <c r="E160" s="1329"/>
      <c r="F160" s="1329"/>
      <c r="G160" s="1373">
        <f t="shared" si="83"/>
        <v>0</v>
      </c>
      <c r="H160" s="1329"/>
      <c r="I160" s="1378"/>
      <c r="J160" s="1384"/>
      <c r="K160" s="1363">
        <f t="shared" si="84"/>
        <v>2013</v>
      </c>
      <c r="L160" s="1353">
        <f t="shared" si="85"/>
        <v>-2.4730674396141628E-2</v>
      </c>
      <c r="M160" s="1353">
        <f t="shared" si="85"/>
        <v>-2.015980375950166E-2</v>
      </c>
      <c r="N160" s="1329"/>
      <c r="O160" s="1324"/>
      <c r="P160" s="1265"/>
      <c r="Q160" s="1363">
        <f t="shared" si="86"/>
        <v>2013</v>
      </c>
      <c r="R160" s="1374">
        <f t="shared" si="87"/>
        <v>-2.4730674396141739E-2</v>
      </c>
      <c r="S160" s="1374">
        <f t="shared" si="87"/>
        <v>-2.0159803759501549E-2</v>
      </c>
      <c r="T160" s="1329"/>
      <c r="U160" s="1324"/>
    </row>
    <row r="161" spans="3:21" x14ac:dyDescent="0.2">
      <c r="C161" s="1265"/>
      <c r="D161" s="1365">
        <f t="shared" si="82"/>
        <v>2014</v>
      </c>
      <c r="E161" s="1329"/>
      <c r="F161" s="1329"/>
      <c r="G161" s="1373">
        <f t="shared" si="83"/>
        <v>1.1235955056179803E-2</v>
      </c>
      <c r="H161" s="1329"/>
      <c r="I161" s="1378"/>
      <c r="J161" s="1384"/>
      <c r="K161" s="1363">
        <f t="shared" si="84"/>
        <v>2014</v>
      </c>
      <c r="L161" s="1353">
        <f t="shared" si="85"/>
        <v>-3.5019828209754467E-2</v>
      </c>
      <c r="M161" s="1353">
        <f t="shared" si="85"/>
        <v>-3.4728583159863713E-2</v>
      </c>
      <c r="N161" s="1329"/>
      <c r="O161" s="1324"/>
      <c r="P161" s="1265"/>
      <c r="Q161" s="1363">
        <f t="shared" si="86"/>
        <v>2014</v>
      </c>
      <c r="R161" s="1374">
        <f t="shared" si="87"/>
        <v>-4.5741830118534943E-2</v>
      </c>
      <c r="S161" s="1374">
        <f t="shared" si="87"/>
        <v>-4.5453821124754268E-2</v>
      </c>
      <c r="T161" s="1329"/>
      <c r="U161" s="1324"/>
    </row>
    <row r="162" spans="3:21" x14ac:dyDescent="0.2">
      <c r="C162" s="1265"/>
      <c r="D162" s="1365">
        <f t="shared" si="82"/>
        <v>2015</v>
      </c>
      <c r="E162" s="1329"/>
      <c r="F162" s="1329"/>
      <c r="G162" s="1373">
        <f t="shared" si="83"/>
        <v>2.7777777777777679E-2</v>
      </c>
      <c r="H162" s="1329"/>
      <c r="I162" s="1378"/>
      <c r="J162" s="1384"/>
      <c r="K162" s="1363">
        <f t="shared" si="84"/>
        <v>2015</v>
      </c>
      <c r="L162" s="1353">
        <f t="shared" si="85"/>
        <v>8.6457884011493125E-2</v>
      </c>
      <c r="M162" s="1353">
        <f t="shared" si="85"/>
        <v>9.7568967987291311E-2</v>
      </c>
      <c r="N162" s="1329"/>
      <c r="O162" s="1324"/>
      <c r="P162" s="1265"/>
      <c r="Q162" s="1363">
        <f t="shared" si="86"/>
        <v>2015</v>
      </c>
      <c r="R162" s="1374">
        <f t="shared" si="87"/>
        <v>5.7094157416587965E-2</v>
      </c>
      <c r="S162" s="1374">
        <f t="shared" si="87"/>
        <v>6.7904941825472687E-2</v>
      </c>
      <c r="T162" s="1329"/>
      <c r="U162" s="1324"/>
    </row>
    <row r="163" spans="3:21" x14ac:dyDescent="0.2">
      <c r="C163" s="1265"/>
      <c r="D163" s="1365">
        <f t="shared" si="82"/>
        <v>2016</v>
      </c>
      <c r="E163" s="1329"/>
      <c r="F163" s="1329"/>
      <c r="G163" s="1373">
        <f t="shared" si="83"/>
        <v>0</v>
      </c>
      <c r="H163" s="1329"/>
      <c r="I163" s="1378"/>
      <c r="J163" s="1384"/>
      <c r="K163" s="1363">
        <f t="shared" si="84"/>
        <v>2016</v>
      </c>
      <c r="L163" s="1353" t="str">
        <f>IF(K154="Forecast","",IF(L153=0,"",L154/L153-1))</f>
        <v/>
      </c>
      <c r="M163" s="1353">
        <f>IF(M153=0,"",M154/M153-1)</f>
        <v>-1.6695497825781058E-2</v>
      </c>
      <c r="N163" s="1329"/>
      <c r="O163" s="1324"/>
      <c r="P163" s="1265"/>
      <c r="Q163" s="1363">
        <f t="shared" si="86"/>
        <v>2016</v>
      </c>
      <c r="R163" s="1374" t="str">
        <f>IF(Q154="Forecast","",IF(R153=0,"",R154/R153-1))</f>
        <v/>
      </c>
      <c r="S163" s="1374">
        <f>IF(S153="","",IF(S153=0,"",S154/S153-1))</f>
        <v>-1.6695497825780947E-2</v>
      </c>
      <c r="T163" s="1329"/>
      <c r="U163" s="1324"/>
    </row>
    <row r="164" spans="3:21" x14ac:dyDescent="0.2">
      <c r="C164" s="1265"/>
      <c r="D164" s="1365">
        <f t="shared" si="82"/>
        <v>2017</v>
      </c>
      <c r="E164" s="1329"/>
      <c r="F164" s="1329"/>
      <c r="G164" s="1373">
        <f t="shared" si="83"/>
        <v>0</v>
      </c>
      <c r="H164" s="1329"/>
      <c r="I164" s="1379">
        <f>IF(I156=0,"",G155/I156-1)</f>
        <v>-1.0297705231163801E-2</v>
      </c>
      <c r="J164" s="1384"/>
      <c r="K164" s="1363">
        <f t="shared" si="84"/>
        <v>2017</v>
      </c>
      <c r="L164" s="1353" t="str">
        <f>IF(K155="Forecast","",IF(L154=0,"",L155/L154-1))</f>
        <v/>
      </c>
      <c r="M164" s="1353">
        <f>IF(M154=0,"",M155/M154-1)</f>
        <v>-2.2136230941422586E-2</v>
      </c>
      <c r="N164" s="1329"/>
      <c r="O164" s="1354">
        <f>IF(O156=0,"",M155/O156-1)</f>
        <v>-8.8892857760476285E-2</v>
      </c>
      <c r="P164" s="1265"/>
      <c r="Q164" s="1363">
        <f t="shared" si="86"/>
        <v>2017</v>
      </c>
      <c r="R164" s="1374" t="str">
        <f>IF(Q155="Forecast","",IF(R154=0,"",R155/R154-1))</f>
        <v/>
      </c>
      <c r="S164" s="1374">
        <f>IF(S154="","",IF(S154=0,"",S155/S154-1))</f>
        <v>-2.2136230941422586E-2</v>
      </c>
      <c r="T164" s="1329"/>
      <c r="U164" s="1354">
        <f>IF(U156=0,"",S155/U156-1)</f>
        <v>-7.9412923406093294E-2</v>
      </c>
    </row>
    <row r="165" spans="3:21" ht="26.25" thickBot="1" x14ac:dyDescent="0.25">
      <c r="C165" s="1271"/>
      <c r="D165" s="1405" t="s">
        <v>1221</v>
      </c>
      <c r="E165" s="1355"/>
      <c r="F165" s="1355"/>
      <c r="G165" s="1375">
        <f>IF(G149=0,"",(G155/G149)^(1/($D155-$D149-1))-1)</f>
        <v>-5.3194507631458832E-3</v>
      </c>
      <c r="H165" s="1355"/>
      <c r="I165" s="1406">
        <f>IF(I156=0,"",(G155/I156)^(1/(TestYear-RebaseYear-1))-1)</f>
        <v>-2.5844279586677565E-3</v>
      </c>
      <c r="J165" s="1360"/>
      <c r="K165" s="1404" t="str">
        <f t="shared" si="84"/>
        <v>Geometric Mean</v>
      </c>
      <c r="L165" s="1358">
        <f>IF(L149=0,"",(L153/L149)^(1/($D153-$D149-1))-1)</f>
        <v>-1.0578258164438359E-2</v>
      </c>
      <c r="M165" s="1358">
        <f>IF(M149=0,"",(M155/M149)^(1/($D155-$D149-1))-1)</f>
        <v>-8.8233494156035874E-3</v>
      </c>
      <c r="N165" s="1355"/>
      <c r="O165" s="1371">
        <f>IF(O156=0,"",(M155/O156)^(1/(TestYear-RebaseYear-1))-1)</f>
        <v>-2.3004951276086594E-2</v>
      </c>
      <c r="P165" s="1271"/>
      <c r="Q165" s="1404" t="str">
        <f t="shared" si="86"/>
        <v>Geometric Mean</v>
      </c>
      <c r="R165" s="1376">
        <f>IF(R149="","",IF(R149=0,"",(R153/R149)^(1/($D153-$D149-1))-1))</f>
        <v>-1.7436680092990375E-3</v>
      </c>
      <c r="S165" s="1358">
        <f>IF(S149="","",IF(S149=0,"",(S155/S149)^(1/($D155-$D149-1))-1))</f>
        <v>-3.522637147319263E-3</v>
      </c>
      <c r="T165" s="1355"/>
      <c r="U165" s="1371">
        <f>IF(U156=0,"",(S155/U156)^(1/(TestYear-RebaseYear-1))-1)</f>
        <v>-2.047343543637048E-2</v>
      </c>
    </row>
    <row r="167" spans="3:21" ht="13.5" thickBot="1" x14ac:dyDescent="0.25">
      <c r="Q167" s="1355"/>
      <c r="R167" s="1355"/>
      <c r="S167" s="1355"/>
      <c r="T167" s="1355"/>
      <c r="U167" s="1355"/>
    </row>
    <row r="168" spans="3:21" ht="12.75" customHeight="1" x14ac:dyDescent="0.2">
      <c r="C168" s="1264"/>
      <c r="D168" s="1268" t="s">
        <v>1205</v>
      </c>
      <c r="E168" s="1268"/>
      <c r="F168" s="1876" t="s">
        <v>1198</v>
      </c>
      <c r="G168" s="1877"/>
      <c r="H168" s="1877"/>
      <c r="I168" s="1878"/>
      <c r="K168" s="1859" t="str">
        <f>IF(ISBLANK(N145),"",CONCATENATE("Demand (",N145,")"))</f>
        <v>Demand (kW)</v>
      </c>
      <c r="L168" s="1860"/>
      <c r="M168" s="1860"/>
      <c r="N168" s="1860"/>
      <c r="O168" s="1861"/>
      <c r="Q168" s="1869" t="str">
        <f>CONCATENATE("Demand (",N145,") per ",LEFT(F147,LEN(F147)-1))</f>
        <v>Demand (kW) per Customer</v>
      </c>
      <c r="R168" s="1879"/>
      <c r="S168" s="1879"/>
      <c r="T168" s="1879"/>
      <c r="U168" s="1870"/>
    </row>
    <row r="169" spans="3:21" ht="39" thickBot="1" x14ac:dyDescent="0.25">
      <c r="C169" s="1271"/>
      <c r="D169" s="1277" t="str">
        <f>CONCATENATE("(for ",TestYear," Cost of Service")</f>
        <v>(for 2017 Cost of Service</v>
      </c>
      <c r="E169" s="1266"/>
      <c r="F169" s="1872"/>
      <c r="G169" s="1873"/>
      <c r="H169" s="1873"/>
      <c r="I169" s="1296"/>
      <c r="K169" s="1284"/>
      <c r="L169" s="1433" t="s">
        <v>1226</v>
      </c>
      <c r="M169" s="1433" t="s">
        <v>1210</v>
      </c>
      <c r="N169" s="1305"/>
      <c r="O169" s="1306" t="str">
        <f>M169</f>
        <v>Weather-normalized</v>
      </c>
      <c r="Q169" s="1403"/>
      <c r="R169" s="1433" t="str">
        <f>L169</f>
        <v>Actual (Weather actual)</v>
      </c>
      <c r="S169" s="1433" t="str">
        <f>M169</f>
        <v>Weather-normalized</v>
      </c>
      <c r="T169" s="1433"/>
      <c r="U169" s="1434" t="str">
        <f>O169</f>
        <v>Weather-normalized</v>
      </c>
    </row>
    <row r="170" spans="3:21" x14ac:dyDescent="0.2">
      <c r="C170" s="1266" t="s">
        <v>890</v>
      </c>
      <c r="D170" s="1363">
        <f t="shared" ref="D170:D175" si="88">D171-1</f>
        <v>2011</v>
      </c>
      <c r="E170" s="1265"/>
      <c r="F170" s="1313" t="str">
        <f t="shared" ref="F170:F176" si="89">F149</f>
        <v>Actual</v>
      </c>
      <c r="G170" s="1311">
        <v>855946</v>
      </c>
      <c r="H170" s="2" t="str">
        <f t="shared" ref="H170:H176" si="90">IF(D170=RebaseYear,"Board-approved","")</f>
        <v/>
      </c>
      <c r="I170" s="1383"/>
      <c r="K170" s="1282" t="str">
        <f t="shared" ref="K170:K176" si="91">K149</f>
        <v>Actual</v>
      </c>
      <c r="L170" s="1500">
        <v>195460.9</v>
      </c>
      <c r="M170" s="1500">
        <v>192937.92172244444</v>
      </c>
      <c r="N170" s="1258" t="str">
        <f t="shared" ref="N170:N176" si="92">N149</f>
        <v/>
      </c>
      <c r="O170" s="1324"/>
      <c r="Q170" s="1507" t="str">
        <f>K170</f>
        <v>Actual</v>
      </c>
      <c r="R170" s="1508">
        <f>IF(G149=0,"",L170/G149)</f>
        <v>2057.4831578947369</v>
      </c>
      <c r="S170" s="1508">
        <f>IF(G149=0,"",M170/G149)</f>
        <v>2030.9254918152046</v>
      </c>
      <c r="T170" s="1503" t="str">
        <f>N170</f>
        <v/>
      </c>
      <c r="U170" s="1504" t="str">
        <f>IF(T170="","",IF(I170=0,"",O170/I170))</f>
        <v/>
      </c>
    </row>
    <row r="171" spans="3:21" x14ac:dyDescent="0.2">
      <c r="C171" s="1266" t="s">
        <v>890</v>
      </c>
      <c r="D171" s="1363">
        <f t="shared" si="88"/>
        <v>2012</v>
      </c>
      <c r="E171" s="1265"/>
      <c r="F171" s="1314" t="str">
        <f t="shared" si="89"/>
        <v>Actual</v>
      </c>
      <c r="G171" s="1311">
        <v>431398</v>
      </c>
      <c r="H171" s="2" t="str">
        <f t="shared" si="90"/>
        <v>Board-approved</v>
      </c>
      <c r="I171" s="1311">
        <v>397449.20428900077</v>
      </c>
      <c r="K171" s="1282" t="str">
        <f t="shared" si="91"/>
        <v>Actual</v>
      </c>
      <c r="L171" s="1500">
        <v>186873.8</v>
      </c>
      <c r="M171" s="1500">
        <v>186625.09158846966</v>
      </c>
      <c r="N171" s="1258" t="str">
        <f t="shared" si="92"/>
        <v>Board-approved</v>
      </c>
      <c r="O171" s="1494">
        <v>214066.91291445112</v>
      </c>
      <c r="Q171" s="1496" t="str">
        <f t="shared" ref="Q171:Q176" si="93">K171</f>
        <v>Actual</v>
      </c>
      <c r="R171" s="1504">
        <f t="shared" ref="R171:R176" si="94">IF(G150=0,"",L171/G150)</f>
        <v>2099.7056179775282</v>
      </c>
      <c r="S171" s="1504">
        <f t="shared" ref="S171:S176" si="95">IF(G150=0,"",M171/G150)</f>
        <v>2096.9111414434792</v>
      </c>
      <c r="T171" s="1503" t="str">
        <f t="shared" ref="T171:T176" si="96">N171</f>
        <v>Board-approved</v>
      </c>
      <c r="U171" s="1504">
        <f>IF(T150="","",IF(I171=0,"",O171/I150))</f>
        <v>2290.405566978518</v>
      </c>
    </row>
    <row r="172" spans="3:21" x14ac:dyDescent="0.2">
      <c r="C172" s="1266" t="s">
        <v>890</v>
      </c>
      <c r="D172" s="1363">
        <f t="shared" si="88"/>
        <v>2013</v>
      </c>
      <c r="E172" s="1265"/>
      <c r="F172" s="1314" t="str">
        <f t="shared" si="89"/>
        <v>Actual</v>
      </c>
      <c r="G172" s="1311">
        <v>477986.81727800431</v>
      </c>
      <c r="H172" s="2" t="str">
        <f t="shared" si="90"/>
        <v/>
      </c>
      <c r="I172" s="1328"/>
      <c r="K172" s="1282" t="str">
        <f t="shared" si="91"/>
        <v>Actual</v>
      </c>
      <c r="L172" s="1500">
        <v>181892.6</v>
      </c>
      <c r="M172" s="1500">
        <v>182501.8766476968</v>
      </c>
      <c r="N172" s="1258" t="str">
        <f t="shared" si="92"/>
        <v/>
      </c>
      <c r="O172" s="1325"/>
      <c r="Q172" s="1496" t="str">
        <f t="shared" si="93"/>
        <v>Actual</v>
      </c>
      <c r="R172" s="1504">
        <f t="shared" si="94"/>
        <v>2043.7370786516854</v>
      </c>
      <c r="S172" s="1504">
        <f t="shared" si="95"/>
        <v>2050.5828836819865</v>
      </c>
      <c r="T172" s="1503" t="str">
        <f t="shared" si="96"/>
        <v/>
      </c>
      <c r="U172" s="1504" t="str">
        <f t="shared" ref="U172:U176" si="97">IF(T172="","",IF(I172=0,"",O172/I172))</f>
        <v/>
      </c>
    </row>
    <row r="173" spans="3:21" x14ac:dyDescent="0.2">
      <c r="C173" s="1266" t="s">
        <v>890</v>
      </c>
      <c r="D173" s="1363">
        <f t="shared" si="88"/>
        <v>2014</v>
      </c>
      <c r="E173" s="1265"/>
      <c r="F173" s="1314" t="str">
        <f t="shared" si="89"/>
        <v>Actual</v>
      </c>
      <c r="G173" s="1311">
        <v>590077.4</v>
      </c>
      <c r="H173" s="2" t="str">
        <f t="shared" si="90"/>
        <v/>
      </c>
      <c r="I173" s="1324"/>
      <c r="K173" s="1282" t="str">
        <f t="shared" si="91"/>
        <v>Actual</v>
      </c>
      <c r="L173" s="1500">
        <v>186325.9</v>
      </c>
      <c r="M173" s="1500">
        <v>187006.45089040539</v>
      </c>
      <c r="N173" s="1258" t="str">
        <f t="shared" si="92"/>
        <v/>
      </c>
      <c r="O173" s="1324"/>
      <c r="Q173" s="1496" t="str">
        <f t="shared" si="93"/>
        <v>Actual</v>
      </c>
      <c r="R173" s="1504">
        <f t="shared" si="94"/>
        <v>2070.2877777777776</v>
      </c>
      <c r="S173" s="1504">
        <f t="shared" si="95"/>
        <v>2077.8494543378379</v>
      </c>
      <c r="T173" s="1503" t="str">
        <f t="shared" si="96"/>
        <v/>
      </c>
      <c r="U173" s="1504" t="str">
        <f t="shared" si="97"/>
        <v/>
      </c>
    </row>
    <row r="174" spans="3:21" x14ac:dyDescent="0.2">
      <c r="C174" s="1266" t="s">
        <v>890</v>
      </c>
      <c r="D174" s="1363">
        <f t="shared" si="88"/>
        <v>2015</v>
      </c>
      <c r="E174" s="1265"/>
      <c r="F174" s="1314" t="str">
        <f t="shared" si="89"/>
        <v>Actual</v>
      </c>
      <c r="G174" s="1311">
        <v>434811</v>
      </c>
      <c r="H174" s="2" t="str">
        <f t="shared" si="90"/>
        <v/>
      </c>
      <c r="I174" s="1324"/>
      <c r="K174" s="1282" t="str">
        <f t="shared" si="91"/>
        <v>Actual</v>
      </c>
      <c r="L174" s="1500">
        <v>195328</v>
      </c>
      <c r="M174" s="1500">
        <v>198046.32476048241</v>
      </c>
      <c r="N174" s="1258" t="str">
        <f t="shared" si="92"/>
        <v/>
      </c>
      <c r="O174" s="1324"/>
      <c r="Q174" s="1496" t="str">
        <f t="shared" si="93"/>
        <v>Actual</v>
      </c>
      <c r="R174" s="1504">
        <f t="shared" si="94"/>
        <v>2111.6540540540541</v>
      </c>
      <c r="S174" s="1504">
        <f t="shared" si="95"/>
        <v>2141.0413487619721</v>
      </c>
      <c r="T174" s="1503" t="str">
        <f t="shared" si="96"/>
        <v/>
      </c>
      <c r="U174" s="1504" t="str">
        <f t="shared" si="97"/>
        <v/>
      </c>
    </row>
    <row r="175" spans="3:21" x14ac:dyDescent="0.2">
      <c r="C175" s="1266" t="s">
        <v>1203</v>
      </c>
      <c r="D175" s="1363">
        <f t="shared" si="88"/>
        <v>2016</v>
      </c>
      <c r="E175" s="1265"/>
      <c r="F175" s="1314" t="str">
        <f t="shared" si="89"/>
        <v>Forecast</v>
      </c>
      <c r="G175" s="1311">
        <v>512805.45305821183</v>
      </c>
      <c r="H175" s="2" t="str">
        <f t="shared" si="90"/>
        <v/>
      </c>
      <c r="I175" s="1324"/>
      <c r="K175" s="1282" t="str">
        <f t="shared" si="91"/>
        <v>Forecast</v>
      </c>
      <c r="L175" s="1303"/>
      <c r="M175" s="1501">
        <v>192808.33579213492</v>
      </c>
      <c r="N175" s="1258" t="str">
        <f t="shared" si="92"/>
        <v/>
      </c>
      <c r="O175" s="1324"/>
      <c r="Q175" s="1496" t="str">
        <f t="shared" si="93"/>
        <v>Forecast</v>
      </c>
      <c r="R175" s="1504">
        <f t="shared" si="94"/>
        <v>0</v>
      </c>
      <c r="S175" s="1504">
        <f t="shared" si="95"/>
        <v>2084.4144409960531</v>
      </c>
      <c r="T175" s="1503" t="str">
        <f t="shared" si="96"/>
        <v/>
      </c>
      <c r="U175" s="1504" t="str">
        <f t="shared" si="97"/>
        <v/>
      </c>
    </row>
    <row r="176" spans="3:21" ht="13.5" thickBot="1" x14ac:dyDescent="0.25">
      <c r="C176" s="1267" t="s">
        <v>1204</v>
      </c>
      <c r="D176" s="1364">
        <f>TestYear</f>
        <v>2017</v>
      </c>
      <c r="E176" s="1271"/>
      <c r="F176" s="1315" t="str">
        <f t="shared" si="89"/>
        <v>Forecast</v>
      </c>
      <c r="G176" s="1312">
        <v>602776.52863058529</v>
      </c>
      <c r="H176" s="1307" t="str">
        <f t="shared" si="90"/>
        <v/>
      </c>
      <c r="I176" s="1326"/>
      <c r="K176" s="1283" t="str">
        <f t="shared" si="91"/>
        <v>Forecast</v>
      </c>
      <c r="L176" s="1304"/>
      <c r="M176" s="1502">
        <v>188540.28594360882</v>
      </c>
      <c r="N176" s="1262" t="str">
        <f t="shared" si="92"/>
        <v/>
      </c>
      <c r="O176" s="1326"/>
      <c r="Q176" s="1319" t="str">
        <f t="shared" si="93"/>
        <v>Forecast</v>
      </c>
      <c r="R176" s="1506">
        <f t="shared" si="94"/>
        <v>0</v>
      </c>
      <c r="S176" s="1506">
        <f t="shared" si="95"/>
        <v>2038.2733615525278</v>
      </c>
      <c r="T176" s="1505" t="str">
        <f t="shared" si="96"/>
        <v/>
      </c>
      <c r="U176" s="1506" t="str">
        <f t="shared" si="97"/>
        <v/>
      </c>
    </row>
    <row r="177" spans="2:22" ht="13.5" thickBot="1" x14ac:dyDescent="0.25">
      <c r="C177" s="1366"/>
      <c r="I177" s="1408">
        <f>SUM(I170:I175)</f>
        <v>397449.20428900077</v>
      </c>
      <c r="J177" s="1329"/>
      <c r="O177" s="1408">
        <f>SUM(O170:O175)</f>
        <v>214066.91291445112</v>
      </c>
      <c r="U177" s="1408">
        <f>SUM(U170:U175)</f>
        <v>2290.405566978518</v>
      </c>
    </row>
    <row r="178" spans="2:22" ht="39" thickBot="1" x14ac:dyDescent="0.25">
      <c r="C178" s="1400" t="s">
        <v>952</v>
      </c>
      <c r="D178" s="1399" t="s">
        <v>15</v>
      </c>
      <c r="E178" s="1435"/>
      <c r="F178" s="1435"/>
      <c r="G178" s="1435" t="s">
        <v>1222</v>
      </c>
      <c r="H178" s="1435"/>
      <c r="I178" s="1394" t="str">
        <f>I157</f>
        <v>Test Year Versus Board-approved</v>
      </c>
      <c r="J178" s="1407"/>
      <c r="K178" s="1395" t="s">
        <v>15</v>
      </c>
      <c r="L178" s="1874" t="s">
        <v>1222</v>
      </c>
      <c r="M178" s="1874"/>
      <c r="N178" s="1435"/>
      <c r="O178" s="1394" t="str">
        <f>I178</f>
        <v>Test Year Versus Board-approved</v>
      </c>
      <c r="P178" s="1380"/>
      <c r="Q178" s="1395" t="s">
        <v>15</v>
      </c>
      <c r="R178" s="1874" t="s">
        <v>1222</v>
      </c>
      <c r="S178" s="1874"/>
      <c r="T178" s="1435"/>
      <c r="U178" s="1394" t="str">
        <f>O178</f>
        <v>Test Year Versus Board-approved</v>
      </c>
    </row>
    <row r="179" spans="2:22" x14ac:dyDescent="0.2">
      <c r="C179" s="1265"/>
      <c r="D179" s="1402">
        <f t="shared" ref="D179:D185" si="98">D170</f>
        <v>2011</v>
      </c>
      <c r="E179" s="1345"/>
      <c r="F179" s="1329"/>
      <c r="G179" s="1372"/>
      <c r="H179" s="1329"/>
      <c r="I179" s="1378"/>
      <c r="J179" s="1265"/>
      <c r="K179" s="1363">
        <f>D179</f>
        <v>2011</v>
      </c>
      <c r="L179" s="1351"/>
      <c r="M179" s="1351"/>
      <c r="N179" s="1329"/>
      <c r="O179" s="1381"/>
      <c r="P179" s="1265"/>
      <c r="Q179" s="1363">
        <f>K179</f>
        <v>2011</v>
      </c>
      <c r="R179" s="1330"/>
      <c r="S179" s="1330"/>
      <c r="T179" s="1329"/>
      <c r="U179" s="1324"/>
    </row>
    <row r="180" spans="2:22" x14ac:dyDescent="0.2">
      <c r="C180" s="1265"/>
      <c r="D180" s="1365">
        <f t="shared" si="98"/>
        <v>2012</v>
      </c>
      <c r="E180" s="1329"/>
      <c r="F180" s="1329"/>
      <c r="G180" s="1373">
        <f t="shared" ref="G180:G185" si="99">IF(G170=0,"",G171/G170-1)</f>
        <v>-0.49599857934963187</v>
      </c>
      <c r="H180" s="1329"/>
      <c r="I180" s="1378"/>
      <c r="J180" s="1265"/>
      <c r="K180" s="1363">
        <f t="shared" ref="K180:K186" si="100">D180</f>
        <v>2012</v>
      </c>
      <c r="L180" s="1353">
        <f t="shared" ref="L180:M183" si="101">IF(L170=0,"",L171/L170-1)</f>
        <v>-4.3932571680576515E-2</v>
      </c>
      <c r="M180" s="1353">
        <f t="shared" si="101"/>
        <v>-3.271948861901941E-2</v>
      </c>
      <c r="N180" s="1329"/>
      <c r="O180" s="1381"/>
      <c r="P180" s="1265"/>
      <c r="Q180" s="1363">
        <f t="shared" ref="Q180:Q186" si="102">K180</f>
        <v>2012</v>
      </c>
      <c r="R180" s="1374">
        <f t="shared" ref="R180:S183" si="103">IF(R170="","",IF(R170=0,"",R171/R170-1))</f>
        <v>2.0521412251069959E-2</v>
      </c>
      <c r="S180" s="1374">
        <f t="shared" si="103"/>
        <v>3.249043349655234E-2</v>
      </c>
      <c r="T180" s="1329"/>
      <c r="U180" s="1324"/>
    </row>
    <row r="181" spans="2:22" x14ac:dyDescent="0.2">
      <c r="C181" s="1265"/>
      <c r="D181" s="1401">
        <f t="shared" si="98"/>
        <v>2013</v>
      </c>
      <c r="E181" s="1329"/>
      <c r="F181" s="1329"/>
      <c r="G181" s="1373">
        <f t="shared" si="99"/>
        <v>0.10799497744079556</v>
      </c>
      <c r="H181" s="1329"/>
      <c r="I181" s="1378"/>
      <c r="J181" s="1265"/>
      <c r="K181" s="1363">
        <f t="shared" si="100"/>
        <v>2013</v>
      </c>
      <c r="L181" s="1353">
        <f t="shared" si="101"/>
        <v>-2.6655422001371942E-2</v>
      </c>
      <c r="M181" s="1353">
        <f t="shared" si="101"/>
        <v>-2.2093572229103242E-2</v>
      </c>
      <c r="N181" s="1329"/>
      <c r="O181" s="1381"/>
      <c r="P181" s="1265"/>
      <c r="Q181" s="1363">
        <f t="shared" si="102"/>
        <v>2013</v>
      </c>
      <c r="R181" s="1374">
        <f t="shared" si="103"/>
        <v>-2.6655422001372053E-2</v>
      </c>
      <c r="S181" s="1374">
        <f t="shared" si="103"/>
        <v>-2.2093572229103242E-2</v>
      </c>
      <c r="T181" s="1329"/>
      <c r="U181" s="1324"/>
    </row>
    <row r="182" spans="2:22" x14ac:dyDescent="0.2">
      <c r="C182" s="1265"/>
      <c r="D182" s="1365">
        <f t="shared" si="98"/>
        <v>2014</v>
      </c>
      <c r="E182" s="1329"/>
      <c r="F182" s="1329"/>
      <c r="G182" s="1373">
        <f t="shared" si="99"/>
        <v>0.23450559444362695</v>
      </c>
      <c r="H182" s="1329"/>
      <c r="I182" s="1378"/>
      <c r="J182" s="1265"/>
      <c r="K182" s="1363">
        <f t="shared" si="100"/>
        <v>2014</v>
      </c>
      <c r="L182" s="1353">
        <f t="shared" si="101"/>
        <v>2.4373174059857172E-2</v>
      </c>
      <c r="M182" s="1353">
        <f t="shared" si="101"/>
        <v>2.4682344781606025E-2</v>
      </c>
      <c r="N182" s="1329"/>
      <c r="O182" s="1381"/>
      <c r="P182" s="1265"/>
      <c r="Q182" s="1363">
        <f t="shared" si="102"/>
        <v>2014</v>
      </c>
      <c r="R182" s="1374">
        <f t="shared" si="103"/>
        <v>1.2991249903636648E-2</v>
      </c>
      <c r="S182" s="1374">
        <f t="shared" si="103"/>
        <v>1.3296985395143901E-2</v>
      </c>
      <c r="T182" s="1329"/>
      <c r="U182" s="1324"/>
    </row>
    <row r="183" spans="2:22" x14ac:dyDescent="0.2">
      <c r="C183" s="1265"/>
      <c r="D183" s="1365">
        <f t="shared" si="98"/>
        <v>2015</v>
      </c>
      <c r="E183" s="1329"/>
      <c r="F183" s="1329"/>
      <c r="G183" s="1373">
        <f t="shared" si="99"/>
        <v>-0.26312887089049675</v>
      </c>
      <c r="H183" s="1329"/>
      <c r="I183" s="1378"/>
      <c r="J183" s="1265"/>
      <c r="K183" s="1363">
        <f t="shared" si="100"/>
        <v>2015</v>
      </c>
      <c r="L183" s="1353">
        <f t="shared" si="101"/>
        <v>4.8313734161488098E-2</v>
      </c>
      <c r="M183" s="1353">
        <f t="shared" si="101"/>
        <v>5.9034722158044284E-2</v>
      </c>
      <c r="N183" s="1329"/>
      <c r="O183" s="1381"/>
      <c r="P183" s="1265"/>
      <c r="Q183" s="1363">
        <f t="shared" si="102"/>
        <v>2015</v>
      </c>
      <c r="R183" s="1374">
        <f t="shared" si="103"/>
        <v>1.9980930535501873E-2</v>
      </c>
      <c r="S183" s="1374">
        <f t="shared" si="103"/>
        <v>3.0412162099718643E-2</v>
      </c>
      <c r="T183" s="1329"/>
      <c r="U183" s="1324"/>
    </row>
    <row r="184" spans="2:22" x14ac:dyDescent="0.2">
      <c r="C184" s="1265"/>
      <c r="D184" s="1365">
        <f t="shared" si="98"/>
        <v>2016</v>
      </c>
      <c r="E184" s="1329"/>
      <c r="F184" s="1329"/>
      <c r="G184" s="1373">
        <f t="shared" si="99"/>
        <v>0.1793755288118557</v>
      </c>
      <c r="H184" s="1329"/>
      <c r="I184" s="1378"/>
      <c r="J184" s="1265"/>
      <c r="K184" s="1363">
        <f t="shared" si="100"/>
        <v>2016</v>
      </c>
      <c r="L184" s="1353" t="str">
        <f>IF(K175="Forecast","",IF(L174=0,"",L175/L174-1))</f>
        <v/>
      </c>
      <c r="M184" s="1353">
        <f>IF(M174=0,"",M175/M174-1)</f>
        <v>-2.6448301803541741E-2</v>
      </c>
      <c r="N184" s="1329"/>
      <c r="O184" s="1381"/>
      <c r="P184" s="1265"/>
      <c r="Q184" s="1363">
        <f t="shared" si="102"/>
        <v>2016</v>
      </c>
      <c r="R184" s="1374" t="str">
        <f>IF(Q175="Forecast","",IF(R174=0,"",R175/R174-1))</f>
        <v/>
      </c>
      <c r="S184" s="1374">
        <f>IF(S174="","",IF(S174=0,"",S175/S174-1))</f>
        <v>-2.6448301803541852E-2</v>
      </c>
      <c r="T184" s="1329"/>
      <c r="U184" s="1324"/>
    </row>
    <row r="185" spans="2:22" x14ac:dyDescent="0.2">
      <c r="C185" s="1265"/>
      <c r="D185" s="1401">
        <f t="shared" si="98"/>
        <v>2017</v>
      </c>
      <c r="E185" s="1329"/>
      <c r="F185" s="1329"/>
      <c r="G185" s="1373">
        <f t="shared" si="99"/>
        <v>0.17544874968823754</v>
      </c>
      <c r="H185" s="1329"/>
      <c r="I185" s="1379">
        <f>IF(I177=0,"",G176/I177-1)</f>
        <v>0.51661274478809371</v>
      </c>
      <c r="J185" s="1265"/>
      <c r="K185" s="1363">
        <f t="shared" si="100"/>
        <v>2017</v>
      </c>
      <c r="L185" s="1353" t="str">
        <f>IF(K176="Forecast","",IF(L175=0,"",L176/L175-1))</f>
        <v/>
      </c>
      <c r="M185" s="1353">
        <f>IF(M175=0,"",M176/M175-1)</f>
        <v>-2.2136230941422808E-2</v>
      </c>
      <c r="N185" s="1329"/>
      <c r="O185" s="1382">
        <f>IF(O177=0,"",M176/O177-1)</f>
        <v>-0.11924601809455559</v>
      </c>
      <c r="P185" s="1265"/>
      <c r="Q185" s="1363">
        <f t="shared" si="102"/>
        <v>2017</v>
      </c>
      <c r="R185" s="1374" t="str">
        <f>IF(Q176="Forecast","",IF(R175=0,"",R176/R175-1))</f>
        <v/>
      </c>
      <c r="S185" s="1374">
        <f>IF(S175="","",IF(S175=0,"",S176/S175-1))</f>
        <v>-2.2136230941422808E-2</v>
      </c>
      <c r="T185" s="1329"/>
      <c r="U185" s="1354">
        <f>IF(U177=0,"",S176/U177-1)</f>
        <v>-0.11008190386063399</v>
      </c>
    </row>
    <row r="186" spans="2:22" ht="26.25" thickBot="1" x14ac:dyDescent="0.25">
      <c r="C186" s="1271"/>
      <c r="D186" s="1405" t="s">
        <v>1221</v>
      </c>
      <c r="E186" s="1355"/>
      <c r="F186" s="1355"/>
      <c r="G186" s="1375">
        <f>IF(G170=0,"",(G176/G170)^(1/($D176-$D170-1))-1)</f>
        <v>-6.7729389900794357E-2</v>
      </c>
      <c r="H186" s="1355"/>
      <c r="I186" s="1371">
        <f>IF(I177=0,"",(G176/I177)^(1/(TestYear-RebaseYear-1))-1)</f>
        <v>0.1097334459404733</v>
      </c>
      <c r="J186" s="1265"/>
      <c r="K186" s="1404" t="str">
        <f t="shared" si="100"/>
        <v>Geometric Mean</v>
      </c>
      <c r="L186" s="1358">
        <f>IF(L170=0,"",(L174/L170)^(1/($D174-$D170-1))-1)</f>
        <v>-2.2669518105378206E-4</v>
      </c>
      <c r="M186" s="1358">
        <f>IF(M170=0,"",(M176/M170)^(1/($D176-$D170-1))-1)</f>
        <v>-4.6007411113657692E-3</v>
      </c>
      <c r="N186" s="1355"/>
      <c r="O186" s="1371">
        <f>IF(O177=0,"",(M176/O177)^(1/(TestYear-RebaseYear-1))-1)</f>
        <v>-3.1245676331540517E-2</v>
      </c>
      <c r="P186" s="1271"/>
      <c r="Q186" s="1404" t="str">
        <f t="shared" si="102"/>
        <v>Geometric Mean</v>
      </c>
      <c r="R186" s="1376">
        <f>IF(R170="","",IF(R170=0,"",(R174/R170)^(1/($D174-$D170-1))-1))</f>
        <v>8.7003245342585078E-3</v>
      </c>
      <c r="S186" s="1358">
        <f>IF(S170="","",IF(S170=0,"",(S176/S170)^(1/($D176-$D170-1))-1))</f>
        <v>7.2255323815428874E-4</v>
      </c>
      <c r="T186" s="1355"/>
      <c r="U186" s="1371">
        <f>IF(U177=0,"",(S176/U177)^(1/(TestYear-RebaseYear-1))-1)</f>
        <v>-2.8735513236688326E-2</v>
      </c>
    </row>
    <row r="187" spans="2:22" ht="13.5" thickBot="1" x14ac:dyDescent="0.25"/>
    <row r="188" spans="2:22" ht="13.5" thickBot="1" x14ac:dyDescent="0.25">
      <c r="B188" s="1318">
        <v>4</v>
      </c>
      <c r="C188" s="3" t="s">
        <v>14</v>
      </c>
      <c r="D188" s="1880" t="s">
        <v>78</v>
      </c>
      <c r="E188" s="1881"/>
      <c r="F188" s="1882"/>
      <c r="G188" s="1291"/>
      <c r="H188" s="13" t="s">
        <v>1224</v>
      </c>
      <c r="N188" s="1317" t="s">
        <v>75</v>
      </c>
      <c r="O188" s="1316"/>
      <c r="P188" s="1316"/>
      <c r="Q188" s="1316"/>
      <c r="R188" s="1316"/>
      <c r="S188" s="1316"/>
      <c r="T188" s="1316"/>
      <c r="U188" s="1316"/>
    </row>
    <row r="189" spans="2:22" ht="13.5" thickBot="1" x14ac:dyDescent="0.25">
      <c r="Q189" s="1355"/>
      <c r="R189" s="1355"/>
      <c r="S189" s="1355"/>
      <c r="T189" s="1355"/>
      <c r="U189" s="1355"/>
    </row>
    <row r="190" spans="2:22" ht="12.75" customHeight="1" x14ac:dyDescent="0.2">
      <c r="C190" s="1264"/>
      <c r="D190" s="1268" t="s">
        <v>1205</v>
      </c>
      <c r="E190" s="1268"/>
      <c r="F190" s="1883" t="s">
        <v>1034</v>
      </c>
      <c r="G190" s="1884"/>
      <c r="H190" s="1884"/>
      <c r="I190" s="1885"/>
      <c r="J190" s="1268"/>
      <c r="K190" s="1859" t="s">
        <v>1213</v>
      </c>
      <c r="L190" s="1860"/>
      <c r="M190" s="1860"/>
      <c r="N190" s="1860"/>
      <c r="O190" s="1861"/>
      <c r="P190" s="1287"/>
      <c r="Q190" s="1869" t="str">
        <f>CONCATENATE("Consumption (kWh) per ",LEFT(F190,LEN(F190)-1))</f>
        <v>Consumption (kWh) per Customer</v>
      </c>
      <c r="R190" s="1879"/>
      <c r="S190" s="1879"/>
      <c r="T190" s="1879"/>
      <c r="U190" s="1870"/>
      <c r="V190" s="1308"/>
    </row>
    <row r="191" spans="2:22" ht="39" thickBot="1" x14ac:dyDescent="0.25">
      <c r="C191" s="1271"/>
      <c r="D191" s="1277" t="str">
        <f>CONCATENATE("(for ",TestYear," Cost of Service")</f>
        <v>(for 2017 Cost of Service</v>
      </c>
      <c r="E191" s="1266"/>
      <c r="F191" s="1872"/>
      <c r="G191" s="1873"/>
      <c r="H191" s="1875"/>
      <c r="I191" s="1296"/>
      <c r="J191" s="1266"/>
      <c r="K191" s="1284"/>
      <c r="L191" s="1433" t="s">
        <v>1226</v>
      </c>
      <c r="M191" s="1433" t="s">
        <v>1210</v>
      </c>
      <c r="N191" s="1305"/>
      <c r="O191" s="1306" t="s">
        <v>1210</v>
      </c>
      <c r="P191" s="1266"/>
      <c r="Q191" s="1389"/>
      <c r="R191" s="1390" t="str">
        <f>L191</f>
        <v>Actual (Weather actual)</v>
      </c>
      <c r="S191" s="1391" t="str">
        <f>M191</f>
        <v>Weather-normalized</v>
      </c>
      <c r="T191" s="1391"/>
      <c r="U191" s="1392" t="str">
        <f>O191</f>
        <v>Weather-normalized</v>
      </c>
      <c r="V191" s="1308"/>
    </row>
    <row r="192" spans="2:22" x14ac:dyDescent="0.2">
      <c r="C192" s="1266" t="s">
        <v>890</v>
      </c>
      <c r="D192" s="1363">
        <f t="shared" ref="D192:D197" si="104">D193-1</f>
        <v>2011</v>
      </c>
      <c r="E192" s="1265"/>
      <c r="F192" s="1313" t="str">
        <f>F149</f>
        <v>Actual</v>
      </c>
      <c r="G192" s="1301">
        <v>2789.5</v>
      </c>
      <c r="H192" s="1297" t="str">
        <f t="shared" ref="H192:H198" si="105">IF(D192=RebaseYear,"Board-approved","")</f>
        <v/>
      </c>
      <c r="I192" s="1324"/>
      <c r="J192" s="1265"/>
      <c r="K192" s="1282" t="str">
        <f>F192</f>
        <v>Actual</v>
      </c>
      <c r="L192" s="1301">
        <v>2245234</v>
      </c>
      <c r="M192" s="1301">
        <v>2216252.8758466314</v>
      </c>
      <c r="N192" s="1297" t="str">
        <f>H192</f>
        <v/>
      </c>
      <c r="O192" s="1492"/>
      <c r="P192" s="1265"/>
      <c r="Q192" s="1385" t="str">
        <f>K192</f>
        <v>Actual</v>
      </c>
      <c r="R192" s="1497">
        <f>IF(G192=0,"",L192/G192)</f>
        <v>804.8876142677899</v>
      </c>
      <c r="S192" s="1497">
        <f>IF(G192=0,"",M192/G192)</f>
        <v>794.49825267848405</v>
      </c>
      <c r="T192" s="1329" t="str">
        <f>N192</f>
        <v/>
      </c>
      <c r="U192" s="1329" t="str">
        <f>IF(T192="","",IF(I192=0,"",O192/I192))</f>
        <v/>
      </c>
      <c r="V192" s="1309"/>
    </row>
    <row r="193" spans="2:22" x14ac:dyDescent="0.2">
      <c r="C193" s="1266" t="s">
        <v>890</v>
      </c>
      <c r="D193" s="1363">
        <f t="shared" si="104"/>
        <v>2012</v>
      </c>
      <c r="E193" s="1265"/>
      <c r="F193" s="1314" t="str">
        <f t="shared" ref="F193:F198" si="106">F150</f>
        <v>Actual</v>
      </c>
      <c r="G193" s="1301">
        <v>2798.5</v>
      </c>
      <c r="H193" s="1297" t="str">
        <f t="shared" si="105"/>
        <v>Board-approved</v>
      </c>
      <c r="I193" s="1494">
        <v>2801.1936395745015</v>
      </c>
      <c r="J193" s="1265"/>
      <c r="K193" s="1282" t="str">
        <f t="shared" ref="K193:K198" si="107">F193</f>
        <v>Actual</v>
      </c>
      <c r="L193" s="1301">
        <v>2346377.4925071769</v>
      </c>
      <c r="M193" s="1301">
        <v>2343254.7229214353</v>
      </c>
      <c r="N193" s="1297" t="str">
        <f t="shared" ref="N193:N198" si="108">H193</f>
        <v>Board-approved</v>
      </c>
      <c r="O193" s="1493">
        <v>2225083.8466967554</v>
      </c>
      <c r="P193" s="1265"/>
      <c r="Q193" s="1385" t="str">
        <f t="shared" ref="Q193:Q198" si="109">K193</f>
        <v>Actual</v>
      </c>
      <c r="R193" s="1497">
        <f t="shared" ref="R193:R198" si="110">IF(G193=0,"",L193/G193)</f>
        <v>838.44112649890189</v>
      </c>
      <c r="S193" s="1497">
        <f t="shared" ref="S193:S198" si="111">IF(G193=0,"",M193/G193)</f>
        <v>837.32525385793645</v>
      </c>
      <c r="T193" s="1329" t="str">
        <f t="shared" ref="T193:T198" si="112">N193</f>
        <v>Board-approved</v>
      </c>
      <c r="U193" s="1497">
        <f t="shared" ref="U193:U198" si="113">IF(T193="","",IF(I193=0,"",O193/I193))</f>
        <v>794.33417785238987</v>
      </c>
      <c r="V193" s="1309"/>
    </row>
    <row r="194" spans="2:22" x14ac:dyDescent="0.2">
      <c r="C194" s="1266" t="s">
        <v>890</v>
      </c>
      <c r="D194" s="1363">
        <f t="shared" si="104"/>
        <v>2013</v>
      </c>
      <c r="E194" s="1265"/>
      <c r="F194" s="1314" t="str">
        <f t="shared" si="106"/>
        <v>Actual</v>
      </c>
      <c r="G194" s="1301">
        <v>2807.5</v>
      </c>
      <c r="H194" s="1297" t="str">
        <f t="shared" si="105"/>
        <v/>
      </c>
      <c r="I194" s="1325"/>
      <c r="J194" s="1265"/>
      <c r="K194" s="1282" t="str">
        <f t="shared" si="107"/>
        <v>Actual</v>
      </c>
      <c r="L194" s="1301">
        <v>2512897.9552900312</v>
      </c>
      <c r="M194" s="1301">
        <v>2521315.2853089725</v>
      </c>
      <c r="N194" s="1297" t="str">
        <f t="shared" si="108"/>
        <v/>
      </c>
      <c r="O194" s="1325"/>
      <c r="P194" s="1265"/>
      <c r="Q194" s="1385" t="str">
        <f t="shared" si="109"/>
        <v>Actual</v>
      </c>
      <c r="R194" s="1495">
        <f t="shared" si="110"/>
        <v>895.06605709351061</v>
      </c>
      <c r="S194" s="1497">
        <f t="shared" si="111"/>
        <v>898.0642156042644</v>
      </c>
      <c r="T194" s="1329" t="str">
        <f t="shared" si="112"/>
        <v/>
      </c>
      <c r="U194" s="1329" t="str">
        <f t="shared" si="113"/>
        <v/>
      </c>
      <c r="V194" s="1309"/>
    </row>
    <row r="195" spans="2:22" x14ac:dyDescent="0.2">
      <c r="C195" s="1266" t="s">
        <v>890</v>
      </c>
      <c r="D195" s="1363">
        <f t="shared" si="104"/>
        <v>2014</v>
      </c>
      <c r="E195" s="1265"/>
      <c r="F195" s="1314" t="str">
        <f t="shared" si="106"/>
        <v>Actual</v>
      </c>
      <c r="G195" s="1301">
        <v>2816.5</v>
      </c>
      <c r="H195" s="1297" t="str">
        <f t="shared" si="105"/>
        <v/>
      </c>
      <c r="I195" s="1324"/>
      <c r="J195" s="1265"/>
      <c r="K195" s="1282" t="str">
        <f t="shared" si="107"/>
        <v>Actual</v>
      </c>
      <c r="L195" s="1301">
        <v>2302093</v>
      </c>
      <c r="M195" s="1301">
        <v>2310501.3395864242</v>
      </c>
      <c r="N195" s="1297" t="str">
        <f t="shared" si="108"/>
        <v/>
      </c>
      <c r="O195" s="1324"/>
      <c r="P195" s="1265"/>
      <c r="Q195" s="1385" t="str">
        <f t="shared" si="109"/>
        <v>Actual</v>
      </c>
      <c r="R195" s="1495">
        <f t="shared" si="110"/>
        <v>817.35948872714357</v>
      </c>
      <c r="S195" s="1497">
        <f t="shared" si="111"/>
        <v>820.34487469782505</v>
      </c>
      <c r="T195" s="1329" t="str">
        <f t="shared" si="112"/>
        <v/>
      </c>
      <c r="U195" s="1329" t="str">
        <f t="shared" si="113"/>
        <v/>
      </c>
      <c r="V195" s="1309"/>
    </row>
    <row r="196" spans="2:22" x14ac:dyDescent="0.2">
      <c r="C196" s="1266" t="s">
        <v>890</v>
      </c>
      <c r="D196" s="1363">
        <f t="shared" si="104"/>
        <v>2015</v>
      </c>
      <c r="E196" s="1265"/>
      <c r="F196" s="1314" t="str">
        <f t="shared" si="106"/>
        <v>Actual</v>
      </c>
      <c r="G196" s="1301">
        <v>2825.5</v>
      </c>
      <c r="H196" s="1297" t="str">
        <f t="shared" si="105"/>
        <v/>
      </c>
      <c r="I196" s="1324"/>
      <c r="J196" s="1265"/>
      <c r="K196" s="1282" t="str">
        <f t="shared" si="107"/>
        <v>Actual</v>
      </c>
      <c r="L196" s="1301">
        <v>2368288.5914556528</v>
      </c>
      <c r="M196" s="1301">
        <v>2401247.39673765</v>
      </c>
      <c r="N196" s="1297" t="str">
        <f t="shared" si="108"/>
        <v/>
      </c>
      <c r="O196" s="1324"/>
      <c r="P196" s="1265"/>
      <c r="Q196" s="1385" t="str">
        <f t="shared" si="109"/>
        <v>Actual</v>
      </c>
      <c r="R196" s="1495">
        <f t="shared" si="110"/>
        <v>838.18389363144672</v>
      </c>
      <c r="S196" s="1497">
        <f t="shared" si="111"/>
        <v>849.84866279867276</v>
      </c>
      <c r="T196" s="1329" t="str">
        <f t="shared" si="112"/>
        <v/>
      </c>
      <c r="U196" s="1329" t="str">
        <f t="shared" si="113"/>
        <v/>
      </c>
      <c r="V196" s="1309"/>
    </row>
    <row r="197" spans="2:22" x14ac:dyDescent="0.2">
      <c r="C197" s="1266" t="s">
        <v>313</v>
      </c>
      <c r="D197" s="1363">
        <f t="shared" si="104"/>
        <v>2016</v>
      </c>
      <c r="E197" s="1265"/>
      <c r="F197" s="1314" t="str">
        <f t="shared" si="106"/>
        <v>Forecast</v>
      </c>
      <c r="G197" s="1301">
        <v>2825.5</v>
      </c>
      <c r="H197" s="1297" t="str">
        <f t="shared" si="105"/>
        <v/>
      </c>
      <c r="I197" s="1324"/>
      <c r="J197" s="1265"/>
      <c r="K197" s="1282" t="str">
        <f t="shared" si="107"/>
        <v>Forecast</v>
      </c>
      <c r="L197" s="1303"/>
      <c r="M197" s="1301">
        <v>2374163.9315875084</v>
      </c>
      <c r="N197" s="1297" t="str">
        <f t="shared" si="108"/>
        <v/>
      </c>
      <c r="O197" s="1324"/>
      <c r="P197" s="1265"/>
      <c r="Q197" s="1385" t="str">
        <f t="shared" si="109"/>
        <v>Forecast</v>
      </c>
      <c r="R197" s="1387">
        <f t="shared" si="110"/>
        <v>0</v>
      </c>
      <c r="S197" s="1497">
        <f t="shared" si="111"/>
        <v>840.26329201469059</v>
      </c>
      <c r="T197" s="1329" t="str">
        <f t="shared" si="112"/>
        <v/>
      </c>
      <c r="U197" s="1329" t="str">
        <f t="shared" si="113"/>
        <v/>
      </c>
      <c r="V197" s="1309"/>
    </row>
    <row r="198" spans="2:22" ht="13.5" thickBot="1" x14ac:dyDescent="0.25">
      <c r="C198" s="1267" t="s">
        <v>314</v>
      </c>
      <c r="D198" s="1364">
        <f>TestYear</f>
        <v>2017</v>
      </c>
      <c r="E198" s="1271"/>
      <c r="F198" s="1315" t="str">
        <f t="shared" si="106"/>
        <v>Forecast</v>
      </c>
      <c r="G198" s="1302">
        <v>2825.5</v>
      </c>
      <c r="H198" s="1298" t="str">
        <f t="shared" si="105"/>
        <v/>
      </c>
      <c r="I198" s="1326"/>
      <c r="J198" s="1271"/>
      <c r="K198" s="1283" t="str">
        <f t="shared" si="107"/>
        <v>Forecast</v>
      </c>
      <c r="L198" s="1304"/>
      <c r="M198" s="1302">
        <v>2380053.8474859283</v>
      </c>
      <c r="N198" s="1298" t="str">
        <f t="shared" si="108"/>
        <v/>
      </c>
      <c r="O198" s="1326"/>
      <c r="P198" s="1271"/>
      <c r="Q198" s="1386" t="str">
        <f t="shared" si="109"/>
        <v>Forecast</v>
      </c>
      <c r="R198" s="1388">
        <f t="shared" si="110"/>
        <v>0</v>
      </c>
      <c r="S198" s="1498">
        <f t="shared" si="111"/>
        <v>842.34784904828462</v>
      </c>
      <c r="T198" s="1355" t="str">
        <f t="shared" si="112"/>
        <v/>
      </c>
      <c r="U198" s="1355" t="str">
        <f t="shared" si="113"/>
        <v/>
      </c>
      <c r="V198" s="1309"/>
    </row>
    <row r="199" spans="2:22" ht="13.5" thickBot="1" x14ac:dyDescent="0.25">
      <c r="B199" s="1329"/>
      <c r="C199" s="1366"/>
      <c r="I199" s="1408">
        <f>SUM(I192:I197)</f>
        <v>2801.1936395745015</v>
      </c>
      <c r="O199" s="1408">
        <f>SUM(O192:O197)</f>
        <v>2225083.8466967554</v>
      </c>
      <c r="U199" s="1408">
        <f>SUM(U192:U197)</f>
        <v>794.33417785238987</v>
      </c>
    </row>
    <row r="200" spans="2:22" ht="39" thickBot="1" x14ac:dyDescent="0.25">
      <c r="C200" s="1400" t="s">
        <v>952</v>
      </c>
      <c r="D200" s="1399" t="s">
        <v>15</v>
      </c>
      <c r="E200" s="1361"/>
      <c r="F200" s="1361"/>
      <c r="G200" s="1435" t="s">
        <v>1222</v>
      </c>
      <c r="H200" s="1361"/>
      <c r="I200" s="1394" t="s">
        <v>1235</v>
      </c>
      <c r="J200" s="1396"/>
      <c r="K200" s="1395" t="s">
        <v>15</v>
      </c>
      <c r="L200" s="1874" t="s">
        <v>1222</v>
      </c>
      <c r="M200" s="1874"/>
      <c r="N200" s="1361"/>
      <c r="O200" s="1394" t="str">
        <f>I200</f>
        <v>Test Year Versus Board-approved</v>
      </c>
      <c r="P200" s="1397"/>
      <c r="Q200" s="1395" t="s">
        <v>15</v>
      </c>
      <c r="R200" s="1874" t="s">
        <v>1222</v>
      </c>
      <c r="S200" s="1874"/>
      <c r="T200" s="1361"/>
      <c r="U200" s="1394" t="str">
        <f>O200</f>
        <v>Test Year Versus Board-approved</v>
      </c>
    </row>
    <row r="201" spans="2:22" x14ac:dyDescent="0.2">
      <c r="C201" s="1265"/>
      <c r="D201" s="1377">
        <f t="shared" ref="D201:D207" si="114">D192</f>
        <v>2011</v>
      </c>
      <c r="E201" s="1329"/>
      <c r="F201" s="1329"/>
      <c r="G201" s="1372"/>
      <c r="H201" s="1329"/>
      <c r="I201" s="1378"/>
      <c r="J201" s="1384"/>
      <c r="K201" s="1363">
        <f>D201</f>
        <v>2011</v>
      </c>
      <c r="L201" s="1351"/>
      <c r="M201" s="1351"/>
      <c r="N201" s="1329"/>
      <c r="O201" s="1324"/>
      <c r="P201" s="1265"/>
      <c r="Q201" s="1363">
        <f>K201</f>
        <v>2011</v>
      </c>
      <c r="R201" s="1330"/>
      <c r="S201" s="1330"/>
      <c r="T201" s="1329"/>
      <c r="U201" s="1324"/>
    </row>
    <row r="202" spans="2:22" x14ac:dyDescent="0.2">
      <c r="C202" s="1265"/>
      <c r="D202" s="1365">
        <f t="shared" si="114"/>
        <v>2012</v>
      </c>
      <c r="E202" s="1329"/>
      <c r="F202" s="1329"/>
      <c r="G202" s="1373">
        <f t="shared" ref="G202:G207" si="115">IF(G192=0,"",G193/G192-1)</f>
        <v>3.2263846567486265E-3</v>
      </c>
      <c r="H202" s="1329"/>
      <c r="I202" s="1378"/>
      <c r="J202" s="1384"/>
      <c r="K202" s="1363">
        <f t="shared" ref="K202:K208" si="116">D202</f>
        <v>2012</v>
      </c>
      <c r="L202" s="1353">
        <f t="shared" ref="L202:M205" si="117">IF(L192=0,"",L193/L192-1)</f>
        <v>4.5048085191644605E-2</v>
      </c>
      <c r="M202" s="1353">
        <f t="shared" si="117"/>
        <v>5.7304763575901863E-2</v>
      </c>
      <c r="N202" s="1329"/>
      <c r="O202" s="1324"/>
      <c r="P202" s="1265"/>
      <c r="Q202" s="1363">
        <f t="shared" ref="Q202:Q208" si="118">K202</f>
        <v>2012</v>
      </c>
      <c r="R202" s="1374">
        <f t="shared" ref="R202:S205" si="119">IF(R192="","",IF(R192=0,"",R193/R192-1))</f>
        <v>4.1687201587311984E-2</v>
      </c>
      <c r="S202" s="1374">
        <f t="shared" si="119"/>
        <v>5.390446238877189E-2</v>
      </c>
      <c r="T202" s="1329"/>
      <c r="U202" s="1324"/>
    </row>
    <row r="203" spans="2:22" x14ac:dyDescent="0.2">
      <c r="C203" s="1265"/>
      <c r="D203" s="1365">
        <f t="shared" si="114"/>
        <v>2013</v>
      </c>
      <c r="E203" s="1329"/>
      <c r="F203" s="1329"/>
      <c r="G203" s="1373">
        <f t="shared" si="115"/>
        <v>3.2160085760228885E-3</v>
      </c>
      <c r="H203" s="1329"/>
      <c r="I203" s="1378"/>
      <c r="J203" s="1384"/>
      <c r="K203" s="1363">
        <f t="shared" si="116"/>
        <v>2013</v>
      </c>
      <c r="L203" s="1353">
        <f t="shared" si="117"/>
        <v>7.0969169843562607E-2</v>
      </c>
      <c r="M203" s="1353">
        <f t="shared" si="117"/>
        <v>7.5988564386863411E-2</v>
      </c>
      <c r="N203" s="1329"/>
      <c r="O203" s="1324"/>
      <c r="P203" s="1265"/>
      <c r="Q203" s="1363">
        <f t="shared" si="118"/>
        <v>2013</v>
      </c>
      <c r="R203" s="1374">
        <f t="shared" si="119"/>
        <v>6.7535965024829725E-2</v>
      </c>
      <c r="S203" s="1374">
        <f t="shared" si="119"/>
        <v>7.2539268899959763E-2</v>
      </c>
      <c r="T203" s="1329"/>
      <c r="U203" s="1324"/>
    </row>
    <row r="204" spans="2:22" x14ac:dyDescent="0.2">
      <c r="C204" s="1265"/>
      <c r="D204" s="1365">
        <f t="shared" si="114"/>
        <v>2014</v>
      </c>
      <c r="E204" s="1329"/>
      <c r="F204" s="1329"/>
      <c r="G204" s="1373">
        <f t="shared" si="115"/>
        <v>3.2056990204809566E-3</v>
      </c>
      <c r="H204" s="1329"/>
      <c r="I204" s="1378"/>
      <c r="J204" s="1384"/>
      <c r="K204" s="1363">
        <f t="shared" si="116"/>
        <v>2014</v>
      </c>
      <c r="L204" s="1353">
        <f t="shared" si="117"/>
        <v>-8.3889182545695773E-2</v>
      </c>
      <c r="M204" s="1353">
        <f t="shared" si="117"/>
        <v>-8.3612686977667772E-2</v>
      </c>
      <c r="N204" s="1329"/>
      <c r="O204" s="1324"/>
      <c r="P204" s="1265"/>
      <c r="Q204" s="1363">
        <f t="shared" si="118"/>
        <v>2014</v>
      </c>
      <c r="R204" s="1374">
        <f t="shared" si="119"/>
        <v>-8.6816573760710503E-2</v>
      </c>
      <c r="S204" s="1374">
        <f t="shared" si="119"/>
        <v>-8.6540961721925158E-2</v>
      </c>
      <c r="T204" s="1329"/>
      <c r="U204" s="1324"/>
    </row>
    <row r="205" spans="2:22" x14ac:dyDescent="0.2">
      <c r="C205" s="1265"/>
      <c r="D205" s="1365">
        <f t="shared" si="114"/>
        <v>2015</v>
      </c>
      <c r="E205" s="1329"/>
      <c r="F205" s="1329"/>
      <c r="G205" s="1373">
        <f t="shared" si="115"/>
        <v>3.1954553523876328E-3</v>
      </c>
      <c r="H205" s="1329"/>
      <c r="I205" s="1378"/>
      <c r="J205" s="1384"/>
      <c r="K205" s="1363">
        <f t="shared" si="116"/>
        <v>2015</v>
      </c>
      <c r="L205" s="1353">
        <f t="shared" si="117"/>
        <v>2.8754525319199864E-2</v>
      </c>
      <c r="M205" s="1353">
        <f t="shared" si="117"/>
        <v>3.9275483461727489E-2</v>
      </c>
      <c r="N205" s="1329"/>
      <c r="O205" s="1324"/>
      <c r="P205" s="1265"/>
      <c r="Q205" s="1363">
        <f t="shared" si="118"/>
        <v>2015</v>
      </c>
      <c r="R205" s="1374">
        <f t="shared" si="119"/>
        <v>2.5477657250584596E-2</v>
      </c>
      <c r="S205" s="1374">
        <f t="shared" si="119"/>
        <v>3.5965103227731499E-2</v>
      </c>
      <c r="T205" s="1329"/>
      <c r="U205" s="1324"/>
    </row>
    <row r="206" spans="2:22" x14ac:dyDescent="0.2">
      <c r="C206" s="1265"/>
      <c r="D206" s="1365">
        <f t="shared" si="114"/>
        <v>2016</v>
      </c>
      <c r="E206" s="1329"/>
      <c r="F206" s="1329"/>
      <c r="G206" s="1373">
        <f t="shared" si="115"/>
        <v>0</v>
      </c>
      <c r="H206" s="1329"/>
      <c r="I206" s="1378"/>
      <c r="J206" s="1384"/>
      <c r="K206" s="1363">
        <f t="shared" si="116"/>
        <v>2016</v>
      </c>
      <c r="L206" s="1353" t="str">
        <f>IF(K197="Forecast","",IF(L196=0,"",L197/L196-1))</f>
        <v/>
      </c>
      <c r="M206" s="1353">
        <f>IF(M196=0,"",M197/M196-1)</f>
        <v>-1.1278914945181184E-2</v>
      </c>
      <c r="N206" s="1329"/>
      <c r="O206" s="1324"/>
      <c r="P206" s="1265"/>
      <c r="Q206" s="1363">
        <f t="shared" si="118"/>
        <v>2016</v>
      </c>
      <c r="R206" s="1374" t="str">
        <f>IF(Q197="Forecast","",IF(R196=0,"",R197/R196-1))</f>
        <v/>
      </c>
      <c r="S206" s="1374">
        <f>IF(S196="","",IF(S196=0,"",S197/S196-1))</f>
        <v>-1.1278914945181184E-2</v>
      </c>
      <c r="T206" s="1329"/>
      <c r="U206" s="1324"/>
    </row>
    <row r="207" spans="2:22" x14ac:dyDescent="0.2">
      <c r="C207" s="1265"/>
      <c r="D207" s="1365">
        <f t="shared" si="114"/>
        <v>2017</v>
      </c>
      <c r="E207" s="1329"/>
      <c r="F207" s="1329"/>
      <c r="G207" s="1373">
        <f t="shared" si="115"/>
        <v>0</v>
      </c>
      <c r="H207" s="1329"/>
      <c r="I207" s="1379">
        <f>IF(I199=0,"",G198/I199-1)</f>
        <v>8.6771439439619069E-3</v>
      </c>
      <c r="J207" s="1384"/>
      <c r="K207" s="1363">
        <f t="shared" si="116"/>
        <v>2017</v>
      </c>
      <c r="L207" s="1353" t="str">
        <f>IF(K198="Forecast","",IF(L197=0,"",L198/L197-1))</f>
        <v/>
      </c>
      <c r="M207" s="1353">
        <f>IF(M197=0,"",M198/M197-1)</f>
        <v>2.4808379152156945E-3</v>
      </c>
      <c r="N207" s="1329"/>
      <c r="O207" s="1354">
        <f>IF(O199=0,"",M198/O199-1)</f>
        <v>6.9646813992755074E-2</v>
      </c>
      <c r="P207" s="1265"/>
      <c r="Q207" s="1363">
        <f t="shared" si="118"/>
        <v>2017</v>
      </c>
      <c r="R207" s="1374" t="str">
        <f>IF(Q198="Forecast","",IF(R197=0,"",R198/R197-1))</f>
        <v/>
      </c>
      <c r="S207" s="1374">
        <f>IF(S197="","",IF(S197=0,"",S198/S197-1))</f>
        <v>2.4808379152156945E-3</v>
      </c>
      <c r="T207" s="1329"/>
      <c r="U207" s="1354">
        <f>IF(U199=0,"",S198/U199-1)</f>
        <v>6.0445178533935717E-2</v>
      </c>
    </row>
    <row r="208" spans="2:22" ht="26.25" thickBot="1" x14ac:dyDescent="0.25">
      <c r="C208" s="1271"/>
      <c r="D208" s="1405" t="s">
        <v>1221</v>
      </c>
      <c r="E208" s="1355"/>
      <c r="F208" s="1355"/>
      <c r="G208" s="1375">
        <f>IF(G192=0,"",(G198/G192)^(1/($D198-$D192-1))-1)</f>
        <v>2.5678857420585732E-3</v>
      </c>
      <c r="H208" s="1355"/>
      <c r="I208" s="1406">
        <f>IF(I199=0,"",(G198/I199)^(1/(TestYear-RebaseYear-1))-1)</f>
        <v>2.1622628004969169E-3</v>
      </c>
      <c r="J208" s="1360"/>
      <c r="K208" s="1404" t="str">
        <f t="shared" si="116"/>
        <v>Geometric Mean</v>
      </c>
      <c r="L208" s="1358">
        <f>IF(L192=0,"",(L196/L192)^(1/($D196-$D192-1))-1)</f>
        <v>1.7945056362880463E-2</v>
      </c>
      <c r="M208" s="1358">
        <f>IF(M192=0,"",(M198/M192)^(1/($D198-$D192-1))-1)</f>
        <v>1.4363221138617988E-2</v>
      </c>
      <c r="N208" s="1355"/>
      <c r="O208" s="1371">
        <f>IF(O199=0,"",(M198/O199)^(1/(TestYear-RebaseYear-1))-1)</f>
        <v>1.6974586844962669E-2</v>
      </c>
      <c r="P208" s="1271"/>
      <c r="Q208" s="1404" t="str">
        <f t="shared" si="118"/>
        <v>Geometric Mean</v>
      </c>
      <c r="R208" s="1376">
        <f>IF(R192="","",IF(R192=0,"",(R196/R192)^(1/($D196-$D192-1))-1))</f>
        <v>1.3603315065573884E-2</v>
      </c>
      <c r="S208" s="1358">
        <f>IF(S192="","",IF(S192=0,"",(S198/S192)^(1/($D198-$D192-1))-1))</f>
        <v>1.1765123902636399E-2</v>
      </c>
      <c r="T208" s="1355"/>
      <c r="U208" s="1371">
        <f>IF(U199=0,"",(S198/U199)^(1/(TestYear-RebaseYear-1))-1)</f>
        <v>1.4780365011024754E-2</v>
      </c>
    </row>
    <row r="210" spans="3:21" ht="13.5" thickBot="1" x14ac:dyDescent="0.25">
      <c r="Q210" s="1355"/>
      <c r="R210" s="1355"/>
      <c r="S210" s="1355"/>
      <c r="T210" s="1355"/>
      <c r="U210" s="1355"/>
    </row>
    <row r="211" spans="3:21" ht="12.75" customHeight="1" x14ac:dyDescent="0.2">
      <c r="C211" s="1264"/>
      <c r="D211" s="1268" t="s">
        <v>1205</v>
      </c>
      <c r="E211" s="1268"/>
      <c r="F211" s="1876" t="s">
        <v>1198</v>
      </c>
      <c r="G211" s="1877"/>
      <c r="H211" s="1877"/>
      <c r="I211" s="1878"/>
      <c r="K211" s="1859" t="str">
        <f>IF(ISBLANK(N188),"",CONCATENATE("Demand (",N188,")"))</f>
        <v>Demand (kW)</v>
      </c>
      <c r="L211" s="1860"/>
      <c r="M211" s="1860"/>
      <c r="N211" s="1860"/>
      <c r="O211" s="1861"/>
      <c r="Q211" s="1869" t="str">
        <f>CONCATENATE("Demand (",N188,") per ",LEFT(F190,LEN(F190)-1))</f>
        <v>Demand (kW) per Customer</v>
      </c>
      <c r="R211" s="1879"/>
      <c r="S211" s="1879"/>
      <c r="T211" s="1879"/>
      <c r="U211" s="1870"/>
    </row>
    <row r="212" spans="3:21" ht="39" thickBot="1" x14ac:dyDescent="0.25">
      <c r="C212" s="1271"/>
      <c r="D212" s="1277" t="str">
        <f>CONCATENATE("(for ",TestYear," Cost of Service")</f>
        <v>(for 2017 Cost of Service</v>
      </c>
      <c r="E212" s="1266"/>
      <c r="F212" s="1872"/>
      <c r="G212" s="1873"/>
      <c r="H212" s="1873"/>
      <c r="I212" s="1296"/>
      <c r="K212" s="1284"/>
      <c r="L212" s="1433" t="s">
        <v>1226</v>
      </c>
      <c r="M212" s="1433" t="s">
        <v>1210</v>
      </c>
      <c r="N212" s="1305"/>
      <c r="O212" s="1306" t="str">
        <f>M212</f>
        <v>Weather-normalized</v>
      </c>
      <c r="Q212" s="1403"/>
      <c r="R212" s="1490" t="str">
        <f>L212</f>
        <v>Actual (Weather actual)</v>
      </c>
      <c r="S212" s="1490" t="str">
        <f>M212</f>
        <v>Weather-normalized</v>
      </c>
      <c r="T212" s="1490"/>
      <c r="U212" s="1491" t="str">
        <f>O212</f>
        <v>Weather-normalized</v>
      </c>
    </row>
    <row r="213" spans="3:21" x14ac:dyDescent="0.2">
      <c r="C213" s="1266" t="s">
        <v>890</v>
      </c>
      <c r="D213" s="1363">
        <f t="shared" ref="D213:D218" si="120">D214-1</f>
        <v>2011</v>
      </c>
      <c r="E213" s="1265"/>
      <c r="F213" s="1313" t="str">
        <f t="shared" ref="F213:F219" si="121">F192</f>
        <v>Actual</v>
      </c>
      <c r="G213" s="1311">
        <v>563</v>
      </c>
      <c r="H213" s="2" t="str">
        <f t="shared" ref="H213:H219" si="122">IF(D213=RebaseYear,"Board-approved","")</f>
        <v/>
      </c>
      <c r="I213" s="1383"/>
      <c r="K213" s="1282" t="str">
        <f t="shared" ref="K213:K219" si="123">K192</f>
        <v>Actual</v>
      </c>
      <c r="L213" s="1500">
        <v>5760</v>
      </c>
      <c r="M213" s="1500">
        <v>5685.6508341119888</v>
      </c>
      <c r="N213" s="1258" t="str">
        <f t="shared" ref="N213:N219" si="124">N192</f>
        <v/>
      </c>
      <c r="O213" s="1324"/>
      <c r="Q213" s="1507" t="str">
        <f>K213</f>
        <v>Actual</v>
      </c>
      <c r="R213" s="1508">
        <f>IF(G192=0,"",L213/G192)</f>
        <v>2.0648861803190535</v>
      </c>
      <c r="S213" s="1508">
        <f>IF(G192=0,"",M213/G192)</f>
        <v>2.0382329572009281</v>
      </c>
      <c r="T213" s="1503" t="str">
        <f>N213</f>
        <v/>
      </c>
      <c r="U213" s="1504" t="str">
        <f>IF(T213="","",IF(I213=0,"",O213/I213))</f>
        <v/>
      </c>
    </row>
    <row r="214" spans="3:21" x14ac:dyDescent="0.2">
      <c r="C214" s="1266" t="s">
        <v>890</v>
      </c>
      <c r="D214" s="1363">
        <f t="shared" si="120"/>
        <v>2012</v>
      </c>
      <c r="E214" s="1265"/>
      <c r="F214" s="1314" t="str">
        <f t="shared" si="121"/>
        <v>Actual</v>
      </c>
      <c r="G214" s="1311">
        <v>117759</v>
      </c>
      <c r="H214" s="2" t="str">
        <f t="shared" si="122"/>
        <v>Board-approved</v>
      </c>
      <c r="I214" s="1311">
        <v>83560.941326882938</v>
      </c>
      <c r="K214" s="1282" t="str">
        <f t="shared" si="123"/>
        <v>Actual</v>
      </c>
      <c r="L214" s="1500">
        <v>6353.7</v>
      </c>
      <c r="M214" s="1500">
        <v>6345.2439262521539</v>
      </c>
      <c r="N214" s="1258" t="str">
        <f t="shared" si="124"/>
        <v>Board-approved</v>
      </c>
      <c r="O214" s="1494">
        <v>6082.8591488972397</v>
      </c>
      <c r="Q214" s="1496" t="str">
        <f t="shared" ref="Q214:Q219" si="125">K214</f>
        <v>Actual</v>
      </c>
      <c r="R214" s="1504">
        <f t="shared" ref="R214:R219" si="126">IF(G193=0,"",L214/G193)</f>
        <v>2.2703948543862782</v>
      </c>
      <c r="S214" s="1504">
        <f t="shared" ref="S214:S219" si="127">IF(G193=0,"",M214/G193)</f>
        <v>2.2673732093093277</v>
      </c>
      <c r="T214" s="1503" t="str">
        <f t="shared" ref="T214:T219" si="128">N214</f>
        <v>Board-approved</v>
      </c>
      <c r="U214" s="1504">
        <f>IF(T193="","",IF(I214=0,"",O214/I193))</f>
        <v>2.1715239756938831</v>
      </c>
    </row>
    <row r="215" spans="3:21" x14ac:dyDescent="0.2">
      <c r="C215" s="1266" t="s">
        <v>890</v>
      </c>
      <c r="D215" s="1363">
        <f t="shared" si="120"/>
        <v>2013</v>
      </c>
      <c r="E215" s="1265"/>
      <c r="F215" s="1314" t="str">
        <f t="shared" si="121"/>
        <v>Actual</v>
      </c>
      <c r="G215" s="1311">
        <v>100493.41642296549</v>
      </c>
      <c r="H215" s="2" t="str">
        <f t="shared" si="122"/>
        <v/>
      </c>
      <c r="I215" s="1328"/>
      <c r="K215" s="1282" t="str">
        <f t="shared" si="123"/>
        <v>Actual</v>
      </c>
      <c r="L215" s="1500">
        <v>6799.3</v>
      </c>
      <c r="M215" s="1500">
        <v>6822.0752789870767</v>
      </c>
      <c r="N215" s="1258" t="str">
        <f t="shared" si="124"/>
        <v/>
      </c>
      <c r="O215" s="1325"/>
      <c r="Q215" s="1496" t="str">
        <f t="shared" si="125"/>
        <v>Actual</v>
      </c>
      <c r="R215" s="1504">
        <f t="shared" si="126"/>
        <v>2.4218343722172753</v>
      </c>
      <c r="S215" s="1504">
        <f t="shared" si="127"/>
        <v>2.4299466710550583</v>
      </c>
      <c r="T215" s="1503" t="str">
        <f t="shared" si="128"/>
        <v/>
      </c>
      <c r="U215" s="1504" t="str">
        <f t="shared" ref="U215:U219" si="129">IF(T215="","",IF(I215=0,"",O215/I215))</f>
        <v/>
      </c>
    </row>
    <row r="216" spans="3:21" x14ac:dyDescent="0.2">
      <c r="C216" s="1266" t="s">
        <v>890</v>
      </c>
      <c r="D216" s="1363">
        <f t="shared" si="120"/>
        <v>2014</v>
      </c>
      <c r="E216" s="1265"/>
      <c r="F216" s="1314" t="str">
        <f t="shared" si="121"/>
        <v>Actual</v>
      </c>
      <c r="G216" s="1311">
        <v>82503.199999999997</v>
      </c>
      <c r="H216" s="2" t="str">
        <f t="shared" si="122"/>
        <v/>
      </c>
      <c r="I216" s="1324"/>
      <c r="K216" s="1282" t="str">
        <f t="shared" si="123"/>
        <v>Actual</v>
      </c>
      <c r="L216" s="1500">
        <v>6450</v>
      </c>
      <c r="M216" s="1500">
        <v>6473.5584706319141</v>
      </c>
      <c r="N216" s="1258" t="str">
        <f t="shared" si="124"/>
        <v/>
      </c>
      <c r="O216" s="1324"/>
      <c r="Q216" s="1496" t="str">
        <f t="shared" si="125"/>
        <v>Actual</v>
      </c>
      <c r="R216" s="1504">
        <f t="shared" si="126"/>
        <v>2.2900763358778624</v>
      </c>
      <c r="S216" s="1504">
        <f t="shared" si="127"/>
        <v>2.2984407848861759</v>
      </c>
      <c r="T216" s="1503" t="str">
        <f t="shared" si="128"/>
        <v/>
      </c>
      <c r="U216" s="1504" t="str">
        <f t="shared" si="129"/>
        <v/>
      </c>
    </row>
    <row r="217" spans="3:21" x14ac:dyDescent="0.2">
      <c r="C217" s="1266" t="s">
        <v>890</v>
      </c>
      <c r="D217" s="1363">
        <f t="shared" si="120"/>
        <v>2015</v>
      </c>
      <c r="E217" s="1265"/>
      <c r="F217" s="1314" t="str">
        <f t="shared" si="121"/>
        <v>Actual</v>
      </c>
      <c r="G217" s="1311">
        <v>91416</v>
      </c>
      <c r="H217" s="2" t="str">
        <f t="shared" si="122"/>
        <v/>
      </c>
      <c r="I217" s="1324"/>
      <c r="K217" s="1282" t="str">
        <f t="shared" si="123"/>
        <v>Actual</v>
      </c>
      <c r="L217" s="1500">
        <v>6398</v>
      </c>
      <c r="M217" s="1500">
        <v>6487.0391639578893</v>
      </c>
      <c r="N217" s="1258" t="str">
        <f t="shared" si="124"/>
        <v/>
      </c>
      <c r="O217" s="1324"/>
      <c r="Q217" s="1496" t="str">
        <f t="shared" si="125"/>
        <v>Actual</v>
      </c>
      <c r="R217" s="1504">
        <f t="shared" si="126"/>
        <v>2.2643779861971334</v>
      </c>
      <c r="S217" s="1504">
        <f t="shared" si="127"/>
        <v>2.2958906968529074</v>
      </c>
      <c r="T217" s="1503" t="str">
        <f t="shared" si="128"/>
        <v/>
      </c>
      <c r="U217" s="1504" t="str">
        <f t="shared" si="129"/>
        <v/>
      </c>
    </row>
    <row r="218" spans="3:21" x14ac:dyDescent="0.2">
      <c r="C218" s="1266" t="s">
        <v>1203</v>
      </c>
      <c r="D218" s="1363">
        <f t="shared" si="120"/>
        <v>2016</v>
      </c>
      <c r="E218" s="1265"/>
      <c r="F218" s="1314" t="str">
        <f t="shared" si="121"/>
        <v>Forecast</v>
      </c>
      <c r="G218" s="1311">
        <v>113557.63432747728</v>
      </c>
      <c r="H218" s="2" t="str">
        <f t="shared" si="122"/>
        <v/>
      </c>
      <c r="I218" s="1324"/>
      <c r="K218" s="1282" t="str">
        <f t="shared" si="123"/>
        <v>Forecast</v>
      </c>
      <c r="L218" s="1303"/>
      <c r="M218" s="1501">
        <v>6459.7804117359774</v>
      </c>
      <c r="N218" s="1258" t="str">
        <f t="shared" si="124"/>
        <v/>
      </c>
      <c r="O218" s="1324"/>
      <c r="Q218" s="1496" t="str">
        <f t="shared" si="125"/>
        <v>Forecast</v>
      </c>
      <c r="R218" s="1504">
        <f t="shared" si="126"/>
        <v>0</v>
      </c>
      <c r="S218" s="1504">
        <f t="shared" si="127"/>
        <v>2.2862432885280399</v>
      </c>
      <c r="T218" s="1503" t="str">
        <f t="shared" si="128"/>
        <v/>
      </c>
      <c r="U218" s="1504" t="str">
        <f t="shared" si="129"/>
        <v/>
      </c>
    </row>
    <row r="219" spans="3:21" ht="13.5" thickBot="1" x14ac:dyDescent="0.25">
      <c r="C219" s="1267" t="s">
        <v>1204</v>
      </c>
      <c r="D219" s="1364">
        <f>TestYear</f>
        <v>2017</v>
      </c>
      <c r="E219" s="1271"/>
      <c r="F219" s="1315" t="str">
        <f t="shared" si="121"/>
        <v>Forecast</v>
      </c>
      <c r="G219" s="1312">
        <v>98326.42658503697</v>
      </c>
      <c r="H219" s="1307" t="str">
        <f t="shared" si="122"/>
        <v/>
      </c>
      <c r="I219" s="1326"/>
      <c r="K219" s="1283" t="str">
        <f t="shared" si="123"/>
        <v>Forecast</v>
      </c>
      <c r="L219" s="1304"/>
      <c r="M219" s="1502">
        <v>6475.806079905381</v>
      </c>
      <c r="N219" s="1262" t="str">
        <f t="shared" si="124"/>
        <v/>
      </c>
      <c r="O219" s="1326"/>
      <c r="Q219" s="1319" t="str">
        <f t="shared" si="125"/>
        <v>Forecast</v>
      </c>
      <c r="R219" s="1506">
        <f t="shared" si="126"/>
        <v>0</v>
      </c>
      <c r="S219" s="1506">
        <f t="shared" si="127"/>
        <v>2.2919150875616285</v>
      </c>
      <c r="T219" s="1505" t="str">
        <f t="shared" si="128"/>
        <v/>
      </c>
      <c r="U219" s="1506" t="str">
        <f t="shared" si="129"/>
        <v/>
      </c>
    </row>
    <row r="220" spans="3:21" ht="13.5" thickBot="1" x14ac:dyDescent="0.25">
      <c r="C220" s="1366"/>
      <c r="I220" s="1408">
        <f>SUM(I213:I218)</f>
        <v>83560.941326882938</v>
      </c>
      <c r="J220" s="1329"/>
      <c r="O220" s="1408">
        <f>SUM(O213:O218)</f>
        <v>6082.8591488972397</v>
      </c>
      <c r="U220" s="1408">
        <f>SUM(U213:U218)</f>
        <v>2.1715239756938831</v>
      </c>
    </row>
    <row r="221" spans="3:21" ht="39" thickBot="1" x14ac:dyDescent="0.25">
      <c r="C221" s="1400" t="s">
        <v>952</v>
      </c>
      <c r="D221" s="1399" t="s">
        <v>15</v>
      </c>
      <c r="E221" s="1435"/>
      <c r="F221" s="1435"/>
      <c r="G221" s="1435" t="s">
        <v>1222</v>
      </c>
      <c r="H221" s="1435"/>
      <c r="I221" s="1394" t="str">
        <f>I200</f>
        <v>Test Year Versus Board-approved</v>
      </c>
      <c r="J221" s="1407"/>
      <c r="K221" s="1395" t="s">
        <v>15</v>
      </c>
      <c r="L221" s="1874" t="s">
        <v>1222</v>
      </c>
      <c r="M221" s="1874"/>
      <c r="N221" s="1435"/>
      <c r="O221" s="1394" t="str">
        <f>I221</f>
        <v>Test Year Versus Board-approved</v>
      </c>
      <c r="P221" s="1380"/>
      <c r="Q221" s="1395" t="s">
        <v>15</v>
      </c>
      <c r="R221" s="1874" t="s">
        <v>1222</v>
      </c>
      <c r="S221" s="1874"/>
      <c r="T221" s="1435"/>
      <c r="U221" s="1394" t="str">
        <f>O221</f>
        <v>Test Year Versus Board-approved</v>
      </c>
    </row>
    <row r="222" spans="3:21" x14ac:dyDescent="0.2">
      <c r="C222" s="1265"/>
      <c r="D222" s="1402">
        <f t="shared" ref="D222:D228" si="130">D213</f>
        <v>2011</v>
      </c>
      <c r="E222" s="1345"/>
      <c r="F222" s="1329"/>
      <c r="G222" s="1372"/>
      <c r="H222" s="1329"/>
      <c r="I222" s="1378"/>
      <c r="J222" s="1265"/>
      <c r="K222" s="1363">
        <f>D222</f>
        <v>2011</v>
      </c>
      <c r="L222" s="1351"/>
      <c r="M222" s="1351"/>
      <c r="N222" s="1329"/>
      <c r="O222" s="1381"/>
      <c r="P222" s="1265"/>
      <c r="Q222" s="1363">
        <f>K222</f>
        <v>2011</v>
      </c>
      <c r="R222" s="1330"/>
      <c r="S222" s="1330"/>
      <c r="T222" s="1329"/>
      <c r="U222" s="1324"/>
    </row>
    <row r="223" spans="3:21" x14ac:dyDescent="0.2">
      <c r="C223" s="1265"/>
      <c r="D223" s="1365">
        <f t="shared" si="130"/>
        <v>2012</v>
      </c>
      <c r="E223" s="1329"/>
      <c r="F223" s="1329"/>
      <c r="G223" s="1373">
        <f t="shared" ref="G223:G228" si="131">IF(G213=0,"",G214/G213-1)</f>
        <v>208.16341030195383</v>
      </c>
      <c r="H223" s="1329"/>
      <c r="I223" s="1378"/>
      <c r="J223" s="1265"/>
      <c r="K223" s="1363">
        <f t="shared" ref="K223:K229" si="132">D223</f>
        <v>2012</v>
      </c>
      <c r="L223" s="1353">
        <f t="shared" ref="L223:M226" si="133">IF(L213=0,"",L214/L213-1)</f>
        <v>0.10307291666666663</v>
      </c>
      <c r="M223" s="1353">
        <f t="shared" si="133"/>
        <v>0.11601012995431037</v>
      </c>
      <c r="N223" s="1329"/>
      <c r="O223" s="1381"/>
      <c r="P223" s="1265"/>
      <c r="Q223" s="1363">
        <f t="shared" ref="Q223:Q229" si="134">K223</f>
        <v>2012</v>
      </c>
      <c r="R223" s="1374">
        <f t="shared" ref="R223:S226" si="135">IF(R213="","",IF(R213=0,"",R214/R213-1))</f>
        <v>9.9525424706688126E-2</v>
      </c>
      <c r="S223" s="1374">
        <f t="shared" si="135"/>
        <v>0.11242103180544882</v>
      </c>
      <c r="T223" s="1329"/>
      <c r="U223" s="1324"/>
    </row>
    <row r="224" spans="3:21" x14ac:dyDescent="0.2">
      <c r="C224" s="1265"/>
      <c r="D224" s="1401">
        <f t="shared" si="130"/>
        <v>2013</v>
      </c>
      <c r="E224" s="1329"/>
      <c r="F224" s="1329"/>
      <c r="G224" s="1373">
        <f t="shared" si="131"/>
        <v>-0.14661795342211226</v>
      </c>
      <c r="H224" s="1329"/>
      <c r="I224" s="1378"/>
      <c r="J224" s="1265"/>
      <c r="K224" s="1363">
        <f t="shared" si="132"/>
        <v>2013</v>
      </c>
      <c r="L224" s="1353">
        <f t="shared" si="133"/>
        <v>7.0132363819506827E-2</v>
      </c>
      <c r="M224" s="1353">
        <f t="shared" si="133"/>
        <v>7.5147836438900439E-2</v>
      </c>
      <c r="N224" s="1329"/>
      <c r="O224" s="1381"/>
      <c r="P224" s="1265"/>
      <c r="Q224" s="1363">
        <f t="shared" si="134"/>
        <v>2013</v>
      </c>
      <c r="R224" s="1374">
        <f t="shared" si="135"/>
        <v>6.670184154902592E-2</v>
      </c>
      <c r="S224" s="1374">
        <f t="shared" si="135"/>
        <v>7.1701236072756025E-2</v>
      </c>
      <c r="T224" s="1329"/>
      <c r="U224" s="1324"/>
    </row>
    <row r="225" spans="2:22" x14ac:dyDescent="0.2">
      <c r="C225" s="1265"/>
      <c r="D225" s="1365">
        <f t="shared" si="130"/>
        <v>2014</v>
      </c>
      <c r="E225" s="1329"/>
      <c r="F225" s="1329"/>
      <c r="G225" s="1373">
        <f t="shared" si="131"/>
        <v>-0.17901885579495769</v>
      </c>
      <c r="H225" s="1329"/>
      <c r="I225" s="1378"/>
      <c r="J225" s="1265"/>
      <c r="K225" s="1363">
        <f t="shared" si="132"/>
        <v>2014</v>
      </c>
      <c r="L225" s="1353">
        <f t="shared" si="133"/>
        <v>-5.1372935449237489E-2</v>
      </c>
      <c r="M225" s="1353">
        <f t="shared" si="133"/>
        <v>-5.1086626004940405E-2</v>
      </c>
      <c r="N225" s="1329"/>
      <c r="O225" s="1381"/>
      <c r="P225" s="1265"/>
      <c r="Q225" s="1363">
        <f t="shared" si="134"/>
        <v>2014</v>
      </c>
      <c r="R225" s="1374">
        <f t="shared" si="135"/>
        <v>-5.4404230880076176E-2</v>
      </c>
      <c r="S225" s="1374">
        <f t="shared" si="135"/>
        <v>-5.411883632482517E-2</v>
      </c>
      <c r="T225" s="1329"/>
      <c r="U225" s="1324"/>
    </row>
    <row r="226" spans="2:22" x14ac:dyDescent="0.2">
      <c r="C226" s="1265"/>
      <c r="D226" s="1365">
        <f t="shared" si="130"/>
        <v>2015</v>
      </c>
      <c r="E226" s="1329"/>
      <c r="F226" s="1329"/>
      <c r="G226" s="1373">
        <f t="shared" si="131"/>
        <v>0.108029749149124</v>
      </c>
      <c r="H226" s="1329"/>
      <c r="I226" s="1378"/>
      <c r="J226" s="1265"/>
      <c r="K226" s="1363">
        <f t="shared" si="132"/>
        <v>2015</v>
      </c>
      <c r="L226" s="1353">
        <f t="shared" si="133"/>
        <v>-8.0620155038759744E-3</v>
      </c>
      <c r="M226" s="1353">
        <f t="shared" si="133"/>
        <v>2.0824239693102431E-3</v>
      </c>
      <c r="N226" s="1329"/>
      <c r="O226" s="1381"/>
      <c r="P226" s="1265"/>
      <c r="Q226" s="1363">
        <f t="shared" si="134"/>
        <v>2015</v>
      </c>
      <c r="R226" s="1374">
        <f t="shared" si="135"/>
        <v>-1.1221612693918304E-2</v>
      </c>
      <c r="S226" s="1374">
        <f t="shared" si="135"/>
        <v>-1.1094860698770415E-3</v>
      </c>
      <c r="T226" s="1329"/>
      <c r="U226" s="1324"/>
    </row>
    <row r="227" spans="2:22" x14ac:dyDescent="0.2">
      <c r="C227" s="1265"/>
      <c r="D227" s="1365">
        <f t="shared" si="130"/>
        <v>2016</v>
      </c>
      <c r="E227" s="1329"/>
      <c r="F227" s="1329"/>
      <c r="G227" s="1373">
        <f t="shared" si="131"/>
        <v>0.24220742897826719</v>
      </c>
      <c r="H227" s="1329"/>
      <c r="I227" s="1378"/>
      <c r="J227" s="1265"/>
      <c r="K227" s="1363">
        <f t="shared" si="132"/>
        <v>2016</v>
      </c>
      <c r="L227" s="1353" t="str">
        <f>IF(K218="Forecast","",IF(L217=0,"",L218/L217-1))</f>
        <v/>
      </c>
      <c r="M227" s="1353">
        <f>IF(M217=0,"",M218/M217-1)</f>
        <v>-4.2020329356668995E-3</v>
      </c>
      <c r="N227" s="1329"/>
      <c r="O227" s="1381"/>
      <c r="P227" s="1265"/>
      <c r="Q227" s="1363">
        <f t="shared" si="134"/>
        <v>2016</v>
      </c>
      <c r="R227" s="1374" t="str">
        <f>IF(Q218="Forecast","",IF(R217=0,"",R218/R217-1))</f>
        <v/>
      </c>
      <c r="S227" s="1374">
        <f>IF(S217="","",IF(S217=0,"",S218/S217-1))</f>
        <v>-4.2020329356670105E-3</v>
      </c>
      <c r="T227" s="1329"/>
      <c r="U227" s="1324"/>
    </row>
    <row r="228" spans="2:22" x14ac:dyDescent="0.2">
      <c r="C228" s="1265"/>
      <c r="D228" s="1401">
        <f t="shared" si="130"/>
        <v>2017</v>
      </c>
      <c r="E228" s="1329"/>
      <c r="F228" s="1329"/>
      <c r="G228" s="1373">
        <f t="shared" si="131"/>
        <v>-0.13412755410628385</v>
      </c>
      <c r="H228" s="1329"/>
      <c r="I228" s="1379">
        <f>IF(I220=0,"",G219/I220-1)</f>
        <v>0.17670319438351911</v>
      </c>
      <c r="J228" s="1265"/>
      <c r="K228" s="1363">
        <f t="shared" si="132"/>
        <v>2017</v>
      </c>
      <c r="L228" s="1353" t="str">
        <f>IF(K219="Forecast","",IF(L218=0,"",L219/L218-1))</f>
        <v/>
      </c>
      <c r="M228" s="1353">
        <f>IF(M218=0,"",M219/M218-1)</f>
        <v>2.4808379152159166E-3</v>
      </c>
      <c r="N228" s="1329"/>
      <c r="O228" s="1382">
        <f>IF(O220=0,"",M219/O220-1)</f>
        <v>6.4599051431164289E-2</v>
      </c>
      <c r="P228" s="1265"/>
      <c r="Q228" s="1363">
        <f t="shared" si="134"/>
        <v>2017</v>
      </c>
      <c r="R228" s="1374" t="str">
        <f>IF(Q219="Forecast","",IF(R218=0,"",R219/R218-1))</f>
        <v/>
      </c>
      <c r="S228" s="1374">
        <f>IF(S218="","",IF(S218=0,"",S219/S218-1))</f>
        <v>2.4808379152161386E-3</v>
      </c>
      <c r="T228" s="1329"/>
      <c r="U228" s="1354">
        <f>IF(U220=0,"",S219/U220-1)</f>
        <v>5.5440839343841919E-2</v>
      </c>
    </row>
    <row r="229" spans="2:22" ht="26.25" thickBot="1" x14ac:dyDescent="0.25">
      <c r="C229" s="1271"/>
      <c r="D229" s="1405" t="s">
        <v>1221</v>
      </c>
      <c r="E229" s="1355"/>
      <c r="F229" s="1355"/>
      <c r="G229" s="1375">
        <f>IF(G213=0,"",(G219/G213)^(1/($D219-$D213-1))-1)</f>
        <v>1.8082280453172692</v>
      </c>
      <c r="H229" s="1355"/>
      <c r="I229" s="1371">
        <f>IF(I220=0,"",(G219/I220)^(1/(TestYear-RebaseYear-1))-1)</f>
        <v>4.151788747480234E-2</v>
      </c>
      <c r="J229" s="1265"/>
      <c r="K229" s="1404" t="str">
        <f t="shared" si="132"/>
        <v>Geometric Mean</v>
      </c>
      <c r="L229" s="1358">
        <f>IF(L213=0,"",(L217/L213)^(1/($D217-$D213-1))-1)</f>
        <v>3.5636267393223342E-2</v>
      </c>
      <c r="M229" s="1358">
        <f>IF(M213=0,"",(M219/M213)^(1/($D219-$D213-1))-1)</f>
        <v>2.6367117955734098E-2</v>
      </c>
      <c r="N229" s="1355"/>
      <c r="O229" s="1371">
        <f>IF(O220=0,"",(M219/O220)^(1/(TestYear-RebaseYear-1))-1)</f>
        <v>1.5772658385759808E-2</v>
      </c>
      <c r="P229" s="1271"/>
      <c r="Q229" s="1404" t="str">
        <f t="shared" si="134"/>
        <v>Geometric Mean</v>
      </c>
      <c r="R229" s="1376">
        <f>IF(R213="","",IF(R213=0,"",(R217/R213)^(1/($D217-$D213-1))-1))</f>
        <v>3.1219069507125941E-2</v>
      </c>
      <c r="S229" s="1358">
        <f>IF(S213="","",IF(S213=0,"",(S219/S213)^(1/($D219-$D213-1))-1))</f>
        <v>2.3738275035670497E-2</v>
      </c>
      <c r="T229" s="1355"/>
      <c r="U229" s="1371">
        <f>IF(U220=0,"",(S219/U220)^(1/(TestYear-RebaseYear-1))-1)</f>
        <v>1.3581029829669689E-2</v>
      </c>
    </row>
    <row r="230" spans="2:22" ht="13.5" thickBot="1" x14ac:dyDescent="0.25"/>
    <row r="231" spans="2:22" ht="13.5" thickBot="1" x14ac:dyDescent="0.25">
      <c r="B231" s="1318">
        <v>5</v>
      </c>
      <c r="C231" s="3" t="s">
        <v>14</v>
      </c>
      <c r="D231" s="1880" t="s">
        <v>1292</v>
      </c>
      <c r="E231" s="1881"/>
      <c r="F231" s="1882"/>
      <c r="G231" s="1291"/>
      <c r="H231" s="13" t="s">
        <v>1224</v>
      </c>
      <c r="N231" s="1317" t="s">
        <v>74</v>
      </c>
      <c r="O231" s="1316"/>
      <c r="P231" s="1316"/>
      <c r="Q231" s="1316"/>
      <c r="R231" s="1316"/>
      <c r="S231" s="1316"/>
      <c r="T231" s="1316"/>
      <c r="U231" s="1316"/>
    </row>
    <row r="232" spans="2:22" ht="13.5" thickBot="1" x14ac:dyDescent="0.25">
      <c r="Q232" s="1355"/>
      <c r="R232" s="1355"/>
      <c r="S232" s="1355"/>
      <c r="T232" s="1355"/>
      <c r="U232" s="1355"/>
    </row>
    <row r="233" spans="2:22" x14ac:dyDescent="0.2">
      <c r="C233" s="1264"/>
      <c r="D233" s="1268" t="s">
        <v>1205</v>
      </c>
      <c r="E233" s="1268"/>
      <c r="F233" s="1883" t="s">
        <v>1034</v>
      </c>
      <c r="G233" s="1884"/>
      <c r="H233" s="1884"/>
      <c r="I233" s="1885"/>
      <c r="J233" s="1268"/>
      <c r="K233" s="1859" t="s">
        <v>1213</v>
      </c>
      <c r="L233" s="1860"/>
      <c r="M233" s="1860"/>
      <c r="N233" s="1860"/>
      <c r="O233" s="1861"/>
      <c r="P233" s="1287"/>
      <c r="Q233" s="1869" t="str">
        <f>CONCATENATE("Consumption (kWh) per ",LEFT(F233,LEN(F233)-1))</f>
        <v>Consumption (kWh) per Customer</v>
      </c>
      <c r="R233" s="1879"/>
      <c r="S233" s="1879"/>
      <c r="T233" s="1879"/>
      <c r="U233" s="1870"/>
      <c r="V233" s="1308"/>
    </row>
    <row r="234" spans="2:22" ht="39" thickBot="1" x14ac:dyDescent="0.25">
      <c r="C234" s="1271"/>
      <c r="D234" s="1277" t="str">
        <f>CONCATENATE("(for ",TestYear," Cost of Service")</f>
        <v>(for 2017 Cost of Service</v>
      </c>
      <c r="E234" s="1266"/>
      <c r="F234" s="1872"/>
      <c r="G234" s="1873"/>
      <c r="H234" s="1875"/>
      <c r="I234" s="1296"/>
      <c r="J234" s="1266"/>
      <c r="K234" s="1284"/>
      <c r="L234" s="1433" t="s">
        <v>1226</v>
      </c>
      <c r="M234" s="1433" t="s">
        <v>1210</v>
      </c>
      <c r="N234" s="1305"/>
      <c r="O234" s="1306" t="s">
        <v>1210</v>
      </c>
      <c r="P234" s="1266"/>
      <c r="Q234" s="1389"/>
      <c r="R234" s="1390" t="str">
        <f>L234</f>
        <v>Actual (Weather actual)</v>
      </c>
      <c r="S234" s="1391" t="str">
        <f>M234</f>
        <v>Weather-normalized</v>
      </c>
      <c r="T234" s="1391"/>
      <c r="U234" s="1392" t="str">
        <f>O234</f>
        <v>Weather-normalized</v>
      </c>
      <c r="V234" s="1308"/>
    </row>
    <row r="235" spans="2:22" x14ac:dyDescent="0.2">
      <c r="C235" s="1266" t="s">
        <v>890</v>
      </c>
      <c r="D235" s="1363">
        <f t="shared" ref="D235:D240" si="136">D236-1</f>
        <v>2011</v>
      </c>
      <c r="E235" s="1265"/>
      <c r="F235" s="1313" t="str">
        <f>F192</f>
        <v>Actual</v>
      </c>
      <c r="G235" s="1301">
        <v>32.5</v>
      </c>
      <c r="H235" s="1297" t="str">
        <f t="shared" ref="H235:H241" si="137">IF(D235=RebaseYear,"Board-approved","")</f>
        <v/>
      </c>
      <c r="I235" s="1324"/>
      <c r="J235" s="1265"/>
      <c r="K235" s="1282" t="str">
        <f>F235</f>
        <v>Actual</v>
      </c>
      <c r="L235" s="1301">
        <v>201696</v>
      </c>
      <c r="M235" s="1301">
        <v>199092.5400411548</v>
      </c>
      <c r="N235" s="1297" t="str">
        <f>H235</f>
        <v/>
      </c>
      <c r="O235" s="1492"/>
      <c r="P235" s="1265"/>
      <c r="Q235" s="1385" t="str">
        <f>K235</f>
        <v>Actual</v>
      </c>
      <c r="R235" s="1497">
        <f>IF(G235=0,"",L235/G235)</f>
        <v>6206.0307692307688</v>
      </c>
      <c r="S235" s="1497">
        <f>IF(G235=0,"",M235/G235)</f>
        <v>6125.9243089586089</v>
      </c>
      <c r="T235" s="1329" t="str">
        <f>N235</f>
        <v/>
      </c>
      <c r="U235" s="1329" t="str">
        <f>IF(T235="","",IF(I235=0,"",O235/I235))</f>
        <v/>
      </c>
      <c r="V235" s="1309"/>
    </row>
    <row r="236" spans="2:22" x14ac:dyDescent="0.2">
      <c r="C236" s="1266" t="s">
        <v>890</v>
      </c>
      <c r="D236" s="1363">
        <f t="shared" si="136"/>
        <v>2012</v>
      </c>
      <c r="E236" s="1265"/>
      <c r="F236" s="1314" t="str">
        <f t="shared" ref="F236:F241" si="138">F193</f>
        <v>Actual</v>
      </c>
      <c r="G236" s="1301">
        <v>31.5</v>
      </c>
      <c r="H236" s="1297" t="str">
        <f t="shared" si="137"/>
        <v>Board-approved</v>
      </c>
      <c r="I236" s="1494">
        <v>32.02858627679273</v>
      </c>
      <c r="J236" s="1265"/>
      <c r="K236" s="1282" t="str">
        <f t="shared" ref="K236:K241" si="139">F236</f>
        <v>Actual</v>
      </c>
      <c r="L236" s="1301">
        <v>262229</v>
      </c>
      <c r="M236" s="1301">
        <v>261880.00213059725</v>
      </c>
      <c r="N236" s="1297" t="str">
        <f t="shared" ref="N236:N241" si="140">H236</f>
        <v>Board-approved</v>
      </c>
      <c r="O236" s="1493">
        <v>188991.4155690055</v>
      </c>
      <c r="P236" s="1265"/>
      <c r="Q236" s="1385" t="str">
        <f t="shared" ref="Q236:Q241" si="141">K236</f>
        <v>Actual</v>
      </c>
      <c r="R236" s="1497">
        <f t="shared" ref="R236:R241" si="142">IF(G236=0,"",L236/G236)</f>
        <v>8324.730158730159</v>
      </c>
      <c r="S236" s="1497">
        <f t="shared" ref="S236:S241" si="143">IF(G236=0,"",M236/G236)</f>
        <v>8313.650861288801</v>
      </c>
      <c r="T236" s="1329" t="str">
        <f t="shared" ref="T236:T241" si="144">N236</f>
        <v>Board-approved</v>
      </c>
      <c r="U236" s="1497">
        <f t="shared" ref="U236:U241" si="145">IF(T236="","",IF(I236=0,"",O236/I236))</f>
        <v>5900.7105070367998</v>
      </c>
      <c r="V236" s="1309"/>
    </row>
    <row r="237" spans="2:22" x14ac:dyDescent="0.2">
      <c r="C237" s="1266" t="s">
        <v>890</v>
      </c>
      <c r="D237" s="1363">
        <f t="shared" si="136"/>
        <v>2013</v>
      </c>
      <c r="E237" s="1265"/>
      <c r="F237" s="1314" t="str">
        <f t="shared" si="138"/>
        <v>Actual</v>
      </c>
      <c r="G237" s="1301">
        <v>31.5</v>
      </c>
      <c r="H237" s="1297" t="str">
        <f t="shared" si="137"/>
        <v/>
      </c>
      <c r="I237" s="1325"/>
      <c r="J237" s="1265"/>
      <c r="K237" s="1282" t="str">
        <f t="shared" si="139"/>
        <v>Actual</v>
      </c>
      <c r="L237" s="1301">
        <v>260597.00000000003</v>
      </c>
      <c r="M237" s="1301">
        <v>261469.90888447274</v>
      </c>
      <c r="N237" s="1297" t="str">
        <f t="shared" si="140"/>
        <v/>
      </c>
      <c r="O237" s="1325"/>
      <c r="P237" s="1265"/>
      <c r="Q237" s="1385" t="str">
        <f t="shared" si="141"/>
        <v>Actual</v>
      </c>
      <c r="R237" s="1495">
        <f t="shared" si="142"/>
        <v>8272.9206349206361</v>
      </c>
      <c r="S237" s="1497">
        <f t="shared" si="143"/>
        <v>8300.6320280785003</v>
      </c>
      <c r="T237" s="1329" t="str">
        <f t="shared" si="144"/>
        <v/>
      </c>
      <c r="U237" s="1329" t="str">
        <f t="shared" si="145"/>
        <v/>
      </c>
      <c r="V237" s="1309"/>
    </row>
    <row r="238" spans="2:22" x14ac:dyDescent="0.2">
      <c r="C238" s="1266" t="s">
        <v>890</v>
      </c>
      <c r="D238" s="1363">
        <f t="shared" si="136"/>
        <v>2014</v>
      </c>
      <c r="E238" s="1265"/>
      <c r="F238" s="1314" t="str">
        <f t="shared" si="138"/>
        <v>Actual</v>
      </c>
      <c r="G238" s="1301">
        <v>31</v>
      </c>
      <c r="H238" s="1297" t="str">
        <f t="shared" si="137"/>
        <v/>
      </c>
      <c r="I238" s="1324"/>
      <c r="J238" s="1265"/>
      <c r="K238" s="1282" t="str">
        <f t="shared" si="139"/>
        <v>Actual</v>
      </c>
      <c r="L238" s="1301">
        <v>259677</v>
      </c>
      <c r="M238" s="1301">
        <v>260625.46402764088</v>
      </c>
      <c r="N238" s="1297" t="str">
        <f t="shared" si="140"/>
        <v/>
      </c>
      <c r="O238" s="1324"/>
      <c r="P238" s="1265"/>
      <c r="Q238" s="1385" t="str">
        <f t="shared" si="141"/>
        <v>Actual</v>
      </c>
      <c r="R238" s="1495">
        <f t="shared" si="142"/>
        <v>8376.677419354839</v>
      </c>
      <c r="S238" s="1497">
        <f t="shared" si="143"/>
        <v>8407.273033149706</v>
      </c>
      <c r="T238" s="1329" t="str">
        <f t="shared" si="144"/>
        <v/>
      </c>
      <c r="U238" s="1329" t="str">
        <f t="shared" si="145"/>
        <v/>
      </c>
      <c r="V238" s="1309"/>
    </row>
    <row r="239" spans="2:22" x14ac:dyDescent="0.2">
      <c r="C239" s="1266" t="s">
        <v>890</v>
      </c>
      <c r="D239" s="1363">
        <f t="shared" si="136"/>
        <v>2015</v>
      </c>
      <c r="E239" s="1265"/>
      <c r="F239" s="1314" t="str">
        <f t="shared" si="138"/>
        <v>Actual</v>
      </c>
      <c r="G239" s="1301">
        <v>31</v>
      </c>
      <c r="H239" s="1297" t="str">
        <f t="shared" si="137"/>
        <v/>
      </c>
      <c r="I239" s="1324"/>
      <c r="J239" s="1265"/>
      <c r="K239" s="1282" t="str">
        <f t="shared" si="139"/>
        <v>Actual</v>
      </c>
      <c r="L239" s="1301">
        <v>259606.99999999997</v>
      </c>
      <c r="M239" s="1301">
        <v>263219.87749884586</v>
      </c>
      <c r="N239" s="1297" t="str">
        <f t="shared" si="140"/>
        <v/>
      </c>
      <c r="O239" s="1324"/>
      <c r="P239" s="1265"/>
      <c r="Q239" s="1385" t="str">
        <f t="shared" si="141"/>
        <v>Actual</v>
      </c>
      <c r="R239" s="1495">
        <f t="shared" si="142"/>
        <v>8374.4193548387084</v>
      </c>
      <c r="S239" s="1497">
        <f t="shared" si="143"/>
        <v>8490.9637902853501</v>
      </c>
      <c r="T239" s="1329" t="str">
        <f t="shared" si="144"/>
        <v/>
      </c>
      <c r="U239" s="1329" t="str">
        <f t="shared" si="145"/>
        <v/>
      </c>
      <c r="V239" s="1309"/>
    </row>
    <row r="240" spans="2:22" x14ac:dyDescent="0.2">
      <c r="C240" s="1266" t="s">
        <v>313</v>
      </c>
      <c r="D240" s="1363">
        <f t="shared" si="136"/>
        <v>2016</v>
      </c>
      <c r="E240" s="1265"/>
      <c r="F240" s="1314" t="str">
        <f t="shared" si="138"/>
        <v>Forecast</v>
      </c>
      <c r="G240" s="1301">
        <v>31</v>
      </c>
      <c r="H240" s="1297" t="str">
        <f t="shared" si="137"/>
        <v/>
      </c>
      <c r="I240" s="1324"/>
      <c r="J240" s="1265"/>
      <c r="K240" s="1282" t="str">
        <f t="shared" si="139"/>
        <v>Forecast</v>
      </c>
      <c r="L240" s="1303"/>
      <c r="M240" s="1301">
        <v>262206.68799682555</v>
      </c>
      <c r="N240" s="1297" t="str">
        <f t="shared" si="140"/>
        <v/>
      </c>
      <c r="O240" s="1324"/>
      <c r="P240" s="1265"/>
      <c r="Q240" s="1385" t="str">
        <f t="shared" si="141"/>
        <v>Forecast</v>
      </c>
      <c r="R240" s="1387">
        <f t="shared" si="142"/>
        <v>0</v>
      </c>
      <c r="S240" s="1497">
        <f t="shared" si="143"/>
        <v>8458.2802579621148</v>
      </c>
      <c r="T240" s="1329" t="str">
        <f t="shared" si="144"/>
        <v/>
      </c>
      <c r="U240" s="1329" t="str">
        <f t="shared" si="145"/>
        <v/>
      </c>
      <c r="V240" s="1309"/>
    </row>
    <row r="241" spans="2:22" ht="13.5" thickBot="1" x14ac:dyDescent="0.25">
      <c r="C241" s="1267" t="s">
        <v>314</v>
      </c>
      <c r="D241" s="1364">
        <f>TestYear</f>
        <v>2017</v>
      </c>
      <c r="E241" s="1271"/>
      <c r="F241" s="1315" t="str">
        <f t="shared" si="138"/>
        <v>Forecast</v>
      </c>
      <c r="G241" s="1302">
        <v>31</v>
      </c>
      <c r="H241" s="1298" t="str">
        <f t="shared" si="137"/>
        <v/>
      </c>
      <c r="I241" s="1326"/>
      <c r="J241" s="1271"/>
      <c r="K241" s="1283" t="str">
        <f t="shared" si="139"/>
        <v>Forecast</v>
      </c>
      <c r="L241" s="1304"/>
      <c r="M241" s="1302">
        <v>264832.40910400957</v>
      </c>
      <c r="N241" s="1298" t="str">
        <f t="shared" si="140"/>
        <v/>
      </c>
      <c r="O241" s="1326"/>
      <c r="P241" s="1271"/>
      <c r="Q241" s="1386" t="str">
        <f t="shared" si="141"/>
        <v>Forecast</v>
      </c>
      <c r="R241" s="1388">
        <f t="shared" si="142"/>
        <v>0</v>
      </c>
      <c r="S241" s="1498">
        <f t="shared" si="143"/>
        <v>8542.9809388390186</v>
      </c>
      <c r="T241" s="1355" t="str">
        <f t="shared" si="144"/>
        <v/>
      </c>
      <c r="U241" s="1355" t="str">
        <f t="shared" si="145"/>
        <v/>
      </c>
      <c r="V241" s="1309"/>
    </row>
    <row r="242" spans="2:22" ht="13.5" thickBot="1" x14ac:dyDescent="0.25">
      <c r="B242" s="1329"/>
      <c r="C242" s="1366"/>
      <c r="I242" s="1408">
        <f>SUM(I235:I240)</f>
        <v>32.02858627679273</v>
      </c>
      <c r="O242" s="1408">
        <f>SUM(O235:O240)</f>
        <v>188991.4155690055</v>
      </c>
      <c r="U242" s="1408">
        <f>SUM(U235:U240)</f>
        <v>5900.7105070367998</v>
      </c>
    </row>
    <row r="243" spans="2:22" ht="39" thickBot="1" x14ac:dyDescent="0.25">
      <c r="C243" s="1400" t="s">
        <v>952</v>
      </c>
      <c r="D243" s="1399" t="s">
        <v>15</v>
      </c>
      <c r="E243" s="1361"/>
      <c r="F243" s="1361"/>
      <c r="G243" s="1435" t="s">
        <v>1222</v>
      </c>
      <c r="H243" s="1361"/>
      <c r="I243" s="1394" t="s">
        <v>1235</v>
      </c>
      <c r="J243" s="1396"/>
      <c r="K243" s="1395" t="s">
        <v>15</v>
      </c>
      <c r="L243" s="1874" t="s">
        <v>1222</v>
      </c>
      <c r="M243" s="1874"/>
      <c r="N243" s="1361"/>
      <c r="O243" s="1394" t="str">
        <f>I243</f>
        <v>Test Year Versus Board-approved</v>
      </c>
      <c r="P243" s="1397"/>
      <c r="Q243" s="1395" t="s">
        <v>15</v>
      </c>
      <c r="R243" s="1874" t="s">
        <v>1222</v>
      </c>
      <c r="S243" s="1874"/>
      <c r="T243" s="1361"/>
      <c r="U243" s="1394" t="str">
        <f>O243</f>
        <v>Test Year Versus Board-approved</v>
      </c>
    </row>
    <row r="244" spans="2:22" x14ac:dyDescent="0.2">
      <c r="C244" s="1265"/>
      <c r="D244" s="1377">
        <f t="shared" ref="D244:D250" si="146">D235</f>
        <v>2011</v>
      </c>
      <c r="E244" s="1329"/>
      <c r="F244" s="1329"/>
      <c r="G244" s="1372"/>
      <c r="H244" s="1329"/>
      <c r="I244" s="1378"/>
      <c r="J244" s="1384"/>
      <c r="K244" s="1363">
        <f>D244</f>
        <v>2011</v>
      </c>
      <c r="L244" s="1351"/>
      <c r="M244" s="1351"/>
      <c r="N244" s="1329"/>
      <c r="O244" s="1324"/>
      <c r="P244" s="1265"/>
      <c r="Q244" s="1363">
        <f>K244</f>
        <v>2011</v>
      </c>
      <c r="R244" s="1330"/>
      <c r="S244" s="1330"/>
      <c r="T244" s="1329"/>
      <c r="U244" s="1324"/>
    </row>
    <row r="245" spans="2:22" x14ac:dyDescent="0.2">
      <c r="C245" s="1265"/>
      <c r="D245" s="1365">
        <f t="shared" si="146"/>
        <v>2012</v>
      </c>
      <c r="E245" s="1329"/>
      <c r="F245" s="1329"/>
      <c r="G245" s="1373">
        <f t="shared" ref="G245:G250" si="147">IF(G235=0,"",G236/G235-1)</f>
        <v>-3.0769230769230771E-2</v>
      </c>
      <c r="H245" s="1329"/>
      <c r="I245" s="1378"/>
      <c r="J245" s="1384"/>
      <c r="K245" s="1363">
        <f t="shared" ref="K245:K251" si="148">D245</f>
        <v>2012</v>
      </c>
      <c r="L245" s="1353">
        <f t="shared" ref="L245:M248" si="149">IF(L235=0,"",L236/L235-1)</f>
        <v>0.30011998254799299</v>
      </c>
      <c r="M245" s="1353">
        <f t="shared" si="149"/>
        <v>0.31536823065526987</v>
      </c>
      <c r="N245" s="1329"/>
      <c r="O245" s="1324"/>
      <c r="P245" s="1265"/>
      <c r="Q245" s="1363">
        <f t="shared" ref="Q245:Q251" si="150">K245</f>
        <v>2012</v>
      </c>
      <c r="R245" s="1374">
        <f t="shared" ref="R245:S248" si="151">IF(R235="","",IF(R235=0,"",R236/R235-1))</f>
        <v>0.34139363278761192</v>
      </c>
      <c r="S245" s="1374">
        <f t="shared" si="151"/>
        <v>0.35712595226337362</v>
      </c>
      <c r="T245" s="1329"/>
      <c r="U245" s="1324"/>
    </row>
    <row r="246" spans="2:22" x14ac:dyDescent="0.2">
      <c r="C246" s="1265"/>
      <c r="D246" s="1365">
        <f t="shared" si="146"/>
        <v>2013</v>
      </c>
      <c r="E246" s="1329"/>
      <c r="F246" s="1329"/>
      <c r="G246" s="1373">
        <f t="shared" si="147"/>
        <v>0</v>
      </c>
      <c r="H246" s="1329"/>
      <c r="I246" s="1378"/>
      <c r="J246" s="1384"/>
      <c r="K246" s="1363">
        <f t="shared" si="148"/>
        <v>2013</v>
      </c>
      <c r="L246" s="1353">
        <f t="shared" si="149"/>
        <v>-6.2235679501503327E-3</v>
      </c>
      <c r="M246" s="1353">
        <f t="shared" si="149"/>
        <v>-1.5659586176419715E-3</v>
      </c>
      <c r="N246" s="1329"/>
      <c r="O246" s="1324"/>
      <c r="P246" s="1265"/>
      <c r="Q246" s="1363">
        <f t="shared" si="150"/>
        <v>2013</v>
      </c>
      <c r="R246" s="1374">
        <f t="shared" si="151"/>
        <v>-6.2235679501503327E-3</v>
      </c>
      <c r="S246" s="1374">
        <f t="shared" si="151"/>
        <v>-1.5659586176418605E-3</v>
      </c>
      <c r="T246" s="1329"/>
      <c r="U246" s="1324"/>
    </row>
    <row r="247" spans="2:22" x14ac:dyDescent="0.2">
      <c r="C247" s="1265"/>
      <c r="D247" s="1365">
        <f t="shared" si="146"/>
        <v>2014</v>
      </c>
      <c r="E247" s="1329"/>
      <c r="F247" s="1329"/>
      <c r="G247" s="1373">
        <f t="shared" si="147"/>
        <v>-1.5873015873015928E-2</v>
      </c>
      <c r="H247" s="1329"/>
      <c r="I247" s="1378"/>
      <c r="J247" s="1384"/>
      <c r="K247" s="1363">
        <f t="shared" si="148"/>
        <v>2014</v>
      </c>
      <c r="L247" s="1353">
        <f t="shared" si="149"/>
        <v>-3.5303552995622489E-3</v>
      </c>
      <c r="M247" s="1353">
        <f t="shared" si="149"/>
        <v>-3.2296062687847682E-3</v>
      </c>
      <c r="N247" s="1329"/>
      <c r="O247" s="1324"/>
      <c r="P247" s="1265"/>
      <c r="Q247" s="1363">
        <f t="shared" si="150"/>
        <v>2014</v>
      </c>
      <c r="R247" s="1374">
        <f t="shared" si="151"/>
        <v>1.2541735743993199E-2</v>
      </c>
      <c r="S247" s="1374">
        <f t="shared" si="151"/>
        <v>1.284733556558959E-2</v>
      </c>
      <c r="T247" s="1329"/>
      <c r="U247" s="1324"/>
    </row>
    <row r="248" spans="2:22" x14ac:dyDescent="0.2">
      <c r="C248" s="1265"/>
      <c r="D248" s="1365">
        <f t="shared" si="146"/>
        <v>2015</v>
      </c>
      <c r="E248" s="1329"/>
      <c r="F248" s="1329"/>
      <c r="G248" s="1373">
        <f t="shared" si="147"/>
        <v>0</v>
      </c>
      <c r="H248" s="1329"/>
      <c r="I248" s="1378"/>
      <c r="J248" s="1384"/>
      <c r="K248" s="1363">
        <f t="shared" si="148"/>
        <v>2015</v>
      </c>
      <c r="L248" s="1353">
        <f t="shared" si="149"/>
        <v>-2.6956565271485378E-4</v>
      </c>
      <c r="M248" s="1353">
        <f t="shared" si="149"/>
        <v>9.9545663386515493E-3</v>
      </c>
      <c r="N248" s="1329"/>
      <c r="O248" s="1324"/>
      <c r="P248" s="1265"/>
      <c r="Q248" s="1363">
        <f t="shared" si="150"/>
        <v>2015</v>
      </c>
      <c r="R248" s="1374">
        <f t="shared" si="151"/>
        <v>-2.6956565271485378E-4</v>
      </c>
      <c r="S248" s="1374">
        <f t="shared" si="151"/>
        <v>9.9545663386515493E-3</v>
      </c>
      <c r="T248" s="1329"/>
      <c r="U248" s="1324"/>
    </row>
    <row r="249" spans="2:22" x14ac:dyDescent="0.2">
      <c r="C249" s="1265"/>
      <c r="D249" s="1365">
        <f t="shared" si="146"/>
        <v>2016</v>
      </c>
      <c r="E249" s="1329"/>
      <c r="F249" s="1329"/>
      <c r="G249" s="1373">
        <f t="shared" si="147"/>
        <v>0</v>
      </c>
      <c r="H249" s="1329"/>
      <c r="I249" s="1378"/>
      <c r="J249" s="1384"/>
      <c r="K249" s="1363">
        <f t="shared" si="148"/>
        <v>2016</v>
      </c>
      <c r="L249" s="1353" t="str">
        <f>IF(K240="Forecast","",IF(L239=0,"",L240/L239-1))</f>
        <v/>
      </c>
      <c r="M249" s="1353">
        <f>IF(M239=0,"",M240/M239-1)</f>
        <v>-3.8492134851204618E-3</v>
      </c>
      <c r="N249" s="1329"/>
      <c r="O249" s="1324"/>
      <c r="P249" s="1265"/>
      <c r="Q249" s="1363">
        <f t="shared" si="150"/>
        <v>2016</v>
      </c>
      <c r="R249" s="1374" t="str">
        <f>IF(Q240="Forecast","",IF(R239=0,"",R240/R239-1))</f>
        <v/>
      </c>
      <c r="S249" s="1374">
        <f>IF(S239="","",IF(S239=0,"",S240/S239-1))</f>
        <v>-3.8492134851203508E-3</v>
      </c>
      <c r="T249" s="1329"/>
      <c r="U249" s="1324"/>
    </row>
    <row r="250" spans="2:22" x14ac:dyDescent="0.2">
      <c r="C250" s="1265"/>
      <c r="D250" s="1365">
        <f t="shared" si="146"/>
        <v>2017</v>
      </c>
      <c r="E250" s="1329"/>
      <c r="F250" s="1329"/>
      <c r="G250" s="1373">
        <f t="shared" si="147"/>
        <v>0</v>
      </c>
      <c r="H250" s="1329"/>
      <c r="I250" s="1379">
        <f>IF(I242=0,"",G241/I242-1)</f>
        <v>-3.2114632469370741E-2</v>
      </c>
      <c r="J250" s="1384"/>
      <c r="K250" s="1363">
        <f t="shared" si="148"/>
        <v>2017</v>
      </c>
      <c r="L250" s="1353" t="str">
        <f>IF(K241="Forecast","",IF(L240=0,"",L241/L240-1))</f>
        <v/>
      </c>
      <c r="M250" s="1353">
        <f>IF(M240=0,"",M241/M240-1)</f>
        <v>1.0013936437867743E-2</v>
      </c>
      <c r="N250" s="1329"/>
      <c r="O250" s="1354">
        <f>IF(O242=0,"",M241/O242-1)</f>
        <v>0.40129332491989622</v>
      </c>
      <c r="P250" s="1265"/>
      <c r="Q250" s="1363">
        <f t="shared" si="150"/>
        <v>2017</v>
      </c>
      <c r="R250" s="1374" t="str">
        <f>IF(Q241="Forecast","",IF(R240=0,"",R241/R240-1))</f>
        <v/>
      </c>
      <c r="S250" s="1374">
        <f>IF(S240="","",IF(S240=0,"",S241/S240-1))</f>
        <v>1.0013936437867743E-2</v>
      </c>
      <c r="T250" s="1329"/>
      <c r="U250" s="1354">
        <f>IF(U242=0,"",S241/U242-1)</f>
        <v>0.44778852117066581</v>
      </c>
    </row>
    <row r="251" spans="2:22" ht="26.25" thickBot="1" x14ac:dyDescent="0.25">
      <c r="C251" s="1271"/>
      <c r="D251" s="1405" t="s">
        <v>1221</v>
      </c>
      <c r="E251" s="1355"/>
      <c r="F251" s="1355"/>
      <c r="G251" s="1375">
        <f>IF(G235=0,"",(G241/G235)^(1/($D241-$D235-1))-1)</f>
        <v>-9.4060606130337288E-3</v>
      </c>
      <c r="H251" s="1355"/>
      <c r="I251" s="1406">
        <f>IF(I242=0,"",(G241/I242)^(1/(TestYear-RebaseYear-1))-1)</f>
        <v>-8.1271994517662094E-3</v>
      </c>
      <c r="J251" s="1360"/>
      <c r="K251" s="1404" t="str">
        <f t="shared" si="148"/>
        <v>Geometric Mean</v>
      </c>
      <c r="L251" s="1358">
        <f>IF(L235=0,"",(L239/L235)^(1/($D239-$D235-1))-1)</f>
        <v>8.7776580525964265E-2</v>
      </c>
      <c r="M251" s="1358">
        <f>IF(M235=0,"",(M241/M235)^(1/($D241-$D235-1))-1)</f>
        <v>5.8725147313427373E-2</v>
      </c>
      <c r="N251" s="1355"/>
      <c r="O251" s="1371">
        <f>IF(O242=0,"",(M241/O242)^(1/(TestYear-RebaseYear-1))-1)</f>
        <v>8.80084374609027E-2</v>
      </c>
      <c r="P251" s="1271"/>
      <c r="Q251" s="1404" t="str">
        <f t="shared" si="150"/>
        <v>Geometric Mean</v>
      </c>
      <c r="R251" s="1376">
        <f>IF(R235="","",IF(R235=0,"",(R239/R235)^(1/($D239-$D235-1))-1))</f>
        <v>0.1050457537071956</v>
      </c>
      <c r="S251" s="1358">
        <f>IF(S235="","",IF(S235=0,"",(S241/S235)^(1/($D241-$D235-1))-1))</f>
        <v>6.8778139273317551E-2</v>
      </c>
      <c r="T251" s="1355"/>
      <c r="U251" s="1371">
        <f>IF(U242=0,"",(S241/U242)^(1/(TestYear-RebaseYear-1))-1)</f>
        <v>9.6923352328576851E-2</v>
      </c>
    </row>
    <row r="253" spans="2:22" ht="13.5" thickBot="1" x14ac:dyDescent="0.25">
      <c r="Q253" s="1355"/>
      <c r="R253" s="1355"/>
      <c r="S253" s="1355"/>
      <c r="T253" s="1355"/>
      <c r="U253" s="1355"/>
    </row>
    <row r="254" spans="2:22" x14ac:dyDescent="0.2">
      <c r="C254" s="1264"/>
      <c r="D254" s="1268" t="s">
        <v>1205</v>
      </c>
      <c r="E254" s="1268"/>
      <c r="F254" s="1876" t="s">
        <v>1198</v>
      </c>
      <c r="G254" s="1877"/>
      <c r="H254" s="1877"/>
      <c r="I254" s="1878"/>
      <c r="K254" s="1859" t="str">
        <f>IF(ISBLANK(N231),"",CONCATENATE("Demand (",N231,")"))</f>
        <v>Demand (kWh)</v>
      </c>
      <c r="L254" s="1860"/>
      <c r="M254" s="1860"/>
      <c r="N254" s="1860"/>
      <c r="O254" s="1861"/>
      <c r="Q254" s="1869" t="str">
        <f>CONCATENATE("Demand (",N231,") per ",LEFT(F233,LEN(F233)-1))</f>
        <v>Demand (kWh) per Customer</v>
      </c>
      <c r="R254" s="1879"/>
      <c r="S254" s="1879"/>
      <c r="T254" s="1879"/>
      <c r="U254" s="1870"/>
    </row>
    <row r="255" spans="2:22" ht="39" thickBot="1" x14ac:dyDescent="0.25">
      <c r="C255" s="1271"/>
      <c r="D255" s="1277" t="str">
        <f>CONCATENATE("(for ",TestYear," Cost of Service")</f>
        <v>(for 2017 Cost of Service</v>
      </c>
      <c r="E255" s="1266"/>
      <c r="F255" s="1872"/>
      <c r="G255" s="1873"/>
      <c r="H255" s="1873"/>
      <c r="I255" s="1296"/>
      <c r="K255" s="1284"/>
      <c r="L255" s="1433" t="s">
        <v>1226</v>
      </c>
      <c r="M255" s="1433" t="s">
        <v>1210</v>
      </c>
      <c r="N255" s="1305"/>
      <c r="O255" s="1306" t="str">
        <f>M255</f>
        <v>Weather-normalized</v>
      </c>
      <c r="Q255" s="1403"/>
      <c r="R255" s="1433" t="str">
        <f>L255</f>
        <v>Actual (Weather actual)</v>
      </c>
      <c r="S255" s="1433" t="str">
        <f>M255</f>
        <v>Weather-normalized</v>
      </c>
      <c r="T255" s="1433"/>
      <c r="U255" s="1434" t="str">
        <f>O255</f>
        <v>Weather-normalized</v>
      </c>
    </row>
    <row r="256" spans="2:22" x14ac:dyDescent="0.2">
      <c r="C256" s="1266" t="s">
        <v>890</v>
      </c>
      <c r="D256" s="1363">
        <f t="shared" ref="D256:D261" si="152">D257-1</f>
        <v>2011</v>
      </c>
      <c r="E256" s="1265"/>
      <c r="F256" s="1313" t="str">
        <f t="shared" ref="F256:F262" si="153">F235</f>
        <v>Actual</v>
      </c>
      <c r="G256" s="1311">
        <v>2054</v>
      </c>
      <c r="H256" s="2" t="str">
        <f t="shared" ref="H256:H262" si="154">IF(D256=RebaseYear,"Board-approved","")</f>
        <v/>
      </c>
      <c r="I256" s="1383"/>
      <c r="K256" s="1282" t="str">
        <f t="shared" ref="K256:K262" si="155">K235</f>
        <v>Actual</v>
      </c>
      <c r="L256" s="1294"/>
      <c r="M256" s="1294"/>
      <c r="N256" s="1258" t="str">
        <f t="shared" ref="N256:N262" si="156">N235</f>
        <v/>
      </c>
      <c r="O256" s="1324"/>
      <c r="Q256" s="1385" t="str">
        <f>K256</f>
        <v>Actual</v>
      </c>
      <c r="R256" s="1329">
        <f>IF(G256=0,"",L256/G256)</f>
        <v>0</v>
      </c>
      <c r="S256" s="1309">
        <f>IF(G256=0,"",M256/G256)</f>
        <v>0</v>
      </c>
      <c r="T256" s="1309" t="str">
        <f>N256</f>
        <v/>
      </c>
      <c r="U256" s="1265" t="str">
        <f>IF(T256="","",IF(I256=0,"",O256/I256))</f>
        <v/>
      </c>
    </row>
    <row r="257" spans="3:21" x14ac:dyDescent="0.2">
      <c r="C257" s="1266" t="s">
        <v>890</v>
      </c>
      <c r="D257" s="1363">
        <f t="shared" si="152"/>
        <v>2012</v>
      </c>
      <c r="E257" s="1265"/>
      <c r="F257" s="1314" t="str">
        <f t="shared" si="153"/>
        <v>Actual</v>
      </c>
      <c r="G257" s="1311">
        <v>3074</v>
      </c>
      <c r="H257" s="2" t="str">
        <f t="shared" si="154"/>
        <v>Board-approved</v>
      </c>
      <c r="I257" s="1311">
        <v>2570.1552505609129</v>
      </c>
      <c r="K257" s="1282" t="str">
        <f t="shared" si="155"/>
        <v>Actual</v>
      </c>
      <c r="L257" s="1294"/>
      <c r="M257" s="1294"/>
      <c r="N257" s="1258" t="str">
        <f t="shared" si="156"/>
        <v>Board-approved</v>
      </c>
      <c r="O257" s="1324"/>
      <c r="Q257" s="1385" t="str">
        <f t="shared" ref="Q257:Q262" si="157">K257</f>
        <v>Actual</v>
      </c>
      <c r="R257" s="1329">
        <f t="shared" ref="R257:R262" si="158">IF(G257=0,"",L257/G257)</f>
        <v>0</v>
      </c>
      <c r="S257" s="1309">
        <f t="shared" ref="S257:S262" si="159">IF(G257=0,"",M257/G257)</f>
        <v>0</v>
      </c>
      <c r="T257" s="1309" t="str">
        <f t="shared" ref="T257:T262" si="160">N257</f>
        <v>Board-approved</v>
      </c>
      <c r="U257" s="1265">
        <f t="shared" ref="U257:U262" si="161">IF(T257="","",IF(I257=0,"",O257/I257))</f>
        <v>0</v>
      </c>
    </row>
    <row r="258" spans="3:21" x14ac:dyDescent="0.2">
      <c r="C258" s="1266" t="s">
        <v>890</v>
      </c>
      <c r="D258" s="1363">
        <f t="shared" si="152"/>
        <v>2013</v>
      </c>
      <c r="E258" s="1265"/>
      <c r="F258" s="1314" t="str">
        <f t="shared" si="153"/>
        <v>Actual</v>
      </c>
      <c r="G258" s="1311">
        <v>3090.9618508952203</v>
      </c>
      <c r="H258" s="2" t="str">
        <f t="shared" si="154"/>
        <v/>
      </c>
      <c r="I258" s="1328"/>
      <c r="K258" s="1282" t="str">
        <f t="shared" si="155"/>
        <v>Actual</v>
      </c>
      <c r="L258" s="1294"/>
      <c r="M258" s="1294"/>
      <c r="N258" s="1258" t="str">
        <f t="shared" si="156"/>
        <v/>
      </c>
      <c r="O258" s="1325"/>
      <c r="Q258" s="1385" t="str">
        <f t="shared" si="157"/>
        <v>Actual</v>
      </c>
      <c r="R258" s="1329">
        <f t="shared" si="158"/>
        <v>0</v>
      </c>
      <c r="S258" s="1309">
        <f t="shared" si="159"/>
        <v>0</v>
      </c>
      <c r="T258" s="1309" t="str">
        <f t="shared" si="160"/>
        <v/>
      </c>
      <c r="U258" s="1265" t="str">
        <f t="shared" si="161"/>
        <v/>
      </c>
    </row>
    <row r="259" spans="3:21" x14ac:dyDescent="0.2">
      <c r="C259" s="1266" t="s">
        <v>890</v>
      </c>
      <c r="D259" s="1363">
        <f t="shared" si="152"/>
        <v>2014</v>
      </c>
      <c r="E259" s="1265"/>
      <c r="F259" s="1314" t="str">
        <f t="shared" si="153"/>
        <v>Actual</v>
      </c>
      <c r="G259" s="1311">
        <v>1</v>
      </c>
      <c r="H259" s="2" t="str">
        <f t="shared" si="154"/>
        <v/>
      </c>
      <c r="I259" s="1324"/>
      <c r="K259" s="1282" t="str">
        <f t="shared" si="155"/>
        <v>Actual</v>
      </c>
      <c r="L259" s="1294"/>
      <c r="M259" s="1294"/>
      <c r="N259" s="1258" t="str">
        <f t="shared" si="156"/>
        <v/>
      </c>
      <c r="O259" s="1324"/>
      <c r="Q259" s="1385" t="str">
        <f t="shared" si="157"/>
        <v>Actual</v>
      </c>
      <c r="R259" s="1329">
        <f t="shared" si="158"/>
        <v>0</v>
      </c>
      <c r="S259" s="1309">
        <f t="shared" si="159"/>
        <v>0</v>
      </c>
      <c r="T259" s="1309" t="str">
        <f t="shared" si="160"/>
        <v/>
      </c>
      <c r="U259" s="1265" t="str">
        <f t="shared" si="161"/>
        <v/>
      </c>
    </row>
    <row r="260" spans="3:21" x14ac:dyDescent="0.2">
      <c r="C260" s="1266" t="s">
        <v>890</v>
      </c>
      <c r="D260" s="1363">
        <f t="shared" si="152"/>
        <v>2015</v>
      </c>
      <c r="E260" s="1265"/>
      <c r="F260" s="1314" t="str">
        <f t="shared" si="153"/>
        <v>Actual</v>
      </c>
      <c r="G260" s="1311">
        <v>2811.76</v>
      </c>
      <c r="H260" s="2" t="str">
        <f t="shared" si="154"/>
        <v/>
      </c>
      <c r="I260" s="1324"/>
      <c r="K260" s="1282" t="str">
        <f t="shared" si="155"/>
        <v>Actual</v>
      </c>
      <c r="L260" s="1294"/>
      <c r="M260" s="1294"/>
      <c r="N260" s="1258" t="str">
        <f t="shared" si="156"/>
        <v/>
      </c>
      <c r="O260" s="1324"/>
      <c r="Q260" s="1385" t="str">
        <f t="shared" si="157"/>
        <v>Actual</v>
      </c>
      <c r="R260" s="1329">
        <f t="shared" si="158"/>
        <v>0</v>
      </c>
      <c r="S260" s="1309">
        <f t="shared" si="159"/>
        <v>0</v>
      </c>
      <c r="T260" s="1309" t="str">
        <f t="shared" si="160"/>
        <v/>
      </c>
      <c r="U260" s="1265" t="str">
        <f t="shared" si="161"/>
        <v/>
      </c>
    </row>
    <row r="261" spans="3:21" x14ac:dyDescent="0.2">
      <c r="C261" s="1266" t="s">
        <v>1203</v>
      </c>
      <c r="D261" s="1363">
        <f t="shared" si="152"/>
        <v>2016</v>
      </c>
      <c r="E261" s="1265"/>
      <c r="F261" s="1314" t="str">
        <f t="shared" si="153"/>
        <v>Forecast</v>
      </c>
      <c r="G261" s="1311">
        <v>2882.7127071939685</v>
      </c>
      <c r="H261" s="2" t="str">
        <f t="shared" si="154"/>
        <v/>
      </c>
      <c r="I261" s="1324"/>
      <c r="K261" s="1282" t="str">
        <f t="shared" si="155"/>
        <v>Forecast</v>
      </c>
      <c r="L261" s="1303"/>
      <c r="M261" s="1334"/>
      <c r="N261" s="1258" t="str">
        <f t="shared" si="156"/>
        <v/>
      </c>
      <c r="O261" s="1324"/>
      <c r="Q261" s="1385" t="str">
        <f t="shared" si="157"/>
        <v>Forecast</v>
      </c>
      <c r="R261" s="1329">
        <f t="shared" si="158"/>
        <v>0</v>
      </c>
      <c r="S261" s="1309">
        <f t="shared" si="159"/>
        <v>0</v>
      </c>
      <c r="T261" s="1309" t="str">
        <f t="shared" si="160"/>
        <v/>
      </c>
      <c r="U261" s="1265" t="str">
        <f t="shared" si="161"/>
        <v/>
      </c>
    </row>
    <row r="262" spans="3:21" ht="13.5" thickBot="1" x14ac:dyDescent="0.25">
      <c r="C262" s="1267" t="s">
        <v>1204</v>
      </c>
      <c r="D262" s="1364">
        <f>TestYear</f>
        <v>2017</v>
      </c>
      <c r="E262" s="1271"/>
      <c r="F262" s="1315" t="str">
        <f t="shared" si="153"/>
        <v>Forecast</v>
      </c>
      <c r="G262" s="1312">
        <v>4435.0145771481475</v>
      </c>
      <c r="H262" s="1307" t="str">
        <f t="shared" si="154"/>
        <v/>
      </c>
      <c r="I262" s="1326"/>
      <c r="K262" s="1283" t="str">
        <f t="shared" si="155"/>
        <v>Forecast</v>
      </c>
      <c r="L262" s="1304"/>
      <c r="M262" s="1335"/>
      <c r="N262" s="1262" t="str">
        <f t="shared" si="156"/>
        <v/>
      </c>
      <c r="O262" s="1326"/>
      <c r="Q262" s="1319" t="str">
        <f t="shared" si="157"/>
        <v>Forecast</v>
      </c>
      <c r="R262" s="1310">
        <f t="shared" si="158"/>
        <v>0</v>
      </c>
      <c r="S262" s="1310">
        <f t="shared" si="159"/>
        <v>0</v>
      </c>
      <c r="T262" s="1310" t="str">
        <f t="shared" si="160"/>
        <v/>
      </c>
      <c r="U262" s="1271" t="str">
        <f t="shared" si="161"/>
        <v/>
      </c>
    </row>
    <row r="263" spans="3:21" ht="13.5" thickBot="1" x14ac:dyDescent="0.25">
      <c r="C263" s="1366"/>
      <c r="I263" s="1408">
        <f>SUM(I256:I261)</f>
        <v>2570.1552505609129</v>
      </c>
      <c r="J263" s="1329"/>
      <c r="O263" s="1408">
        <f>SUM(O256:O261)</f>
        <v>0</v>
      </c>
      <c r="U263" s="1408">
        <f>SUM(U256:U261)</f>
        <v>0</v>
      </c>
    </row>
    <row r="264" spans="3:21" ht="39" thickBot="1" x14ac:dyDescent="0.25">
      <c r="C264" s="1400" t="s">
        <v>952</v>
      </c>
      <c r="D264" s="1399" t="s">
        <v>15</v>
      </c>
      <c r="E264" s="1435"/>
      <c r="F264" s="1435"/>
      <c r="G264" s="1435" t="s">
        <v>1222</v>
      </c>
      <c r="H264" s="1435"/>
      <c r="I264" s="1394" t="str">
        <f>I243</f>
        <v>Test Year Versus Board-approved</v>
      </c>
      <c r="J264" s="1407"/>
      <c r="K264" s="1395" t="s">
        <v>15</v>
      </c>
      <c r="L264" s="1874" t="s">
        <v>1222</v>
      </c>
      <c r="M264" s="1874"/>
      <c r="N264" s="1435"/>
      <c r="O264" s="1394" t="str">
        <f>I264</f>
        <v>Test Year Versus Board-approved</v>
      </c>
      <c r="P264" s="1380"/>
      <c r="Q264" s="1395" t="s">
        <v>15</v>
      </c>
      <c r="R264" s="1874" t="s">
        <v>1222</v>
      </c>
      <c r="S264" s="1874"/>
      <c r="T264" s="1435"/>
      <c r="U264" s="1394" t="str">
        <f>O264</f>
        <v>Test Year Versus Board-approved</v>
      </c>
    </row>
    <row r="265" spans="3:21" x14ac:dyDescent="0.2">
      <c r="C265" s="1265"/>
      <c r="D265" s="1402">
        <f t="shared" ref="D265:D271" si="162">D256</f>
        <v>2011</v>
      </c>
      <c r="E265" s="1345"/>
      <c r="F265" s="1329"/>
      <c r="G265" s="1372"/>
      <c r="H265" s="1329"/>
      <c r="I265" s="1378"/>
      <c r="J265" s="1265"/>
      <c r="K265" s="1363">
        <f>D265</f>
        <v>2011</v>
      </c>
      <c r="L265" s="1351"/>
      <c r="M265" s="1351"/>
      <c r="N265" s="1329"/>
      <c r="O265" s="1381"/>
      <c r="P265" s="1265"/>
      <c r="Q265" s="1363">
        <f>K265</f>
        <v>2011</v>
      </c>
      <c r="R265" s="1330"/>
      <c r="S265" s="1330"/>
      <c r="T265" s="1329"/>
      <c r="U265" s="1324"/>
    </row>
    <row r="266" spans="3:21" x14ac:dyDescent="0.2">
      <c r="C266" s="1265"/>
      <c r="D266" s="1365">
        <f t="shared" si="162"/>
        <v>2012</v>
      </c>
      <c r="E266" s="1329"/>
      <c r="F266" s="1329"/>
      <c r="G266" s="1373">
        <f t="shared" ref="G266:G271" si="163">IF(G256=0,"",G257/G256-1)</f>
        <v>0.49659201557935728</v>
      </c>
      <c r="H266" s="1329"/>
      <c r="I266" s="1378"/>
      <c r="J266" s="1265"/>
      <c r="K266" s="1363">
        <f t="shared" ref="K266:K272" si="164">D266</f>
        <v>2012</v>
      </c>
      <c r="L266" s="1353" t="str">
        <f t="shared" ref="L266:M269" si="165">IF(L256=0,"",L257/L256-1)</f>
        <v/>
      </c>
      <c r="M266" s="1353" t="str">
        <f t="shared" si="165"/>
        <v/>
      </c>
      <c r="N266" s="1329"/>
      <c r="O266" s="1381"/>
      <c r="P266" s="1265"/>
      <c r="Q266" s="1363">
        <f t="shared" ref="Q266:Q272" si="166">K266</f>
        <v>2012</v>
      </c>
      <c r="R266" s="1374" t="str">
        <f t="shared" ref="R266:S269" si="167">IF(R256="","",IF(R256=0,"",R257/R256-1))</f>
        <v/>
      </c>
      <c r="S266" s="1374" t="str">
        <f t="shared" si="167"/>
        <v/>
      </c>
      <c r="T266" s="1329"/>
      <c r="U266" s="1324"/>
    </row>
    <row r="267" spans="3:21" x14ac:dyDescent="0.2">
      <c r="C267" s="1265"/>
      <c r="D267" s="1401">
        <f t="shared" si="162"/>
        <v>2013</v>
      </c>
      <c r="E267" s="1329"/>
      <c r="F267" s="1329"/>
      <c r="G267" s="1373">
        <f t="shared" si="163"/>
        <v>5.5178434922642516E-3</v>
      </c>
      <c r="H267" s="1329"/>
      <c r="I267" s="1378"/>
      <c r="J267" s="1265"/>
      <c r="K267" s="1363">
        <f t="shared" si="164"/>
        <v>2013</v>
      </c>
      <c r="L267" s="1353" t="str">
        <f t="shared" si="165"/>
        <v/>
      </c>
      <c r="M267" s="1353" t="str">
        <f t="shared" si="165"/>
        <v/>
      </c>
      <c r="N267" s="1329"/>
      <c r="O267" s="1381"/>
      <c r="P267" s="1265"/>
      <c r="Q267" s="1363">
        <f t="shared" si="166"/>
        <v>2013</v>
      </c>
      <c r="R267" s="1374" t="str">
        <f t="shared" si="167"/>
        <v/>
      </c>
      <c r="S267" s="1374" t="str">
        <f t="shared" si="167"/>
        <v/>
      </c>
      <c r="T267" s="1329"/>
      <c r="U267" s="1324"/>
    </row>
    <row r="268" spans="3:21" x14ac:dyDescent="0.2">
      <c r="C268" s="1265"/>
      <c r="D268" s="1365">
        <f t="shared" si="162"/>
        <v>2014</v>
      </c>
      <c r="E268" s="1329"/>
      <c r="F268" s="1329"/>
      <c r="G268" s="1373">
        <f t="shared" si="163"/>
        <v>-0.99967647611059629</v>
      </c>
      <c r="H268" s="1329"/>
      <c r="I268" s="1378"/>
      <c r="J268" s="1265"/>
      <c r="K268" s="1363">
        <f t="shared" si="164"/>
        <v>2014</v>
      </c>
      <c r="L268" s="1353" t="str">
        <f t="shared" si="165"/>
        <v/>
      </c>
      <c r="M268" s="1353" t="str">
        <f t="shared" si="165"/>
        <v/>
      </c>
      <c r="N268" s="1329"/>
      <c r="O268" s="1381"/>
      <c r="P268" s="1265"/>
      <c r="Q268" s="1363">
        <f t="shared" si="166"/>
        <v>2014</v>
      </c>
      <c r="R268" s="1374" t="str">
        <f t="shared" si="167"/>
        <v/>
      </c>
      <c r="S268" s="1374" t="str">
        <f t="shared" si="167"/>
        <v/>
      </c>
      <c r="T268" s="1329"/>
      <c r="U268" s="1324"/>
    </row>
    <row r="269" spans="3:21" x14ac:dyDescent="0.2">
      <c r="C269" s="1265"/>
      <c r="D269" s="1365">
        <f t="shared" si="162"/>
        <v>2015</v>
      </c>
      <c r="E269" s="1329"/>
      <c r="F269" s="1329"/>
      <c r="G269" s="1373">
        <f t="shared" si="163"/>
        <v>2810.76</v>
      </c>
      <c r="H269" s="1329"/>
      <c r="I269" s="1378"/>
      <c r="J269" s="1265"/>
      <c r="K269" s="1363">
        <f t="shared" si="164"/>
        <v>2015</v>
      </c>
      <c r="L269" s="1353" t="str">
        <f t="shared" si="165"/>
        <v/>
      </c>
      <c r="M269" s="1353" t="str">
        <f t="shared" si="165"/>
        <v/>
      </c>
      <c r="N269" s="1329"/>
      <c r="O269" s="1381"/>
      <c r="P269" s="1265"/>
      <c r="Q269" s="1363">
        <f t="shared" si="166"/>
        <v>2015</v>
      </c>
      <c r="R269" s="1374" t="str">
        <f t="shared" si="167"/>
        <v/>
      </c>
      <c r="S269" s="1374" t="str">
        <f t="shared" si="167"/>
        <v/>
      </c>
      <c r="T269" s="1329"/>
      <c r="U269" s="1324"/>
    </row>
    <row r="270" spans="3:21" x14ac:dyDescent="0.2">
      <c r="C270" s="1265"/>
      <c r="D270" s="1365">
        <f t="shared" si="162"/>
        <v>2016</v>
      </c>
      <c r="E270" s="1329"/>
      <c r="F270" s="1329"/>
      <c r="G270" s="1373">
        <f t="shared" si="163"/>
        <v>2.5234268640982327E-2</v>
      </c>
      <c r="H270" s="1329"/>
      <c r="I270" s="1378"/>
      <c r="J270" s="1265"/>
      <c r="K270" s="1363">
        <f t="shared" si="164"/>
        <v>2016</v>
      </c>
      <c r="L270" s="1353" t="str">
        <f>IF(K261="Forecast","",IF(L260=0,"",L261/L260-1))</f>
        <v/>
      </c>
      <c r="M270" s="1353" t="str">
        <f>IF(M260=0,"",M261/M260-1)</f>
        <v/>
      </c>
      <c r="N270" s="1329"/>
      <c r="O270" s="1381"/>
      <c r="P270" s="1265"/>
      <c r="Q270" s="1363">
        <f t="shared" si="166"/>
        <v>2016</v>
      </c>
      <c r="R270" s="1374" t="str">
        <f>IF(Q261="Forecast","",IF(R260=0,"",R261/R260-1))</f>
        <v/>
      </c>
      <c r="S270" s="1374" t="str">
        <f>IF(S260="","",IF(S260=0,"",S261/S260-1))</f>
        <v/>
      </c>
      <c r="T270" s="1329"/>
      <c r="U270" s="1324"/>
    </row>
    <row r="271" spans="3:21" x14ac:dyDescent="0.2">
      <c r="C271" s="1265"/>
      <c r="D271" s="1401">
        <f t="shared" si="162"/>
        <v>2017</v>
      </c>
      <c r="E271" s="1329"/>
      <c r="F271" s="1329"/>
      <c r="G271" s="1373">
        <f t="shared" si="163"/>
        <v>0.53848649783251878</v>
      </c>
      <c r="H271" s="1329"/>
      <c r="I271" s="1379">
        <f>IF(I263=0,"",G262/I263-1)</f>
        <v>0.72558236557120281</v>
      </c>
      <c r="J271" s="1265"/>
      <c r="K271" s="1363">
        <f t="shared" si="164"/>
        <v>2017</v>
      </c>
      <c r="L271" s="1353" t="str">
        <f>IF(K262="Forecast","",IF(L261=0,"",L262/L261-1))</f>
        <v/>
      </c>
      <c r="M271" s="1353" t="str">
        <f>IF(M261=0,"",M262/M261-1)</f>
        <v/>
      </c>
      <c r="N271" s="1329"/>
      <c r="O271" s="1382" t="str">
        <f>IF(O263=0,"",M262/O263-1)</f>
        <v/>
      </c>
      <c r="P271" s="1265"/>
      <c r="Q271" s="1363">
        <f t="shared" si="166"/>
        <v>2017</v>
      </c>
      <c r="R271" s="1374" t="str">
        <f>IF(Q262="Forecast","",IF(R261=0,"",R262/R261-1))</f>
        <v/>
      </c>
      <c r="S271" s="1374" t="str">
        <f>IF(S261="","",IF(S261=0,"",S262/S261-1))</f>
        <v/>
      </c>
      <c r="T271" s="1329"/>
      <c r="U271" s="1354" t="str">
        <f>IF(U263=0,"",S262/U263-1)</f>
        <v/>
      </c>
    </row>
    <row r="272" spans="3:21" ht="26.25" thickBot="1" x14ac:dyDescent="0.25">
      <c r="C272" s="1271"/>
      <c r="D272" s="1405" t="s">
        <v>1221</v>
      </c>
      <c r="E272" s="1355"/>
      <c r="F272" s="1355"/>
      <c r="G272" s="1375">
        <f>IF(G256=0,"",(G262/G256)^(1/($D262-$D256-1))-1)</f>
        <v>0.16643064866639268</v>
      </c>
      <c r="H272" s="1355"/>
      <c r="I272" s="1371">
        <f>IF(I263=0,"",(G262/I263)^(1/(TestYear-RebaseYear-1))-1)</f>
        <v>0.14613011378796403</v>
      </c>
      <c r="J272" s="1265"/>
      <c r="K272" s="1404" t="str">
        <f t="shared" si="164"/>
        <v>Geometric Mean</v>
      </c>
      <c r="L272" s="1358" t="str">
        <f>IF(L256=0,"",(L260/L256)^(1/($D260-$D256-1))-1)</f>
        <v/>
      </c>
      <c r="M272" s="1358" t="str">
        <f>IF(M256=0,"",(M262/M256)^(1/($D262-$D256-1))-1)</f>
        <v/>
      </c>
      <c r="N272" s="1355"/>
      <c r="O272" s="1371" t="str">
        <f>IF(O263=0,"",(M262/O263)^(1/(TestYear-RebaseYear-1))-1)</f>
        <v/>
      </c>
      <c r="P272" s="1271"/>
      <c r="Q272" s="1404" t="str">
        <f t="shared" si="166"/>
        <v>Geometric Mean</v>
      </c>
      <c r="R272" s="1376" t="str">
        <f>IF(R256="","",IF(R256=0,"",(R260/R256)^(1/($D260-$D256-1))-1))</f>
        <v/>
      </c>
      <c r="S272" s="1358" t="str">
        <f>IF(S256="","",IF(S256=0,"",(S262/S256)^(1/($D262-$D256-1))-1))</f>
        <v/>
      </c>
      <c r="T272" s="1355"/>
      <c r="U272" s="1371" t="str">
        <f>IF(U263=0,"",(S262/U263)^(1/(TestYear-RebaseYear-1))-1)</f>
        <v/>
      </c>
    </row>
    <row r="273" spans="2:22" ht="13.5" thickBot="1" x14ac:dyDescent="0.25"/>
    <row r="274" spans="2:22" ht="13.5" thickBot="1" x14ac:dyDescent="0.25">
      <c r="B274" s="1318">
        <f>B231+1</f>
        <v>6</v>
      </c>
      <c r="C274" s="3" t="s">
        <v>14</v>
      </c>
      <c r="D274" s="1880" t="s">
        <v>1451</v>
      </c>
      <c r="E274" s="1881"/>
      <c r="F274" s="1882"/>
      <c r="G274" s="1291"/>
      <c r="H274" s="13" t="s">
        <v>1224</v>
      </c>
      <c r="N274" s="1317" t="s">
        <v>75</v>
      </c>
      <c r="O274" s="1316"/>
      <c r="P274" s="1316"/>
      <c r="Q274" s="1316"/>
      <c r="R274" s="1316"/>
      <c r="S274" s="1316"/>
      <c r="T274" s="1316"/>
      <c r="U274" s="1316"/>
    </row>
    <row r="275" spans="2:22" ht="13.5" thickBot="1" x14ac:dyDescent="0.25">
      <c r="Q275" s="1355"/>
      <c r="R275" s="1355"/>
      <c r="S275" s="1355"/>
      <c r="T275" s="1355"/>
      <c r="U275" s="1355"/>
    </row>
    <row r="276" spans="2:22" x14ac:dyDescent="0.2">
      <c r="C276" s="1264"/>
      <c r="D276" s="1268" t="s">
        <v>1205</v>
      </c>
      <c r="E276" s="1268"/>
      <c r="F276" s="1883" t="s">
        <v>1034</v>
      </c>
      <c r="G276" s="1884"/>
      <c r="H276" s="1884"/>
      <c r="I276" s="1885"/>
      <c r="J276" s="1268"/>
      <c r="K276" s="1859" t="s">
        <v>1213</v>
      </c>
      <c r="L276" s="1860"/>
      <c r="M276" s="1860"/>
      <c r="N276" s="1860"/>
      <c r="O276" s="1861"/>
      <c r="P276" s="1287"/>
      <c r="Q276" s="1869" t="str">
        <f>CONCATENATE("Consumption (kWh) per ",LEFT(F276,LEN(F276)-1))</f>
        <v>Consumption (kWh) per Customer</v>
      </c>
      <c r="R276" s="1879"/>
      <c r="S276" s="1879"/>
      <c r="T276" s="1879"/>
      <c r="U276" s="1870"/>
      <c r="V276" s="1308"/>
    </row>
    <row r="277" spans="2:22" ht="39" thickBot="1" x14ac:dyDescent="0.25">
      <c r="C277" s="1271"/>
      <c r="D277" s="1277" t="str">
        <f>CONCATENATE("(for ",TestYear," Cost of Service")</f>
        <v>(for 2017 Cost of Service</v>
      </c>
      <c r="E277" s="1266"/>
      <c r="F277" s="1872"/>
      <c r="G277" s="1873"/>
      <c r="H277" s="1875"/>
      <c r="I277" s="1296"/>
      <c r="J277" s="1266"/>
      <c r="K277" s="1284"/>
      <c r="L277" s="1433" t="s">
        <v>1226</v>
      </c>
      <c r="M277" s="1433" t="s">
        <v>1210</v>
      </c>
      <c r="N277" s="1305"/>
      <c r="O277" s="1306" t="s">
        <v>1210</v>
      </c>
      <c r="P277" s="1266"/>
      <c r="Q277" s="1389"/>
      <c r="R277" s="1390" t="str">
        <f>L277</f>
        <v>Actual (Weather actual)</v>
      </c>
      <c r="S277" s="1391" t="str">
        <f>M277</f>
        <v>Weather-normalized</v>
      </c>
      <c r="T277" s="1391"/>
      <c r="U277" s="1392" t="str">
        <f>O277</f>
        <v>Weather-normalized</v>
      </c>
      <c r="V277" s="1308"/>
    </row>
    <row r="278" spans="2:22" x14ac:dyDescent="0.2">
      <c r="C278" s="1266" t="s">
        <v>890</v>
      </c>
      <c r="D278" s="1363">
        <f t="shared" ref="D278:D283" si="168">D279-1</f>
        <v>2011</v>
      </c>
      <c r="E278" s="1265"/>
      <c r="F278" s="1313" t="str">
        <f>F235</f>
        <v>Actual</v>
      </c>
      <c r="G278" s="1301">
        <v>7</v>
      </c>
      <c r="H278" s="1297" t="str">
        <f t="shared" ref="H278:H284" si="169">IF(D278=RebaseYear,"Board-approved","")</f>
        <v/>
      </c>
      <c r="I278" s="1324"/>
      <c r="J278" s="1265"/>
      <c r="K278" s="1282" t="str">
        <f>F278</f>
        <v>Actual</v>
      </c>
      <c r="L278" s="1301">
        <v>5962</v>
      </c>
      <c r="M278" s="1301">
        <v>5885.043450169389</v>
      </c>
      <c r="N278" s="1297" t="str">
        <f>H278</f>
        <v/>
      </c>
      <c r="O278" s="1492"/>
      <c r="P278" s="1265"/>
      <c r="Q278" s="1385" t="str">
        <f>K278</f>
        <v>Actual</v>
      </c>
      <c r="R278" s="1497">
        <f>IF(G278=0,"",L278/G278)</f>
        <v>851.71428571428567</v>
      </c>
      <c r="S278" s="1497">
        <f>IF(G278=0,"",M278/G278)</f>
        <v>840.72049288134133</v>
      </c>
      <c r="T278" s="1329" t="str">
        <f>N278</f>
        <v/>
      </c>
      <c r="U278" s="1329" t="str">
        <f>IF(T278="","",IF(I278=0,"",O278/I278))</f>
        <v/>
      </c>
      <c r="V278" s="1309"/>
    </row>
    <row r="279" spans="2:22" x14ac:dyDescent="0.2">
      <c r="C279" s="1266" t="s">
        <v>890</v>
      </c>
      <c r="D279" s="1363">
        <f t="shared" si="168"/>
        <v>2012</v>
      </c>
      <c r="E279" s="1265"/>
      <c r="F279" s="1314" t="str">
        <f t="shared" ref="F279:F284" si="170">F236</f>
        <v>Actual</v>
      </c>
      <c r="G279" s="1301">
        <v>7</v>
      </c>
      <c r="H279" s="1297" t="str">
        <f t="shared" si="169"/>
        <v>Board-approved</v>
      </c>
      <c r="I279" s="1494">
        <v>7</v>
      </c>
      <c r="J279" s="1265"/>
      <c r="K279" s="1282" t="str">
        <f t="shared" ref="K279:K284" si="171">F279</f>
        <v>Actual</v>
      </c>
      <c r="L279" s="1301">
        <v>5962</v>
      </c>
      <c r="M279" s="1301">
        <v>5954.0652357390718</v>
      </c>
      <c r="N279" s="1297" t="str">
        <f t="shared" ref="N279:N284" si="172">H279</f>
        <v>Board-approved</v>
      </c>
      <c r="O279" s="1493">
        <v>5564.2966477781893</v>
      </c>
      <c r="P279" s="1265"/>
      <c r="Q279" s="1385" t="str">
        <f t="shared" ref="Q279:Q284" si="173">K279</f>
        <v>Actual</v>
      </c>
      <c r="R279" s="1497">
        <f t="shared" ref="R279:R284" si="174">IF(G279=0,"",L279/G279)</f>
        <v>851.71428571428567</v>
      </c>
      <c r="S279" s="1497">
        <f t="shared" ref="S279:S284" si="175">IF(G279=0,"",M279/G279)</f>
        <v>850.58074796272456</v>
      </c>
      <c r="T279" s="1329" t="str">
        <f t="shared" ref="T279:T284" si="176">N279</f>
        <v>Board-approved</v>
      </c>
      <c r="U279" s="1497">
        <f t="shared" ref="U279:U284" si="177">IF(T279="","",IF(I279=0,"",O279/I279))</f>
        <v>794.89952111116986</v>
      </c>
      <c r="V279" s="1309"/>
    </row>
    <row r="280" spans="2:22" x14ac:dyDescent="0.2">
      <c r="C280" s="1266" t="s">
        <v>890</v>
      </c>
      <c r="D280" s="1363">
        <f t="shared" si="168"/>
        <v>2013</v>
      </c>
      <c r="E280" s="1265"/>
      <c r="F280" s="1314" t="str">
        <f t="shared" si="170"/>
        <v>Actual</v>
      </c>
      <c r="G280" s="1301">
        <v>7</v>
      </c>
      <c r="H280" s="1297" t="str">
        <f t="shared" si="169"/>
        <v/>
      </c>
      <c r="I280" s="1325"/>
      <c r="J280" s="1265"/>
      <c r="K280" s="1282" t="str">
        <f t="shared" si="171"/>
        <v>Actual</v>
      </c>
      <c r="L280" s="1301">
        <v>5962</v>
      </c>
      <c r="M280" s="1301">
        <v>5981.9706165812586</v>
      </c>
      <c r="N280" s="1297" t="str">
        <f t="shared" si="172"/>
        <v/>
      </c>
      <c r="O280" s="1325"/>
      <c r="P280" s="1265"/>
      <c r="Q280" s="1385" t="str">
        <f t="shared" si="173"/>
        <v>Actual</v>
      </c>
      <c r="R280" s="1495">
        <f t="shared" si="174"/>
        <v>851.71428571428567</v>
      </c>
      <c r="S280" s="1497">
        <f t="shared" si="175"/>
        <v>854.5672309401798</v>
      </c>
      <c r="T280" s="1329" t="str">
        <f t="shared" si="176"/>
        <v/>
      </c>
      <c r="U280" s="1329" t="str">
        <f t="shared" si="177"/>
        <v/>
      </c>
      <c r="V280" s="1309"/>
    </row>
    <row r="281" spans="2:22" x14ac:dyDescent="0.2">
      <c r="C281" s="1266" t="s">
        <v>890</v>
      </c>
      <c r="D281" s="1363">
        <f t="shared" si="168"/>
        <v>2014</v>
      </c>
      <c r="E281" s="1265"/>
      <c r="F281" s="1314" t="str">
        <f t="shared" si="170"/>
        <v>Actual</v>
      </c>
      <c r="G281" s="1301">
        <v>7</v>
      </c>
      <c r="H281" s="1297" t="str">
        <f t="shared" si="169"/>
        <v/>
      </c>
      <c r="I281" s="1324"/>
      <c r="J281" s="1265"/>
      <c r="K281" s="1282" t="str">
        <f t="shared" si="171"/>
        <v>Actual</v>
      </c>
      <c r="L281" s="1301">
        <v>5962</v>
      </c>
      <c r="M281" s="1301">
        <v>5983.7760623112354</v>
      </c>
      <c r="N281" s="1297" t="str">
        <f t="shared" si="172"/>
        <v/>
      </c>
      <c r="O281" s="1324"/>
      <c r="P281" s="1265"/>
      <c r="Q281" s="1385" t="str">
        <f t="shared" si="173"/>
        <v>Actual</v>
      </c>
      <c r="R281" s="1495">
        <f t="shared" si="174"/>
        <v>851.71428571428567</v>
      </c>
      <c r="S281" s="1497">
        <f t="shared" si="175"/>
        <v>854.82515175874789</v>
      </c>
      <c r="T281" s="1329" t="str">
        <f t="shared" si="176"/>
        <v/>
      </c>
      <c r="U281" s="1329" t="str">
        <f t="shared" si="177"/>
        <v/>
      </c>
      <c r="V281" s="1309"/>
    </row>
    <row r="282" spans="2:22" x14ac:dyDescent="0.2">
      <c r="C282" s="1266" t="s">
        <v>890</v>
      </c>
      <c r="D282" s="1363">
        <f t="shared" si="168"/>
        <v>2015</v>
      </c>
      <c r="E282" s="1265"/>
      <c r="F282" s="1314" t="str">
        <f t="shared" si="170"/>
        <v>Actual</v>
      </c>
      <c r="G282" s="1301">
        <v>7</v>
      </c>
      <c r="H282" s="1297" t="str">
        <f t="shared" si="169"/>
        <v/>
      </c>
      <c r="I282" s="1324"/>
      <c r="J282" s="1265"/>
      <c r="K282" s="1282" t="str">
        <f t="shared" si="171"/>
        <v>Actual</v>
      </c>
      <c r="L282" s="1301">
        <v>5962</v>
      </c>
      <c r="M282" s="1301">
        <v>6044.9714747603839</v>
      </c>
      <c r="N282" s="1297" t="str">
        <f t="shared" si="172"/>
        <v/>
      </c>
      <c r="O282" s="1324"/>
      <c r="P282" s="1265"/>
      <c r="Q282" s="1385" t="str">
        <f t="shared" si="173"/>
        <v>Actual</v>
      </c>
      <c r="R282" s="1495">
        <f t="shared" si="174"/>
        <v>851.71428571428567</v>
      </c>
      <c r="S282" s="1497">
        <f t="shared" si="175"/>
        <v>863.56735353719773</v>
      </c>
      <c r="T282" s="1329" t="str">
        <f t="shared" si="176"/>
        <v/>
      </c>
      <c r="U282" s="1329" t="str">
        <f t="shared" si="177"/>
        <v/>
      </c>
      <c r="V282" s="1309"/>
    </row>
    <row r="283" spans="2:22" x14ac:dyDescent="0.2">
      <c r="C283" s="1266" t="s">
        <v>313</v>
      </c>
      <c r="D283" s="1363">
        <f t="shared" si="168"/>
        <v>2016</v>
      </c>
      <c r="E283" s="1265"/>
      <c r="F283" s="1314" t="str">
        <f t="shared" si="170"/>
        <v>Forecast</v>
      </c>
      <c r="G283" s="1301">
        <v>7</v>
      </c>
      <c r="H283" s="1297" t="str">
        <f t="shared" si="169"/>
        <v/>
      </c>
      <c r="I283" s="1324"/>
      <c r="J283" s="1265"/>
      <c r="K283" s="1282" t="str">
        <f t="shared" si="171"/>
        <v>Forecast</v>
      </c>
      <c r="L283" s="1303"/>
      <c r="M283" s="1301">
        <v>5962</v>
      </c>
      <c r="N283" s="1297" t="str">
        <f t="shared" si="172"/>
        <v/>
      </c>
      <c r="O283" s="1324"/>
      <c r="P283" s="1265"/>
      <c r="Q283" s="1385" t="str">
        <f t="shared" si="173"/>
        <v>Forecast</v>
      </c>
      <c r="R283" s="1387">
        <f t="shared" si="174"/>
        <v>0</v>
      </c>
      <c r="S283" s="1497">
        <f t="shared" si="175"/>
        <v>851.71428571428567</v>
      </c>
      <c r="T283" s="1329" t="str">
        <f t="shared" si="176"/>
        <v/>
      </c>
      <c r="U283" s="1329" t="str">
        <f t="shared" si="177"/>
        <v/>
      </c>
      <c r="V283" s="1309"/>
    </row>
    <row r="284" spans="2:22" ht="13.5" thickBot="1" x14ac:dyDescent="0.25">
      <c r="C284" s="1267" t="s">
        <v>314</v>
      </c>
      <c r="D284" s="1364">
        <f>TestYear</f>
        <v>2017</v>
      </c>
      <c r="E284" s="1271"/>
      <c r="F284" s="1315" t="str">
        <f t="shared" si="170"/>
        <v>Forecast</v>
      </c>
      <c r="G284" s="1302">
        <v>7</v>
      </c>
      <c r="H284" s="1298" t="str">
        <f t="shared" si="169"/>
        <v/>
      </c>
      <c r="I284" s="1326"/>
      <c r="J284" s="1271"/>
      <c r="K284" s="1283" t="str">
        <f t="shared" si="171"/>
        <v>Forecast</v>
      </c>
      <c r="L284" s="1304"/>
      <c r="M284" s="1302">
        <v>5962</v>
      </c>
      <c r="N284" s="1298" t="str">
        <f t="shared" si="172"/>
        <v/>
      </c>
      <c r="O284" s="1326"/>
      <c r="P284" s="1271"/>
      <c r="Q284" s="1386" t="str">
        <f t="shared" si="173"/>
        <v>Forecast</v>
      </c>
      <c r="R284" s="1388">
        <f t="shared" si="174"/>
        <v>0</v>
      </c>
      <c r="S284" s="1498">
        <f t="shared" si="175"/>
        <v>851.71428571428567</v>
      </c>
      <c r="T284" s="1355" t="str">
        <f t="shared" si="176"/>
        <v/>
      </c>
      <c r="U284" s="1355" t="str">
        <f t="shared" si="177"/>
        <v/>
      </c>
      <c r="V284" s="1309"/>
    </row>
    <row r="285" spans="2:22" ht="13.5" thickBot="1" x14ac:dyDescent="0.25">
      <c r="B285" s="1329"/>
      <c r="C285" s="1366"/>
      <c r="I285" s="1408">
        <f>SUM(I278:I283)</f>
        <v>7</v>
      </c>
      <c r="O285" s="1408">
        <f>SUM(O278:O283)</f>
        <v>5564.2966477781893</v>
      </c>
      <c r="U285" s="1408">
        <f>SUM(U278:U283)</f>
        <v>794.89952111116986</v>
      </c>
    </row>
    <row r="286" spans="2:22" ht="39" thickBot="1" x14ac:dyDescent="0.25">
      <c r="C286" s="1400" t="s">
        <v>952</v>
      </c>
      <c r="D286" s="1399" t="s">
        <v>15</v>
      </c>
      <c r="E286" s="1361"/>
      <c r="F286" s="1361"/>
      <c r="G286" s="1435" t="s">
        <v>1222</v>
      </c>
      <c r="H286" s="1361"/>
      <c r="I286" s="1394" t="s">
        <v>1235</v>
      </c>
      <c r="J286" s="1396"/>
      <c r="K286" s="1395" t="s">
        <v>15</v>
      </c>
      <c r="L286" s="1874" t="s">
        <v>1222</v>
      </c>
      <c r="M286" s="1874"/>
      <c r="N286" s="1361"/>
      <c r="O286" s="1394" t="str">
        <f>I286</f>
        <v>Test Year Versus Board-approved</v>
      </c>
      <c r="P286" s="1397"/>
      <c r="Q286" s="1395" t="s">
        <v>15</v>
      </c>
      <c r="R286" s="1874" t="s">
        <v>1222</v>
      </c>
      <c r="S286" s="1874"/>
      <c r="T286" s="1361"/>
      <c r="U286" s="1394" t="str">
        <f>O286</f>
        <v>Test Year Versus Board-approved</v>
      </c>
    </row>
    <row r="287" spans="2:22" x14ac:dyDescent="0.2">
      <c r="C287" s="1265"/>
      <c r="D287" s="1377">
        <f t="shared" ref="D287:D293" si="178">D278</f>
        <v>2011</v>
      </c>
      <c r="E287" s="1329"/>
      <c r="F287" s="1329"/>
      <c r="G287" s="1372"/>
      <c r="H287" s="1329"/>
      <c r="I287" s="1378"/>
      <c r="J287" s="1384"/>
      <c r="K287" s="1363">
        <f>D287</f>
        <v>2011</v>
      </c>
      <c r="L287" s="1351"/>
      <c r="M287" s="1351"/>
      <c r="N287" s="1329"/>
      <c r="O287" s="1324"/>
      <c r="P287" s="1265"/>
      <c r="Q287" s="1363">
        <f>K287</f>
        <v>2011</v>
      </c>
      <c r="R287" s="1330"/>
      <c r="S287" s="1330"/>
      <c r="T287" s="1329"/>
      <c r="U287" s="1324"/>
    </row>
    <row r="288" spans="2:22" x14ac:dyDescent="0.2">
      <c r="C288" s="1265"/>
      <c r="D288" s="1365">
        <f t="shared" si="178"/>
        <v>2012</v>
      </c>
      <c r="E288" s="1329"/>
      <c r="F288" s="1329"/>
      <c r="G288" s="1373">
        <f t="shared" ref="G288:G293" si="179">IF(G278=0,"",G279/G278-1)</f>
        <v>0</v>
      </c>
      <c r="H288" s="1329"/>
      <c r="I288" s="1378"/>
      <c r="J288" s="1384"/>
      <c r="K288" s="1363">
        <f t="shared" ref="K288:K294" si="180">D288</f>
        <v>2012</v>
      </c>
      <c r="L288" s="1353">
        <f t="shared" ref="L288:M291" si="181">IF(L278=0,"",L279/L278-1)</f>
        <v>0</v>
      </c>
      <c r="M288" s="1353">
        <f t="shared" si="181"/>
        <v>1.1728339162508039E-2</v>
      </c>
      <c r="N288" s="1329"/>
      <c r="O288" s="1324"/>
      <c r="P288" s="1265"/>
      <c r="Q288" s="1363">
        <f t="shared" ref="Q288:Q294" si="182">K288</f>
        <v>2012</v>
      </c>
      <c r="R288" s="1374">
        <f t="shared" ref="R288:S291" si="183">IF(R278="","",IF(R278=0,"",R279/R278-1))</f>
        <v>0</v>
      </c>
      <c r="S288" s="1374">
        <f t="shared" si="183"/>
        <v>1.1728339162508039E-2</v>
      </c>
      <c r="T288" s="1329"/>
      <c r="U288" s="1324"/>
    </row>
    <row r="289" spans="3:21" x14ac:dyDescent="0.2">
      <c r="C289" s="1265"/>
      <c r="D289" s="1365">
        <f t="shared" si="178"/>
        <v>2013</v>
      </c>
      <c r="E289" s="1329"/>
      <c r="F289" s="1329"/>
      <c r="G289" s="1373">
        <f t="shared" si="179"/>
        <v>0</v>
      </c>
      <c r="H289" s="1329"/>
      <c r="I289" s="1378"/>
      <c r="J289" s="1384"/>
      <c r="K289" s="1363">
        <f t="shared" si="180"/>
        <v>2013</v>
      </c>
      <c r="L289" s="1353">
        <f t="shared" si="181"/>
        <v>0</v>
      </c>
      <c r="M289" s="1353">
        <f t="shared" si="181"/>
        <v>4.6867778126926662E-3</v>
      </c>
      <c r="N289" s="1329"/>
      <c r="O289" s="1324"/>
      <c r="P289" s="1265"/>
      <c r="Q289" s="1363">
        <f t="shared" si="182"/>
        <v>2013</v>
      </c>
      <c r="R289" s="1374">
        <f t="shared" si="183"/>
        <v>0</v>
      </c>
      <c r="S289" s="1374">
        <f t="shared" si="183"/>
        <v>4.6867778126926662E-3</v>
      </c>
      <c r="T289" s="1329"/>
      <c r="U289" s="1324"/>
    </row>
    <row r="290" spans="3:21" x14ac:dyDescent="0.2">
      <c r="C290" s="1265"/>
      <c r="D290" s="1365">
        <f t="shared" si="178"/>
        <v>2014</v>
      </c>
      <c r="E290" s="1329"/>
      <c r="F290" s="1329"/>
      <c r="G290" s="1373">
        <f t="shared" si="179"/>
        <v>0</v>
      </c>
      <c r="H290" s="1329"/>
      <c r="I290" s="1378"/>
      <c r="J290" s="1384"/>
      <c r="K290" s="1363">
        <f t="shared" si="180"/>
        <v>2014</v>
      </c>
      <c r="L290" s="1353">
        <f t="shared" si="181"/>
        <v>0</v>
      </c>
      <c r="M290" s="1353">
        <f t="shared" si="181"/>
        <v>3.0181454334998747E-4</v>
      </c>
      <c r="N290" s="1329"/>
      <c r="O290" s="1324"/>
      <c r="P290" s="1265"/>
      <c r="Q290" s="1363">
        <f t="shared" si="182"/>
        <v>2014</v>
      </c>
      <c r="R290" s="1374">
        <f t="shared" si="183"/>
        <v>0</v>
      </c>
      <c r="S290" s="1374">
        <f t="shared" si="183"/>
        <v>3.0181454334998747E-4</v>
      </c>
      <c r="T290" s="1329"/>
      <c r="U290" s="1324"/>
    </row>
    <row r="291" spans="3:21" x14ac:dyDescent="0.2">
      <c r="C291" s="1265"/>
      <c r="D291" s="1365">
        <f t="shared" si="178"/>
        <v>2015</v>
      </c>
      <c r="E291" s="1329"/>
      <c r="F291" s="1329"/>
      <c r="G291" s="1373">
        <f t="shared" si="179"/>
        <v>0</v>
      </c>
      <c r="H291" s="1329"/>
      <c r="I291" s="1378"/>
      <c r="J291" s="1384"/>
      <c r="K291" s="1363">
        <f t="shared" si="180"/>
        <v>2015</v>
      </c>
      <c r="L291" s="1353">
        <f t="shared" si="181"/>
        <v>0</v>
      </c>
      <c r="M291" s="1353">
        <f t="shared" si="181"/>
        <v>1.0226888809323542E-2</v>
      </c>
      <c r="N291" s="1329"/>
      <c r="O291" s="1324"/>
      <c r="P291" s="1265"/>
      <c r="Q291" s="1363">
        <f t="shared" si="182"/>
        <v>2015</v>
      </c>
      <c r="R291" s="1374">
        <f t="shared" si="183"/>
        <v>0</v>
      </c>
      <c r="S291" s="1374">
        <f t="shared" si="183"/>
        <v>1.0226888809323542E-2</v>
      </c>
      <c r="T291" s="1329"/>
      <c r="U291" s="1324"/>
    </row>
    <row r="292" spans="3:21" x14ac:dyDescent="0.2">
      <c r="C292" s="1265"/>
      <c r="D292" s="1365">
        <f t="shared" si="178"/>
        <v>2016</v>
      </c>
      <c r="E292" s="1329"/>
      <c r="F292" s="1329"/>
      <c r="G292" s="1373">
        <f t="shared" si="179"/>
        <v>0</v>
      </c>
      <c r="H292" s="1329"/>
      <c r="I292" s="1378"/>
      <c r="J292" s="1384"/>
      <c r="K292" s="1363">
        <f t="shared" si="180"/>
        <v>2016</v>
      </c>
      <c r="L292" s="1353" t="str">
        <f>IF(K283="Forecast","",IF(L282=0,"",L283/L282-1))</f>
        <v/>
      </c>
      <c r="M292" s="1353">
        <f>IF(M282=0,"",M283/M282-1)</f>
        <v>-1.3725701619406339E-2</v>
      </c>
      <c r="N292" s="1329"/>
      <c r="O292" s="1324"/>
      <c r="P292" s="1265"/>
      <c r="Q292" s="1363">
        <f t="shared" si="182"/>
        <v>2016</v>
      </c>
      <c r="R292" s="1374" t="str">
        <f>IF(Q283="Forecast","",IF(R282=0,"",R283/R282-1))</f>
        <v/>
      </c>
      <c r="S292" s="1374">
        <f>IF(S282="","",IF(S282=0,"",S283/S282-1))</f>
        <v>-1.372570161940645E-2</v>
      </c>
      <c r="T292" s="1329"/>
      <c r="U292" s="1324"/>
    </row>
    <row r="293" spans="3:21" x14ac:dyDescent="0.2">
      <c r="C293" s="1265"/>
      <c r="D293" s="1365">
        <f t="shared" si="178"/>
        <v>2017</v>
      </c>
      <c r="E293" s="1329"/>
      <c r="F293" s="1329"/>
      <c r="G293" s="1373">
        <f t="shared" si="179"/>
        <v>0</v>
      </c>
      <c r="H293" s="1329"/>
      <c r="I293" s="1379">
        <f>IF(I285=0,"",G284/I285-1)</f>
        <v>0</v>
      </c>
      <c r="J293" s="1384"/>
      <c r="K293" s="1363">
        <f t="shared" si="180"/>
        <v>2017</v>
      </c>
      <c r="L293" s="1353" t="str">
        <f>IF(K284="Forecast","",IF(L283=0,"",L284/L283-1))</f>
        <v/>
      </c>
      <c r="M293" s="1353">
        <f>IF(M283=0,"",M284/M283-1)</f>
        <v>0</v>
      </c>
      <c r="N293" s="1329"/>
      <c r="O293" s="1354">
        <f>IF(O285=0,"",M284/O285-1)</f>
        <v>7.1474146221268242E-2</v>
      </c>
      <c r="P293" s="1265"/>
      <c r="Q293" s="1363">
        <f t="shared" si="182"/>
        <v>2017</v>
      </c>
      <c r="R293" s="1374" t="str">
        <f>IF(Q284="Forecast","",IF(R283=0,"",R284/R283-1))</f>
        <v/>
      </c>
      <c r="S293" s="1374">
        <f>IF(S283="","",IF(S283=0,"",S284/S283-1))</f>
        <v>0</v>
      </c>
      <c r="T293" s="1329"/>
      <c r="U293" s="1354">
        <f>IF(U285=0,"",S284/U285-1)</f>
        <v>7.1474146221268242E-2</v>
      </c>
    </row>
    <row r="294" spans="3:21" ht="26.25" thickBot="1" x14ac:dyDescent="0.25">
      <c r="C294" s="1271"/>
      <c r="D294" s="1405" t="s">
        <v>1221</v>
      </c>
      <c r="E294" s="1355"/>
      <c r="F294" s="1355"/>
      <c r="G294" s="1375">
        <f>IF(G278=0,"",(G284/G278)^(1/($D284-$D278-1))-1)</f>
        <v>0</v>
      </c>
      <c r="H294" s="1355"/>
      <c r="I294" s="1406">
        <f>IF(I285=0,"",(G284/I285)^(1/(TestYear-RebaseYear-1))-1)</f>
        <v>0</v>
      </c>
      <c r="J294" s="1360"/>
      <c r="K294" s="1404" t="str">
        <f t="shared" si="180"/>
        <v>Geometric Mean</v>
      </c>
      <c r="L294" s="1358">
        <f>IF(L278=0,"",(L282/L278)^(1/($D282-$D278-1))-1)</f>
        <v>0</v>
      </c>
      <c r="M294" s="1358">
        <f>IF(M278=0,"",(M284/M278)^(1/($D284-$D278-1))-1)</f>
        <v>2.601752973081517E-3</v>
      </c>
      <c r="N294" s="1355"/>
      <c r="O294" s="1371">
        <f>IF(O285=0,"",(M284/O285)^(1/(TestYear-RebaseYear-1))-1)</f>
        <v>1.7408646265500982E-2</v>
      </c>
      <c r="P294" s="1271"/>
      <c r="Q294" s="1404" t="str">
        <f t="shared" si="182"/>
        <v>Geometric Mean</v>
      </c>
      <c r="R294" s="1376">
        <f>IF(R278="","",IF(R278=0,"",(R282/R278)^(1/($D282-$D278-1))-1))</f>
        <v>0</v>
      </c>
      <c r="S294" s="1358">
        <f>IF(S278="","",IF(S278=0,"",(S284/S278)^(1/($D284-$D278-1))-1))</f>
        <v>2.601752973081517E-3</v>
      </c>
      <c r="T294" s="1355"/>
      <c r="U294" s="1371">
        <f>IF(U285=0,"",(S284/U285)^(1/(TestYear-RebaseYear-1))-1)</f>
        <v>1.7408646265500982E-2</v>
      </c>
    </row>
    <row r="296" spans="3:21" ht="13.5" thickBot="1" x14ac:dyDescent="0.25">
      <c r="Q296" s="1355"/>
      <c r="R296" s="1355"/>
      <c r="S296" s="1355"/>
      <c r="T296" s="1355"/>
      <c r="U296" s="1355"/>
    </row>
    <row r="297" spans="3:21" x14ac:dyDescent="0.2">
      <c r="C297" s="1264"/>
      <c r="D297" s="1268" t="s">
        <v>1205</v>
      </c>
      <c r="E297" s="1268"/>
      <c r="F297" s="1876" t="s">
        <v>1198</v>
      </c>
      <c r="G297" s="1877"/>
      <c r="H297" s="1877"/>
      <c r="I297" s="1878"/>
      <c r="K297" s="1859" t="str">
        <f>IF(ISBLANK(N274),"",CONCATENATE("Demand (",N274,")"))</f>
        <v>Demand (kW)</v>
      </c>
      <c r="L297" s="1860"/>
      <c r="M297" s="1860"/>
      <c r="N297" s="1860"/>
      <c r="O297" s="1861"/>
      <c r="Q297" s="1869" t="str">
        <f>CONCATENATE("Demand (",N274,") per ",LEFT(F276,LEN(F276)-1))</f>
        <v>Demand (kW) per Customer</v>
      </c>
      <c r="R297" s="1879"/>
      <c r="S297" s="1879"/>
      <c r="T297" s="1879"/>
      <c r="U297" s="1870"/>
    </row>
    <row r="298" spans="3:21" ht="39" thickBot="1" x14ac:dyDescent="0.25">
      <c r="C298" s="1271"/>
      <c r="D298" s="1277" t="str">
        <f>CONCATENATE("(for ",TestYear," Cost of Service")</f>
        <v>(for 2017 Cost of Service</v>
      </c>
      <c r="E298" s="1266"/>
      <c r="F298" s="1872"/>
      <c r="G298" s="1873"/>
      <c r="H298" s="1873"/>
      <c r="I298" s="1296"/>
      <c r="K298" s="1284"/>
      <c r="L298" s="1433" t="s">
        <v>1226</v>
      </c>
      <c r="M298" s="1433" t="s">
        <v>1210</v>
      </c>
      <c r="N298" s="1305"/>
      <c r="O298" s="1306" t="str">
        <f>M298</f>
        <v>Weather-normalized</v>
      </c>
      <c r="Q298" s="1403"/>
      <c r="R298" s="1490" t="str">
        <f>L298</f>
        <v>Actual (Weather actual)</v>
      </c>
      <c r="S298" s="1490" t="str">
        <f>M298</f>
        <v>Weather-normalized</v>
      </c>
      <c r="T298" s="1490"/>
      <c r="U298" s="1491" t="str">
        <f>O298</f>
        <v>Weather-normalized</v>
      </c>
    </row>
    <row r="299" spans="3:21" x14ac:dyDescent="0.2">
      <c r="C299" s="1266" t="s">
        <v>890</v>
      </c>
      <c r="D299" s="1363">
        <f t="shared" ref="D299:D304" si="184">D300-1</f>
        <v>2011</v>
      </c>
      <c r="E299" s="1265"/>
      <c r="F299" s="1313" t="str">
        <f t="shared" ref="F299:F305" si="185">F278</f>
        <v>Actual</v>
      </c>
      <c r="G299" s="1311">
        <v>564</v>
      </c>
      <c r="H299" s="2" t="str">
        <f t="shared" ref="H299:H305" si="186">IF(D299=RebaseYear,"Board-approved","")</f>
        <v/>
      </c>
      <c r="I299" s="1383"/>
      <c r="K299" s="1282" t="str">
        <f t="shared" ref="K299:K305" si="187">K278</f>
        <v>Actual</v>
      </c>
      <c r="L299" s="1500">
        <v>14</v>
      </c>
      <c r="M299" s="1500">
        <v>13.819290221799974</v>
      </c>
      <c r="N299" s="1258" t="str">
        <f t="shared" ref="N299:N305" si="188">N278</f>
        <v/>
      </c>
      <c r="O299" s="1324"/>
      <c r="Q299" s="1507" t="str">
        <f>K299</f>
        <v>Actual</v>
      </c>
      <c r="R299" s="1508">
        <f>IF(G278=0,"",L299/G278)</f>
        <v>2</v>
      </c>
      <c r="S299" s="1508">
        <f>IF(G278=0,"",M299/G278)</f>
        <v>1.9741843173999964</v>
      </c>
      <c r="T299" s="1503" t="str">
        <f>N299</f>
        <v/>
      </c>
      <c r="U299" s="1504" t="str">
        <f>IF(T299="","",IF(I299=0,"",O299/I299))</f>
        <v/>
      </c>
    </row>
    <row r="300" spans="3:21" x14ac:dyDescent="0.2">
      <c r="C300" s="1266" t="s">
        <v>890</v>
      </c>
      <c r="D300" s="1363">
        <f t="shared" si="184"/>
        <v>2012</v>
      </c>
      <c r="E300" s="1265"/>
      <c r="F300" s="1314" t="str">
        <f t="shared" si="185"/>
        <v>Actual</v>
      </c>
      <c r="G300" s="1311">
        <v>381</v>
      </c>
      <c r="H300" s="2" t="str">
        <f t="shared" si="186"/>
        <v>Board-approved</v>
      </c>
      <c r="I300" s="1311">
        <v>248.30806107735791</v>
      </c>
      <c r="K300" s="1282" t="str">
        <f t="shared" si="187"/>
        <v>Actual</v>
      </c>
      <c r="L300" s="1500">
        <v>14</v>
      </c>
      <c r="M300" s="1500">
        <v>13.981367544506375</v>
      </c>
      <c r="N300" s="1258" t="str">
        <f t="shared" si="188"/>
        <v>Board-approved</v>
      </c>
      <c r="O300" s="1494">
        <v>15.091686685374189</v>
      </c>
      <c r="Q300" s="1496" t="str">
        <f t="shared" ref="Q300:Q305" si="189">K300</f>
        <v>Actual</v>
      </c>
      <c r="R300" s="1504">
        <f t="shared" ref="R300:R305" si="190">IF(G279=0,"",L300/G279)</f>
        <v>2</v>
      </c>
      <c r="S300" s="1504">
        <f t="shared" ref="S300:S305" si="191">IF(G279=0,"",M300/G279)</f>
        <v>1.9973382206437678</v>
      </c>
      <c r="T300" s="1503" t="str">
        <f t="shared" ref="T300:T305" si="192">N300</f>
        <v>Board-approved</v>
      </c>
      <c r="U300" s="1504">
        <f>IF(T279="","",IF(I300=0,"",O300/I279))</f>
        <v>2.1559552407677414</v>
      </c>
    </row>
    <row r="301" spans="3:21" x14ac:dyDescent="0.2">
      <c r="C301" s="1266" t="s">
        <v>890</v>
      </c>
      <c r="D301" s="1363">
        <f t="shared" si="184"/>
        <v>2013</v>
      </c>
      <c r="E301" s="1265"/>
      <c r="F301" s="1314" t="str">
        <f t="shared" si="185"/>
        <v>Actual</v>
      </c>
      <c r="G301" s="1311">
        <v>298.62427333616188</v>
      </c>
      <c r="H301" s="2" t="str">
        <f t="shared" si="186"/>
        <v/>
      </c>
      <c r="I301" s="1328"/>
      <c r="K301" s="1282" t="str">
        <f t="shared" si="187"/>
        <v>Actual</v>
      </c>
      <c r="L301" s="1500">
        <v>14</v>
      </c>
      <c r="M301" s="1500">
        <v>14.046895107705069</v>
      </c>
      <c r="N301" s="1258" t="str">
        <f t="shared" si="188"/>
        <v/>
      </c>
      <c r="O301" s="1325"/>
      <c r="Q301" s="1496" t="str">
        <f t="shared" si="189"/>
        <v>Actual</v>
      </c>
      <c r="R301" s="1504">
        <f t="shared" si="190"/>
        <v>2</v>
      </c>
      <c r="S301" s="1504">
        <f t="shared" si="191"/>
        <v>2.0066993011007241</v>
      </c>
      <c r="T301" s="1503" t="str">
        <f t="shared" si="192"/>
        <v/>
      </c>
      <c r="U301" s="1504" t="str">
        <f t="shared" ref="U301:U305" si="193">IF(T301="","",IF(I301=0,"",O301/I301))</f>
        <v/>
      </c>
    </row>
    <row r="302" spans="3:21" x14ac:dyDescent="0.2">
      <c r="C302" s="1266" t="s">
        <v>890</v>
      </c>
      <c r="D302" s="1363">
        <f t="shared" si="184"/>
        <v>2014</v>
      </c>
      <c r="E302" s="1265"/>
      <c r="F302" s="1314" t="str">
        <f t="shared" si="185"/>
        <v>Actual</v>
      </c>
      <c r="G302" s="1311">
        <v>298.11</v>
      </c>
      <c r="H302" s="2" t="str">
        <f t="shared" si="186"/>
        <v/>
      </c>
      <c r="I302" s="1324"/>
      <c r="K302" s="1282" t="str">
        <f t="shared" si="187"/>
        <v>Actual</v>
      </c>
      <c r="L302" s="1500">
        <v>14</v>
      </c>
      <c r="M302" s="1500">
        <v>14.051134664937488</v>
      </c>
      <c r="N302" s="1258" t="str">
        <f t="shared" si="188"/>
        <v/>
      </c>
      <c r="O302" s="1324"/>
      <c r="Q302" s="1496" t="str">
        <f t="shared" si="189"/>
        <v>Actual</v>
      </c>
      <c r="R302" s="1504">
        <f t="shared" si="190"/>
        <v>2</v>
      </c>
      <c r="S302" s="1504">
        <f t="shared" si="191"/>
        <v>2.0073049521339268</v>
      </c>
      <c r="T302" s="1503" t="str">
        <f t="shared" si="192"/>
        <v/>
      </c>
      <c r="U302" s="1504" t="str">
        <f t="shared" si="193"/>
        <v/>
      </c>
    </row>
    <row r="303" spans="3:21" x14ac:dyDescent="0.2">
      <c r="C303" s="1266" t="s">
        <v>890</v>
      </c>
      <c r="D303" s="1363">
        <f t="shared" si="184"/>
        <v>2015</v>
      </c>
      <c r="E303" s="1265"/>
      <c r="F303" s="1314" t="str">
        <f t="shared" si="185"/>
        <v>Actual</v>
      </c>
      <c r="G303" s="1311">
        <v>271.64999999999998</v>
      </c>
      <c r="H303" s="2" t="str">
        <f t="shared" si="186"/>
        <v/>
      </c>
      <c r="I303" s="1324"/>
      <c r="K303" s="1282" t="str">
        <f t="shared" si="187"/>
        <v>Actual</v>
      </c>
      <c r="L303" s="1500">
        <v>14</v>
      </c>
      <c r="M303" s="1500">
        <v>14.194834056800632</v>
      </c>
      <c r="N303" s="1258" t="str">
        <f t="shared" si="188"/>
        <v/>
      </c>
      <c r="O303" s="1324"/>
      <c r="Q303" s="1496" t="str">
        <f t="shared" si="189"/>
        <v>Actual</v>
      </c>
      <c r="R303" s="1504">
        <f t="shared" si="190"/>
        <v>2</v>
      </c>
      <c r="S303" s="1504">
        <f t="shared" si="191"/>
        <v>2.0278334366858046</v>
      </c>
      <c r="T303" s="1503" t="str">
        <f t="shared" si="192"/>
        <v/>
      </c>
      <c r="U303" s="1504" t="str">
        <f t="shared" si="193"/>
        <v/>
      </c>
    </row>
    <row r="304" spans="3:21" x14ac:dyDescent="0.2">
      <c r="C304" s="1266" t="s">
        <v>1203</v>
      </c>
      <c r="D304" s="1363">
        <f t="shared" si="184"/>
        <v>2016</v>
      </c>
      <c r="E304" s="1265"/>
      <c r="F304" s="1314" t="str">
        <f t="shared" si="185"/>
        <v>Forecast</v>
      </c>
      <c r="G304" s="1311">
        <v>345.37720000000002</v>
      </c>
      <c r="H304" s="2" t="str">
        <f t="shared" si="186"/>
        <v/>
      </c>
      <c r="I304" s="1324"/>
      <c r="K304" s="1282" t="str">
        <f t="shared" si="187"/>
        <v>Forecast</v>
      </c>
      <c r="L304" s="1303"/>
      <c r="M304" s="1500">
        <v>14</v>
      </c>
      <c r="N304" s="1258" t="str">
        <f t="shared" si="188"/>
        <v/>
      </c>
      <c r="O304" s="1324"/>
      <c r="Q304" s="1496" t="str">
        <f t="shared" si="189"/>
        <v>Forecast</v>
      </c>
      <c r="R304" s="1504">
        <f t="shared" si="190"/>
        <v>0</v>
      </c>
      <c r="S304" s="1504">
        <f t="shared" si="191"/>
        <v>2</v>
      </c>
      <c r="T304" s="1503" t="str">
        <f t="shared" si="192"/>
        <v/>
      </c>
      <c r="U304" s="1504" t="str">
        <f t="shared" si="193"/>
        <v/>
      </c>
    </row>
    <row r="305" spans="2:22" ht="13.5" thickBot="1" x14ac:dyDescent="0.25">
      <c r="C305" s="1267" t="s">
        <v>1204</v>
      </c>
      <c r="D305" s="1364">
        <f>TestYear</f>
        <v>2017</v>
      </c>
      <c r="E305" s="1271"/>
      <c r="F305" s="1315" t="str">
        <f t="shared" si="185"/>
        <v>Forecast</v>
      </c>
      <c r="G305" s="1312">
        <v>509.90936922293639</v>
      </c>
      <c r="H305" s="1307" t="str">
        <f t="shared" si="186"/>
        <v/>
      </c>
      <c r="I305" s="1326"/>
      <c r="K305" s="1283" t="str">
        <f t="shared" si="187"/>
        <v>Forecast</v>
      </c>
      <c r="L305" s="1304"/>
      <c r="M305" s="1509">
        <v>14</v>
      </c>
      <c r="N305" s="1262" t="str">
        <f t="shared" si="188"/>
        <v/>
      </c>
      <c r="O305" s="1326"/>
      <c r="Q305" s="1319" t="str">
        <f t="shared" si="189"/>
        <v>Forecast</v>
      </c>
      <c r="R305" s="1506">
        <f t="shared" si="190"/>
        <v>0</v>
      </c>
      <c r="S305" s="1506">
        <f t="shared" si="191"/>
        <v>2</v>
      </c>
      <c r="T305" s="1505" t="str">
        <f t="shared" si="192"/>
        <v/>
      </c>
      <c r="U305" s="1506" t="str">
        <f t="shared" si="193"/>
        <v/>
      </c>
    </row>
    <row r="306" spans="2:22" ht="13.5" thickBot="1" x14ac:dyDescent="0.25">
      <c r="C306" s="1366"/>
      <c r="I306" s="1408">
        <f>SUM(I299:I304)</f>
        <v>248.30806107735791</v>
      </c>
      <c r="J306" s="1329"/>
      <c r="O306" s="1408">
        <f>SUM(O299:O304)</f>
        <v>15.091686685374189</v>
      </c>
      <c r="U306" s="1408">
        <f>SUM(U299:U304)</f>
        <v>2.1559552407677414</v>
      </c>
    </row>
    <row r="307" spans="2:22" ht="39" thickBot="1" x14ac:dyDescent="0.25">
      <c r="C307" s="1400" t="s">
        <v>952</v>
      </c>
      <c r="D307" s="1399" t="s">
        <v>15</v>
      </c>
      <c r="E307" s="1435"/>
      <c r="F307" s="1435"/>
      <c r="G307" s="1435" t="s">
        <v>1222</v>
      </c>
      <c r="H307" s="1435"/>
      <c r="I307" s="1394" t="str">
        <f>I286</f>
        <v>Test Year Versus Board-approved</v>
      </c>
      <c r="J307" s="1407"/>
      <c r="K307" s="1395" t="s">
        <v>15</v>
      </c>
      <c r="L307" s="1874" t="s">
        <v>1222</v>
      </c>
      <c r="M307" s="1874"/>
      <c r="N307" s="1435"/>
      <c r="O307" s="1394" t="str">
        <f>I307</f>
        <v>Test Year Versus Board-approved</v>
      </c>
      <c r="P307" s="1380"/>
      <c r="Q307" s="1395" t="s">
        <v>15</v>
      </c>
      <c r="R307" s="1874" t="s">
        <v>1222</v>
      </c>
      <c r="S307" s="1874"/>
      <c r="T307" s="1435"/>
      <c r="U307" s="1394" t="str">
        <f>O307</f>
        <v>Test Year Versus Board-approved</v>
      </c>
    </row>
    <row r="308" spans="2:22" x14ac:dyDescent="0.2">
      <c r="C308" s="1265"/>
      <c r="D308" s="1402">
        <f t="shared" ref="D308:D314" si="194">D299</f>
        <v>2011</v>
      </c>
      <c r="E308" s="1345"/>
      <c r="F308" s="1329"/>
      <c r="G308" s="1372"/>
      <c r="H308" s="1329"/>
      <c r="I308" s="1378"/>
      <c r="J308" s="1265"/>
      <c r="K308" s="1363">
        <f>D308</f>
        <v>2011</v>
      </c>
      <c r="L308" s="1351"/>
      <c r="M308" s="1351"/>
      <c r="N308" s="1329"/>
      <c r="O308" s="1381"/>
      <c r="P308" s="1265"/>
      <c r="Q308" s="1363">
        <f>K308</f>
        <v>2011</v>
      </c>
      <c r="R308" s="1330"/>
      <c r="S308" s="1330"/>
      <c r="T308" s="1329"/>
      <c r="U308" s="1324"/>
    </row>
    <row r="309" spans="2:22" ht="6" customHeight="1" x14ac:dyDescent="0.2">
      <c r="C309" s="1265"/>
      <c r="D309" s="1365">
        <f t="shared" si="194"/>
        <v>2012</v>
      </c>
      <c r="E309" s="1329"/>
      <c r="F309" s="1329"/>
      <c r="G309" s="1373">
        <f t="shared" ref="G309:G314" si="195">IF(G299=0,"",G300/G299-1)</f>
        <v>-0.32446808510638303</v>
      </c>
      <c r="H309" s="1329"/>
      <c r="I309" s="1378"/>
      <c r="J309" s="1265"/>
      <c r="K309" s="1363">
        <f t="shared" ref="K309:K315" si="196">D309</f>
        <v>2012</v>
      </c>
      <c r="L309" s="1353">
        <f t="shared" ref="L309:M312" si="197">IF(L299=0,"",L300/L299-1)</f>
        <v>0</v>
      </c>
      <c r="M309" s="1353">
        <f t="shared" si="197"/>
        <v>1.1728339162508039E-2</v>
      </c>
      <c r="N309" s="1329"/>
      <c r="O309" s="1381"/>
      <c r="P309" s="1265"/>
      <c r="Q309" s="1363">
        <f t="shared" ref="Q309:Q315" si="198">K309</f>
        <v>2012</v>
      </c>
      <c r="R309" s="1374">
        <f t="shared" ref="R309:S312" si="199">IF(R299="","",IF(R299=0,"",R300/R299-1))</f>
        <v>0</v>
      </c>
      <c r="S309" s="1374">
        <f t="shared" si="199"/>
        <v>1.1728339162507817E-2</v>
      </c>
      <c r="T309" s="1329"/>
      <c r="U309" s="1324"/>
    </row>
    <row r="310" spans="2:22" ht="31.5" customHeight="1" x14ac:dyDescent="0.2">
      <c r="C310" s="1265"/>
      <c r="D310" s="1401">
        <f t="shared" si="194"/>
        <v>2013</v>
      </c>
      <c r="E310" s="1329"/>
      <c r="F310" s="1329"/>
      <c r="G310" s="1373">
        <f t="shared" si="195"/>
        <v>-0.21620925633553312</v>
      </c>
      <c r="H310" s="1329"/>
      <c r="I310" s="1378"/>
      <c r="J310" s="1265"/>
      <c r="K310" s="1363">
        <f t="shared" si="196"/>
        <v>2013</v>
      </c>
      <c r="L310" s="1353">
        <f t="shared" si="197"/>
        <v>0</v>
      </c>
      <c r="M310" s="1353">
        <f t="shared" si="197"/>
        <v>4.6867778126926662E-3</v>
      </c>
      <c r="N310" s="1329"/>
      <c r="O310" s="1381"/>
      <c r="P310" s="1265"/>
      <c r="Q310" s="1363">
        <f t="shared" si="198"/>
        <v>2013</v>
      </c>
      <c r="R310" s="1374">
        <f t="shared" si="199"/>
        <v>0</v>
      </c>
      <c r="S310" s="1374">
        <f t="shared" si="199"/>
        <v>4.6867778126926662E-3</v>
      </c>
      <c r="T310" s="1329"/>
      <c r="U310" s="1324"/>
    </row>
    <row r="311" spans="2:22" ht="30.75" customHeight="1" x14ac:dyDescent="0.2">
      <c r="C311" s="1265"/>
      <c r="D311" s="1365">
        <f t="shared" si="194"/>
        <v>2014</v>
      </c>
      <c r="E311" s="1329"/>
      <c r="F311" s="1329"/>
      <c r="G311" s="1373">
        <f t="shared" si="195"/>
        <v>-1.7221417750691304E-3</v>
      </c>
      <c r="H311" s="1329"/>
      <c r="I311" s="1378"/>
      <c r="J311" s="1265"/>
      <c r="K311" s="1363">
        <f t="shared" si="196"/>
        <v>2014</v>
      </c>
      <c r="L311" s="1353">
        <f t="shared" si="197"/>
        <v>0</v>
      </c>
      <c r="M311" s="1353">
        <f t="shared" si="197"/>
        <v>3.0181454334998747E-4</v>
      </c>
      <c r="N311" s="1329"/>
      <c r="O311" s="1381"/>
      <c r="P311" s="1265"/>
      <c r="Q311" s="1363">
        <f t="shared" si="198"/>
        <v>2014</v>
      </c>
      <c r="R311" s="1374">
        <f t="shared" si="199"/>
        <v>0</v>
      </c>
      <c r="S311" s="1374">
        <f t="shared" si="199"/>
        <v>3.0181454334998747E-4</v>
      </c>
      <c r="T311" s="1329"/>
      <c r="U311" s="1324"/>
    </row>
    <row r="312" spans="2:22" ht="15" customHeight="1" x14ac:dyDescent="0.2">
      <c r="C312" s="1265"/>
      <c r="D312" s="1365">
        <f t="shared" si="194"/>
        <v>2015</v>
      </c>
      <c r="E312" s="1329"/>
      <c r="F312" s="1329"/>
      <c r="G312" s="1373">
        <f t="shared" si="195"/>
        <v>-8.8759182851967489E-2</v>
      </c>
      <c r="H312" s="1329"/>
      <c r="I312" s="1378"/>
      <c r="J312" s="1265"/>
      <c r="K312" s="1363">
        <f t="shared" si="196"/>
        <v>2015</v>
      </c>
      <c r="L312" s="1353">
        <f t="shared" si="197"/>
        <v>0</v>
      </c>
      <c r="M312" s="1353">
        <f t="shared" si="197"/>
        <v>1.022688880932332E-2</v>
      </c>
      <c r="N312" s="1329"/>
      <c r="O312" s="1381"/>
      <c r="P312" s="1265"/>
      <c r="Q312" s="1363">
        <f t="shared" si="198"/>
        <v>2015</v>
      </c>
      <c r="R312" s="1374">
        <f t="shared" si="199"/>
        <v>0</v>
      </c>
      <c r="S312" s="1374">
        <f t="shared" si="199"/>
        <v>1.022688880932332E-2</v>
      </c>
      <c r="T312" s="1329"/>
      <c r="U312" s="1324"/>
    </row>
    <row r="313" spans="2:22" ht="15" customHeight="1" x14ac:dyDescent="0.2">
      <c r="C313" s="1265"/>
      <c r="D313" s="1365">
        <f t="shared" si="194"/>
        <v>2016</v>
      </c>
      <c r="E313" s="1329"/>
      <c r="F313" s="1329"/>
      <c r="G313" s="1373">
        <f t="shared" si="195"/>
        <v>0.27140511687833624</v>
      </c>
      <c r="H313" s="1329"/>
      <c r="I313" s="1378"/>
      <c r="J313" s="1265"/>
      <c r="K313" s="1363">
        <f t="shared" si="196"/>
        <v>2016</v>
      </c>
      <c r="L313" s="1353" t="str">
        <f>IF(K304="Forecast","",IF(L303=0,"",L304/L303-1))</f>
        <v/>
      </c>
      <c r="M313" s="1353">
        <f>IF(M303=0,"",M304/M303-1)</f>
        <v>-1.3725701619406339E-2</v>
      </c>
      <c r="N313" s="1329"/>
      <c r="O313" s="1381"/>
      <c r="P313" s="1265"/>
      <c r="Q313" s="1363">
        <f t="shared" si="198"/>
        <v>2016</v>
      </c>
      <c r="R313" s="1374" t="str">
        <f>IF(Q304="Forecast","",IF(R303=0,"",R304/R303-1))</f>
        <v/>
      </c>
      <c r="S313" s="1374">
        <f>IF(S303="","",IF(S303=0,"",S304/S303-1))</f>
        <v>-1.3725701619406339E-2</v>
      </c>
      <c r="T313" s="1329"/>
      <c r="U313" s="1324"/>
    </row>
    <row r="314" spans="2:22" x14ac:dyDescent="0.2">
      <c r="C314" s="1265"/>
      <c r="D314" s="1401">
        <f t="shared" si="194"/>
        <v>2017</v>
      </c>
      <c r="E314" s="1329"/>
      <c r="F314" s="1329"/>
      <c r="G314" s="1373">
        <f t="shared" si="195"/>
        <v>0.47638399182961799</v>
      </c>
      <c r="H314" s="1329"/>
      <c r="I314" s="1379">
        <f>IF(I306=0,"",G305/I306-1)</f>
        <v>1.0535353021184406</v>
      </c>
      <c r="J314" s="1265"/>
      <c r="K314" s="1363">
        <f t="shared" si="196"/>
        <v>2017</v>
      </c>
      <c r="L314" s="1353" t="str">
        <f>IF(K305="Forecast","",IF(L304=0,"",L305/L304-1))</f>
        <v/>
      </c>
      <c r="M314" s="1353">
        <f>IF(M304=0,"",M305/M304-1)</f>
        <v>0</v>
      </c>
      <c r="N314" s="1329"/>
      <c r="O314" s="1382">
        <f>IF(O306=0,"",M305/O306-1)</f>
        <v>-7.2336956639324823E-2</v>
      </c>
      <c r="P314" s="1265"/>
      <c r="Q314" s="1363">
        <f t="shared" si="198"/>
        <v>2017</v>
      </c>
      <c r="R314" s="1374" t="str">
        <f>IF(Q305="Forecast","",IF(R304=0,"",R305/R304-1))</f>
        <v/>
      </c>
      <c r="S314" s="1374">
        <f>IF(S304="","",IF(S304=0,"",S305/S304-1))</f>
        <v>0</v>
      </c>
      <c r="T314" s="1329"/>
      <c r="U314" s="1354">
        <f>IF(U306=0,"",S305/U306-1)</f>
        <v>-7.2336956639324934E-2</v>
      </c>
    </row>
    <row r="315" spans="2:22" ht="26.25" thickBot="1" x14ac:dyDescent="0.25">
      <c r="C315" s="1271"/>
      <c r="D315" s="1405" t="s">
        <v>1221</v>
      </c>
      <c r="E315" s="1355"/>
      <c r="F315" s="1355"/>
      <c r="G315" s="1375">
        <f>IF(G299=0,"",(G305/G299)^(1/($D305-$D299-1))-1)</f>
        <v>-1.9962310903716141E-2</v>
      </c>
      <c r="H315" s="1355"/>
      <c r="I315" s="1371">
        <f>IF(I306=0,"",(G305/I306)^(1/(TestYear-RebaseYear-1))-1)</f>
        <v>0.19708652802036131</v>
      </c>
      <c r="J315" s="1265"/>
      <c r="K315" s="1404" t="str">
        <f t="shared" si="196"/>
        <v>Geometric Mean</v>
      </c>
      <c r="L315" s="1358">
        <f>IF(L299=0,"",(L303/L299)^(1/($D303-$D299-1))-1)</f>
        <v>0</v>
      </c>
      <c r="M315" s="1358">
        <f>IF(M299=0,"",(M305/M299)^(1/($D305-$D299-1))-1)</f>
        <v>2.601752973081517E-3</v>
      </c>
      <c r="N315" s="1355"/>
      <c r="O315" s="1371">
        <f>IF(O306=0,"",(M305/O306)^(1/(TestYear-RebaseYear-1))-1)</f>
        <v>-1.8596587336065284E-2</v>
      </c>
      <c r="P315" s="1271"/>
      <c r="Q315" s="1404" t="str">
        <f t="shared" si="198"/>
        <v>Geometric Mean</v>
      </c>
      <c r="R315" s="1376">
        <f>IF(R299="","",IF(R299=0,"",(R303/R299)^(1/($D303-$D299-1))-1))</f>
        <v>0</v>
      </c>
      <c r="S315" s="1358">
        <f>IF(S299="","",IF(S299=0,"",(S305/S299)^(1/($D305-$D299-1))-1))</f>
        <v>2.601752973081517E-3</v>
      </c>
      <c r="T315" s="1355"/>
      <c r="U315" s="1371">
        <f>IF(U306=0,"",(S305/U306)^(1/(TestYear-RebaseYear-1))-1)</f>
        <v>-1.8596587336065395E-2</v>
      </c>
    </row>
    <row r="316" spans="2:22" ht="13.5" thickBot="1" x14ac:dyDescent="0.25"/>
    <row r="317" spans="2:22" ht="13.5" thickBot="1" x14ac:dyDescent="0.25">
      <c r="B317" s="1318">
        <f>B274+1</f>
        <v>7</v>
      </c>
      <c r="C317" s="3" t="s">
        <v>14</v>
      </c>
      <c r="D317" s="1880" t="s">
        <v>1452</v>
      </c>
      <c r="E317" s="1881"/>
      <c r="F317" s="1882"/>
      <c r="G317" s="1291"/>
      <c r="H317" s="13" t="s">
        <v>1224</v>
      </c>
      <c r="N317" s="1317" t="s">
        <v>75</v>
      </c>
      <c r="O317" s="1316"/>
      <c r="P317" s="1316"/>
      <c r="Q317" s="1316"/>
      <c r="R317" s="1316"/>
      <c r="S317" s="1316"/>
      <c r="T317" s="1316"/>
      <c r="U317" s="1316"/>
    </row>
    <row r="318" spans="2:22" ht="13.5" thickBot="1" x14ac:dyDescent="0.25">
      <c r="Q318" s="1355"/>
      <c r="R318" s="1355"/>
      <c r="S318" s="1355"/>
      <c r="T318" s="1355"/>
      <c r="U318" s="1355"/>
    </row>
    <row r="319" spans="2:22" x14ac:dyDescent="0.2">
      <c r="C319" s="1264"/>
      <c r="D319" s="1268" t="s">
        <v>1205</v>
      </c>
      <c r="E319" s="1268"/>
      <c r="F319" s="1883" t="s">
        <v>1034</v>
      </c>
      <c r="G319" s="1884"/>
      <c r="H319" s="1884"/>
      <c r="I319" s="1885"/>
      <c r="J319" s="1268"/>
      <c r="K319" s="1859" t="s">
        <v>1213</v>
      </c>
      <c r="L319" s="1860"/>
      <c r="M319" s="1860"/>
      <c r="N319" s="1860"/>
      <c r="O319" s="1861"/>
      <c r="P319" s="1287"/>
      <c r="Q319" s="1869" t="str">
        <f>CONCATENATE("Consumption (kWh) per ",LEFT(F319,LEN(F319)-1))</f>
        <v>Consumption (kWh) per Customer</v>
      </c>
      <c r="R319" s="1879"/>
      <c r="S319" s="1879"/>
      <c r="T319" s="1879"/>
      <c r="U319" s="1870"/>
      <c r="V319" s="1308"/>
    </row>
    <row r="320" spans="2:22" ht="39" thickBot="1" x14ac:dyDescent="0.25">
      <c r="C320" s="1271"/>
      <c r="D320" s="1277" t="str">
        <f>CONCATENATE("(for ",TestYear," Cost of Service")</f>
        <v>(for 2017 Cost of Service</v>
      </c>
      <c r="E320" s="1266"/>
      <c r="F320" s="1872"/>
      <c r="G320" s="1873"/>
      <c r="H320" s="1875"/>
      <c r="I320" s="1296"/>
      <c r="J320" s="1266"/>
      <c r="K320" s="1284"/>
      <c r="L320" s="1433" t="s">
        <v>1226</v>
      </c>
      <c r="M320" s="1433" t="s">
        <v>1210</v>
      </c>
      <c r="N320" s="1305"/>
      <c r="O320" s="1306" t="s">
        <v>1210</v>
      </c>
      <c r="P320" s="1266"/>
      <c r="Q320" s="1389"/>
      <c r="R320" s="1390" t="str">
        <f>L320</f>
        <v>Actual (Weather actual)</v>
      </c>
      <c r="S320" s="1391" t="str">
        <f>M320</f>
        <v>Weather-normalized</v>
      </c>
      <c r="T320" s="1391"/>
      <c r="U320" s="1392" t="str">
        <f>O320</f>
        <v>Weather-normalized</v>
      </c>
      <c r="V320" s="1308"/>
    </row>
    <row r="321" spans="2:22" x14ac:dyDescent="0.2">
      <c r="C321" s="1266" t="s">
        <v>890</v>
      </c>
      <c r="D321" s="1363">
        <f t="shared" ref="D321:D326" si="200">D322-1</f>
        <v>2011</v>
      </c>
      <c r="E321" s="1265"/>
      <c r="F321" s="1313" t="str">
        <f>F278</f>
        <v>Actual</v>
      </c>
      <c r="G321" s="1301">
        <v>4</v>
      </c>
      <c r="H321" s="1297" t="str">
        <f t="shared" ref="H321:H327" si="201">IF(D321=RebaseYear,"Board-approved","")</f>
        <v/>
      </c>
      <c r="I321" s="1324"/>
      <c r="J321" s="1265"/>
      <c r="K321" s="1282" t="str">
        <f>F321</f>
        <v>Actual</v>
      </c>
      <c r="L321" s="1301">
        <v>52740415.399999999</v>
      </c>
      <c r="M321" s="1301">
        <v>52059650.48792062</v>
      </c>
      <c r="N321" s="1297" t="str">
        <f>H321</f>
        <v/>
      </c>
      <c r="O321" s="1492"/>
      <c r="P321" s="1265"/>
      <c r="Q321" s="1385" t="str">
        <f>K321</f>
        <v>Actual</v>
      </c>
      <c r="R321" s="1497">
        <f>IF(G321=0,"",L321/G321)</f>
        <v>13185103.85</v>
      </c>
      <c r="S321" s="1497">
        <f>IF(G321=0,"",M321/G321)</f>
        <v>13014912.621980155</v>
      </c>
      <c r="T321" s="1329" t="str">
        <f>N321</f>
        <v/>
      </c>
      <c r="U321" s="1329" t="str">
        <f>IF(T321="","",IF(I321=0,"",O321/I321))</f>
        <v/>
      </c>
      <c r="V321" s="1309"/>
    </row>
    <row r="322" spans="2:22" x14ac:dyDescent="0.2">
      <c r="C322" s="1266" t="s">
        <v>890</v>
      </c>
      <c r="D322" s="1363">
        <f t="shared" si="200"/>
        <v>2012</v>
      </c>
      <c r="E322" s="1265"/>
      <c r="F322" s="1314" t="str">
        <f t="shared" ref="F322:F327" si="202">F279</f>
        <v>Actual</v>
      </c>
      <c r="G322" s="1301">
        <v>4</v>
      </c>
      <c r="H322" s="1297" t="str">
        <f t="shared" si="201"/>
        <v>Board-approved</v>
      </c>
      <c r="I322" s="1494">
        <v>4</v>
      </c>
      <c r="J322" s="1265"/>
      <c r="K322" s="1282" t="str">
        <f t="shared" ref="K322:K327" si="203">F322</f>
        <v>Actual</v>
      </c>
      <c r="L322" s="1301">
        <v>50111690.900000006</v>
      </c>
      <c r="M322" s="1301">
        <v>50044997.767828248</v>
      </c>
      <c r="N322" s="1297" t="str">
        <f t="shared" ref="N322:N327" si="204">H322</f>
        <v>Board-approved</v>
      </c>
      <c r="O322" s="1493">
        <v>42996782.152953438</v>
      </c>
      <c r="P322" s="1265"/>
      <c r="Q322" s="1385" t="str">
        <f t="shared" ref="Q322:Q327" si="205">K322</f>
        <v>Actual</v>
      </c>
      <c r="R322" s="1497">
        <f t="shared" ref="R322:R327" si="206">IF(G322=0,"",L322/G322)</f>
        <v>12527922.725000001</v>
      </c>
      <c r="S322" s="1497">
        <f t="shared" ref="S322:S327" si="207">IF(G322=0,"",M322/G322)</f>
        <v>12511249.441957062</v>
      </c>
      <c r="T322" s="1329" t="str">
        <f t="shared" ref="T322:T327" si="208">N322</f>
        <v>Board-approved</v>
      </c>
      <c r="U322" s="1497">
        <f t="shared" ref="U322:U327" si="209">IF(T322="","",IF(I322=0,"",O322/I322))</f>
        <v>10749195.53823836</v>
      </c>
      <c r="V322" s="1309"/>
    </row>
    <row r="323" spans="2:22" x14ac:dyDescent="0.2">
      <c r="C323" s="1266" t="s">
        <v>890</v>
      </c>
      <c r="D323" s="1363">
        <f t="shared" si="200"/>
        <v>2013</v>
      </c>
      <c r="E323" s="1265"/>
      <c r="F323" s="1314" t="str">
        <f t="shared" si="202"/>
        <v>Actual</v>
      </c>
      <c r="G323" s="1301">
        <v>4</v>
      </c>
      <c r="H323" s="1297" t="str">
        <f t="shared" si="201"/>
        <v/>
      </c>
      <c r="I323" s="1325"/>
      <c r="J323" s="1265"/>
      <c r="K323" s="1282" t="str">
        <f t="shared" si="203"/>
        <v>Actual</v>
      </c>
      <c r="L323" s="1301">
        <v>49811242</v>
      </c>
      <c r="M323" s="1301">
        <v>49978092.254179515</v>
      </c>
      <c r="N323" s="1297" t="str">
        <f t="shared" si="204"/>
        <v/>
      </c>
      <c r="O323" s="1325"/>
      <c r="P323" s="1265"/>
      <c r="Q323" s="1385" t="str">
        <f t="shared" si="205"/>
        <v>Actual</v>
      </c>
      <c r="R323" s="1495">
        <f t="shared" si="206"/>
        <v>12452810.5</v>
      </c>
      <c r="S323" s="1497">
        <f t="shared" si="207"/>
        <v>12494523.063544879</v>
      </c>
      <c r="T323" s="1329" t="str">
        <f t="shared" si="208"/>
        <v/>
      </c>
      <c r="U323" s="1329" t="str">
        <f t="shared" si="209"/>
        <v/>
      </c>
      <c r="V323" s="1309"/>
    </row>
    <row r="324" spans="2:22" x14ac:dyDescent="0.2">
      <c r="C324" s="1266" t="s">
        <v>890</v>
      </c>
      <c r="D324" s="1363">
        <f t="shared" si="200"/>
        <v>2014</v>
      </c>
      <c r="E324" s="1265"/>
      <c r="F324" s="1314" t="str">
        <f t="shared" si="202"/>
        <v>Actual</v>
      </c>
      <c r="G324" s="1301">
        <v>4</v>
      </c>
      <c r="H324" s="1297" t="str">
        <f t="shared" si="201"/>
        <v/>
      </c>
      <c r="I324" s="1324"/>
      <c r="J324" s="1265"/>
      <c r="K324" s="1282" t="str">
        <f t="shared" si="203"/>
        <v>Actual</v>
      </c>
      <c r="L324" s="1301">
        <v>52151233.5</v>
      </c>
      <c r="M324" s="1301">
        <v>52341714.632221371</v>
      </c>
      <c r="N324" s="1297" t="str">
        <f t="shared" si="204"/>
        <v/>
      </c>
      <c r="O324" s="1324"/>
      <c r="P324" s="1265"/>
      <c r="Q324" s="1385" t="str">
        <f t="shared" si="205"/>
        <v>Actual</v>
      </c>
      <c r="R324" s="1495">
        <f t="shared" si="206"/>
        <v>13037808.375</v>
      </c>
      <c r="S324" s="1497">
        <f t="shared" si="207"/>
        <v>13085428.658055343</v>
      </c>
      <c r="T324" s="1329" t="str">
        <f t="shared" si="208"/>
        <v/>
      </c>
      <c r="U324" s="1329" t="str">
        <f t="shared" si="209"/>
        <v/>
      </c>
      <c r="V324" s="1309"/>
    </row>
    <row r="325" spans="2:22" x14ac:dyDescent="0.2">
      <c r="C325" s="1266" t="s">
        <v>890</v>
      </c>
      <c r="D325" s="1363">
        <f t="shared" si="200"/>
        <v>2015</v>
      </c>
      <c r="E325" s="1265"/>
      <c r="F325" s="1314" t="str">
        <f t="shared" si="202"/>
        <v>Actual</v>
      </c>
      <c r="G325" s="1301">
        <v>4</v>
      </c>
      <c r="H325" s="1297" t="str">
        <f t="shared" si="201"/>
        <v/>
      </c>
      <c r="I325" s="1324"/>
      <c r="J325" s="1265"/>
      <c r="K325" s="1282" t="str">
        <f t="shared" si="203"/>
        <v>Actual</v>
      </c>
      <c r="L325" s="1301">
        <v>48193212.060000002</v>
      </c>
      <c r="M325" s="1301">
        <v>48863903.418278784</v>
      </c>
      <c r="N325" s="1297" t="str">
        <f t="shared" si="204"/>
        <v/>
      </c>
      <c r="O325" s="1324"/>
      <c r="P325" s="1265"/>
      <c r="Q325" s="1385" t="str">
        <f t="shared" si="205"/>
        <v>Actual</v>
      </c>
      <c r="R325" s="1495">
        <f t="shared" si="206"/>
        <v>12048303.015000001</v>
      </c>
      <c r="S325" s="1497">
        <f t="shared" si="207"/>
        <v>12215975.854569696</v>
      </c>
      <c r="T325" s="1329" t="str">
        <f t="shared" si="208"/>
        <v/>
      </c>
      <c r="U325" s="1329" t="str">
        <f t="shared" si="209"/>
        <v/>
      </c>
      <c r="V325" s="1309"/>
    </row>
    <row r="326" spans="2:22" x14ac:dyDescent="0.2">
      <c r="C326" s="1266" t="s">
        <v>313</v>
      </c>
      <c r="D326" s="1363">
        <f t="shared" si="200"/>
        <v>2016</v>
      </c>
      <c r="E326" s="1265"/>
      <c r="F326" s="1314" t="str">
        <f t="shared" si="202"/>
        <v>Forecast</v>
      </c>
      <c r="G326" s="1301">
        <v>4</v>
      </c>
      <c r="H326" s="1297" t="str">
        <f t="shared" si="201"/>
        <v/>
      </c>
      <c r="I326" s="1324"/>
      <c r="J326" s="1265"/>
      <c r="K326" s="1282" t="str">
        <f t="shared" si="203"/>
        <v>Forecast</v>
      </c>
      <c r="L326" s="1303"/>
      <c r="M326" s="1301">
        <v>46643291.462049104</v>
      </c>
      <c r="N326" s="1297" t="str">
        <f t="shared" si="204"/>
        <v/>
      </c>
      <c r="O326" s="1324"/>
      <c r="P326" s="1265"/>
      <c r="Q326" s="1385" t="str">
        <f t="shared" si="205"/>
        <v>Forecast</v>
      </c>
      <c r="R326" s="1387">
        <f t="shared" si="206"/>
        <v>0</v>
      </c>
      <c r="S326" s="1497">
        <f t="shared" si="207"/>
        <v>11660822.865512276</v>
      </c>
      <c r="T326" s="1329" t="str">
        <f t="shared" si="208"/>
        <v/>
      </c>
      <c r="U326" s="1329" t="str">
        <f t="shared" si="209"/>
        <v/>
      </c>
      <c r="V326" s="1309"/>
    </row>
    <row r="327" spans="2:22" ht="13.5" thickBot="1" x14ac:dyDescent="0.25">
      <c r="C327" s="1267" t="s">
        <v>314</v>
      </c>
      <c r="D327" s="1364">
        <f>TestYear</f>
        <v>2017</v>
      </c>
      <c r="E327" s="1271"/>
      <c r="F327" s="1315" t="str">
        <f t="shared" si="202"/>
        <v>Forecast</v>
      </c>
      <c r="G327" s="1302">
        <v>4</v>
      </c>
      <c r="H327" s="1298" t="str">
        <f t="shared" si="201"/>
        <v/>
      </c>
      <c r="I327" s="1326"/>
      <c r="J327" s="1271"/>
      <c r="K327" s="1283" t="str">
        <f t="shared" si="203"/>
        <v>Forecast</v>
      </c>
      <c r="L327" s="1304"/>
      <c r="M327" s="1302">
        <v>45143217.175586261</v>
      </c>
      <c r="N327" s="1298" t="str">
        <f t="shared" si="204"/>
        <v/>
      </c>
      <c r="O327" s="1326"/>
      <c r="P327" s="1271"/>
      <c r="Q327" s="1386" t="str">
        <f t="shared" si="205"/>
        <v>Forecast</v>
      </c>
      <c r="R327" s="1388">
        <f t="shared" si="206"/>
        <v>0</v>
      </c>
      <c r="S327" s="1498">
        <f t="shared" si="207"/>
        <v>11285804.293896565</v>
      </c>
      <c r="T327" s="1355" t="str">
        <f t="shared" si="208"/>
        <v/>
      </c>
      <c r="U327" s="1355" t="str">
        <f t="shared" si="209"/>
        <v/>
      </c>
      <c r="V327" s="1309"/>
    </row>
    <row r="328" spans="2:22" ht="13.5" thickBot="1" x14ac:dyDescent="0.25">
      <c r="B328" s="1329"/>
      <c r="C328" s="1366"/>
      <c r="I328" s="1408">
        <f>SUM(I321:I326)</f>
        <v>4</v>
      </c>
      <c r="O328" s="1408">
        <f>SUM(O321:O326)</f>
        <v>42996782.152953438</v>
      </c>
      <c r="U328" s="1408">
        <f>SUM(U321:U326)</f>
        <v>10749195.53823836</v>
      </c>
    </row>
    <row r="329" spans="2:22" ht="39" thickBot="1" x14ac:dyDescent="0.25">
      <c r="C329" s="1400" t="s">
        <v>952</v>
      </c>
      <c r="D329" s="1399" t="s">
        <v>15</v>
      </c>
      <c r="E329" s="1361"/>
      <c r="F329" s="1361"/>
      <c r="G329" s="1435" t="s">
        <v>1222</v>
      </c>
      <c r="H329" s="1361"/>
      <c r="I329" s="1394" t="s">
        <v>1235</v>
      </c>
      <c r="J329" s="1396"/>
      <c r="K329" s="1395" t="s">
        <v>15</v>
      </c>
      <c r="L329" s="1874" t="s">
        <v>1222</v>
      </c>
      <c r="M329" s="1874"/>
      <c r="N329" s="1361"/>
      <c r="O329" s="1394" t="str">
        <f>I329</f>
        <v>Test Year Versus Board-approved</v>
      </c>
      <c r="P329" s="1397"/>
      <c r="Q329" s="1395" t="s">
        <v>15</v>
      </c>
      <c r="R329" s="1874" t="s">
        <v>1222</v>
      </c>
      <c r="S329" s="1874"/>
      <c r="T329" s="1361"/>
      <c r="U329" s="1394" t="str">
        <f>O329</f>
        <v>Test Year Versus Board-approved</v>
      </c>
    </row>
    <row r="330" spans="2:22" x14ac:dyDescent="0.2">
      <c r="C330" s="1265"/>
      <c r="D330" s="1377">
        <f t="shared" ref="D330:D336" si="210">D321</f>
        <v>2011</v>
      </c>
      <c r="E330" s="1329"/>
      <c r="F330" s="1329"/>
      <c r="G330" s="1372"/>
      <c r="H330" s="1329"/>
      <c r="I330" s="1378"/>
      <c r="J330" s="1384"/>
      <c r="K330" s="1363">
        <f>D330</f>
        <v>2011</v>
      </c>
      <c r="L330" s="1351"/>
      <c r="M330" s="1351"/>
      <c r="N330" s="1329"/>
      <c r="O330" s="1324"/>
      <c r="P330" s="1265"/>
      <c r="Q330" s="1363">
        <f>K330</f>
        <v>2011</v>
      </c>
      <c r="R330" s="1330"/>
      <c r="S330" s="1330"/>
      <c r="T330" s="1329"/>
      <c r="U330" s="1324"/>
    </row>
    <row r="331" spans="2:22" x14ac:dyDescent="0.2">
      <c r="C331" s="1265"/>
      <c r="D331" s="1365">
        <f t="shared" si="210"/>
        <v>2012</v>
      </c>
      <c r="E331" s="1329"/>
      <c r="F331" s="1329"/>
      <c r="G331" s="1373">
        <f t="shared" ref="G331:G336" si="211">IF(G321=0,"",G322/G321-1)</f>
        <v>0</v>
      </c>
      <c r="H331" s="1329"/>
      <c r="I331" s="1378"/>
      <c r="J331" s="1384"/>
      <c r="K331" s="1363">
        <f t="shared" ref="K331:K337" si="212">D331</f>
        <v>2012</v>
      </c>
      <c r="L331" s="1353">
        <f t="shared" ref="L331:M334" si="213">IF(L321=0,"",L322/L321-1)</f>
        <v>-4.9842696157451849E-2</v>
      </c>
      <c r="M331" s="1353">
        <f t="shared" si="213"/>
        <v>-3.8698929040252183E-2</v>
      </c>
      <c r="N331" s="1329"/>
      <c r="O331" s="1324"/>
      <c r="P331" s="1265"/>
      <c r="Q331" s="1363">
        <f t="shared" ref="Q331:Q337" si="214">K331</f>
        <v>2012</v>
      </c>
      <c r="R331" s="1374">
        <f t="shared" ref="R331:S334" si="215">IF(R321="","",IF(R321=0,"",R322/R321-1))</f>
        <v>-4.9842696157451849E-2</v>
      </c>
      <c r="S331" s="1374">
        <f t="shared" si="215"/>
        <v>-3.8698929040252183E-2</v>
      </c>
      <c r="T331" s="1329"/>
      <c r="U331" s="1324"/>
    </row>
    <row r="332" spans="2:22" x14ac:dyDescent="0.2">
      <c r="C332" s="1265"/>
      <c r="D332" s="1365">
        <f t="shared" si="210"/>
        <v>2013</v>
      </c>
      <c r="E332" s="1329"/>
      <c r="F332" s="1329"/>
      <c r="G332" s="1373">
        <f t="shared" si="211"/>
        <v>0</v>
      </c>
      <c r="H332" s="1329"/>
      <c r="I332" s="1378"/>
      <c r="J332" s="1384"/>
      <c r="K332" s="1363">
        <f t="shared" si="212"/>
        <v>2013</v>
      </c>
      <c r="L332" s="1353">
        <f t="shared" si="213"/>
        <v>-5.9955849544084394E-3</v>
      </c>
      <c r="M332" s="1353">
        <f t="shared" si="213"/>
        <v>-1.3369071162541157E-3</v>
      </c>
      <c r="N332" s="1329"/>
      <c r="O332" s="1324"/>
      <c r="P332" s="1265"/>
      <c r="Q332" s="1363">
        <f t="shared" si="214"/>
        <v>2013</v>
      </c>
      <c r="R332" s="1374">
        <f t="shared" si="215"/>
        <v>-5.9955849544084394E-3</v>
      </c>
      <c r="S332" s="1374">
        <f t="shared" si="215"/>
        <v>-1.3369071162541157E-3</v>
      </c>
      <c r="T332" s="1329"/>
      <c r="U332" s="1324"/>
    </row>
    <row r="333" spans="2:22" x14ac:dyDescent="0.2">
      <c r="C333" s="1265"/>
      <c r="D333" s="1365">
        <f t="shared" si="210"/>
        <v>2014</v>
      </c>
      <c r="E333" s="1329"/>
      <c r="F333" s="1329"/>
      <c r="G333" s="1373">
        <f t="shared" si="211"/>
        <v>0</v>
      </c>
      <c r="H333" s="1329"/>
      <c r="I333" s="1378"/>
      <c r="J333" s="1384"/>
      <c r="K333" s="1363">
        <f t="shared" si="212"/>
        <v>2014</v>
      </c>
      <c r="L333" s="1353">
        <f t="shared" si="213"/>
        <v>4.6977176357096306E-2</v>
      </c>
      <c r="M333" s="1353">
        <f t="shared" si="213"/>
        <v>4.7293169295476556E-2</v>
      </c>
      <c r="N333" s="1329"/>
      <c r="O333" s="1324"/>
      <c r="P333" s="1265"/>
      <c r="Q333" s="1363">
        <f t="shared" si="214"/>
        <v>2014</v>
      </c>
      <c r="R333" s="1374">
        <f t="shared" si="215"/>
        <v>4.6977176357096306E-2</v>
      </c>
      <c r="S333" s="1374">
        <f t="shared" si="215"/>
        <v>4.7293169295476556E-2</v>
      </c>
      <c r="T333" s="1329"/>
      <c r="U333" s="1324"/>
    </row>
    <row r="334" spans="2:22" x14ac:dyDescent="0.2">
      <c r="C334" s="1265"/>
      <c r="D334" s="1365">
        <f t="shared" si="210"/>
        <v>2015</v>
      </c>
      <c r="E334" s="1329"/>
      <c r="F334" s="1329"/>
      <c r="G334" s="1373">
        <f t="shared" si="211"/>
        <v>0</v>
      </c>
      <c r="H334" s="1329"/>
      <c r="I334" s="1378"/>
      <c r="J334" s="1384"/>
      <c r="K334" s="1363">
        <f t="shared" si="212"/>
        <v>2015</v>
      </c>
      <c r="L334" s="1353">
        <f t="shared" si="213"/>
        <v>-7.5895068522204734E-2</v>
      </c>
      <c r="M334" s="1353">
        <f t="shared" si="213"/>
        <v>-6.6444350139833963E-2</v>
      </c>
      <c r="N334" s="1329"/>
      <c r="O334" s="1324"/>
      <c r="P334" s="1265"/>
      <c r="Q334" s="1363">
        <f t="shared" si="214"/>
        <v>2015</v>
      </c>
      <c r="R334" s="1374">
        <f t="shared" si="215"/>
        <v>-7.5895068522204734E-2</v>
      </c>
      <c r="S334" s="1374">
        <f t="shared" si="215"/>
        <v>-6.6444350139833963E-2</v>
      </c>
      <c r="T334" s="1329"/>
      <c r="U334" s="1324"/>
    </row>
    <row r="335" spans="2:22" x14ac:dyDescent="0.2">
      <c r="C335" s="1265"/>
      <c r="D335" s="1365">
        <f t="shared" si="210"/>
        <v>2016</v>
      </c>
      <c r="E335" s="1329"/>
      <c r="F335" s="1329"/>
      <c r="G335" s="1373">
        <f t="shared" si="211"/>
        <v>0</v>
      </c>
      <c r="H335" s="1329"/>
      <c r="I335" s="1378"/>
      <c r="J335" s="1384"/>
      <c r="K335" s="1363">
        <f t="shared" si="212"/>
        <v>2016</v>
      </c>
      <c r="L335" s="1353" t="str">
        <f>IF(K326="Forecast","",IF(L325=0,"",L326/L325-1))</f>
        <v/>
      </c>
      <c r="M335" s="1353">
        <f>IF(M325=0,"",M326/M325-1)</f>
        <v>-4.5444833525088435E-2</v>
      </c>
      <c r="N335" s="1329"/>
      <c r="O335" s="1324"/>
      <c r="P335" s="1265"/>
      <c r="Q335" s="1363">
        <f t="shared" si="214"/>
        <v>2016</v>
      </c>
      <c r="R335" s="1374" t="str">
        <f>IF(Q326="Forecast","",IF(R325=0,"",R326/R325-1))</f>
        <v/>
      </c>
      <c r="S335" s="1374">
        <f>IF(S325="","",IF(S325=0,"",S326/S325-1))</f>
        <v>-4.5444833525088435E-2</v>
      </c>
      <c r="T335" s="1329"/>
      <c r="U335" s="1324"/>
    </row>
    <row r="336" spans="2:22" x14ac:dyDescent="0.2">
      <c r="C336" s="1265"/>
      <c r="D336" s="1365">
        <f t="shared" si="210"/>
        <v>2017</v>
      </c>
      <c r="E336" s="1329"/>
      <c r="F336" s="1329"/>
      <c r="G336" s="1373">
        <f t="shared" si="211"/>
        <v>0</v>
      </c>
      <c r="H336" s="1329"/>
      <c r="I336" s="1379">
        <f>IF(I328=0,"",G327/I328-1)</f>
        <v>0</v>
      </c>
      <c r="J336" s="1384"/>
      <c r="K336" s="1363">
        <f t="shared" si="212"/>
        <v>2017</v>
      </c>
      <c r="L336" s="1353" t="str">
        <f>IF(K327="Forecast","",IF(L326=0,"",L327/L326-1))</f>
        <v/>
      </c>
      <c r="M336" s="1353">
        <f>IF(M326=0,"",M327/M326-1)</f>
        <v>-3.2160558130494787E-2</v>
      </c>
      <c r="N336" s="1329"/>
      <c r="O336" s="1354">
        <f>IF(O328=0,"",M327/O328-1)</f>
        <v>4.9920829307580794E-2</v>
      </c>
      <c r="P336" s="1265"/>
      <c r="Q336" s="1363">
        <f t="shared" si="214"/>
        <v>2017</v>
      </c>
      <c r="R336" s="1374" t="str">
        <f>IF(Q327="Forecast","",IF(R326=0,"",R327/R326-1))</f>
        <v/>
      </c>
      <c r="S336" s="1374">
        <f>IF(S326="","",IF(S326=0,"",S327/S326-1))</f>
        <v>-3.2160558130494787E-2</v>
      </c>
      <c r="T336" s="1329"/>
      <c r="U336" s="1354">
        <f>IF(U328=0,"",S327/U328-1)</f>
        <v>4.9920829307580794E-2</v>
      </c>
    </row>
    <row r="337" spans="3:21" ht="26.25" thickBot="1" x14ac:dyDescent="0.25">
      <c r="C337" s="1271"/>
      <c r="D337" s="1405" t="s">
        <v>1221</v>
      </c>
      <c r="E337" s="1355"/>
      <c r="F337" s="1355"/>
      <c r="G337" s="1375">
        <f>IF(G321=0,"",(G327/G321)^(1/($D327-$D321-1))-1)</f>
        <v>0</v>
      </c>
      <c r="H337" s="1355"/>
      <c r="I337" s="1406">
        <f>IF(I328=0,"",(G327/I328)^(1/(TestYear-RebaseYear-1))-1)</f>
        <v>0</v>
      </c>
      <c r="J337" s="1360"/>
      <c r="K337" s="1404" t="str">
        <f t="shared" si="212"/>
        <v>Geometric Mean</v>
      </c>
      <c r="L337" s="1358">
        <f>IF(L321=0,"",(L325/L321)^(1/($D325-$D321-1))-1)</f>
        <v>-2.9607475513377612E-2</v>
      </c>
      <c r="M337" s="1358">
        <f>IF(M321=0,"",(M327/M321)^(1/($D327-$D321-1))-1)</f>
        <v>-2.810745320667507E-2</v>
      </c>
      <c r="N337" s="1355"/>
      <c r="O337" s="1371">
        <f>IF(O328=0,"",(M327/O328)^(1/(TestYear-RebaseYear-1))-1)</f>
        <v>1.2253152390977462E-2</v>
      </c>
      <c r="P337" s="1271"/>
      <c r="Q337" s="1404" t="str">
        <f t="shared" si="214"/>
        <v>Geometric Mean</v>
      </c>
      <c r="R337" s="1376">
        <f>IF(R321="","",IF(R321=0,"",(R325/R321)^(1/($D325-$D321-1))-1))</f>
        <v>-2.9607475513377612E-2</v>
      </c>
      <c r="S337" s="1358">
        <f>IF(S321="","",IF(S321=0,"",(S327/S321)^(1/($D327-$D321-1))-1))</f>
        <v>-2.810745320667507E-2</v>
      </c>
      <c r="T337" s="1355"/>
      <c r="U337" s="1371">
        <f>IF(U328=0,"",(S327/U328)^(1/(TestYear-RebaseYear-1))-1)</f>
        <v>1.2253152390977462E-2</v>
      </c>
    </row>
    <row r="339" spans="3:21" ht="13.5" thickBot="1" x14ac:dyDescent="0.25">
      <c r="Q339" s="1355"/>
      <c r="R339" s="1355"/>
      <c r="S339" s="1355"/>
      <c r="T339" s="1355"/>
      <c r="U339" s="1355"/>
    </row>
    <row r="340" spans="3:21" x14ac:dyDescent="0.2">
      <c r="C340" s="1264"/>
      <c r="D340" s="1268" t="s">
        <v>1205</v>
      </c>
      <c r="E340" s="1268"/>
      <c r="F340" s="1876" t="s">
        <v>1198</v>
      </c>
      <c r="G340" s="1877"/>
      <c r="H340" s="1877"/>
      <c r="I340" s="1878"/>
      <c r="K340" s="1859" t="str">
        <f>IF(ISBLANK(N317),"",CONCATENATE("Demand (",N317,")"))</f>
        <v>Demand (kW)</v>
      </c>
      <c r="L340" s="1860"/>
      <c r="M340" s="1860"/>
      <c r="N340" s="1860"/>
      <c r="O340" s="1861"/>
      <c r="Q340" s="1869" t="str">
        <f>CONCATENATE("Demand (",N317,") per ",LEFT(F319,LEN(F319)-1))</f>
        <v>Demand (kW) per Customer</v>
      </c>
      <c r="R340" s="1879"/>
      <c r="S340" s="1879"/>
      <c r="T340" s="1879"/>
      <c r="U340" s="1870"/>
    </row>
    <row r="341" spans="3:21" ht="39" thickBot="1" x14ac:dyDescent="0.25">
      <c r="C341" s="1271"/>
      <c r="D341" s="1277" t="str">
        <f>CONCATENATE("(for ",TestYear," Cost of Service")</f>
        <v>(for 2017 Cost of Service</v>
      </c>
      <c r="E341" s="1266"/>
      <c r="F341" s="1872"/>
      <c r="G341" s="1873"/>
      <c r="H341" s="1873"/>
      <c r="I341" s="1296"/>
      <c r="K341" s="1284"/>
      <c r="L341" s="1433" t="s">
        <v>1226</v>
      </c>
      <c r="M341" s="1433" t="s">
        <v>1210</v>
      </c>
      <c r="N341" s="1305"/>
      <c r="O341" s="1306" t="str">
        <f>M341</f>
        <v>Weather-normalized</v>
      </c>
      <c r="Q341" s="1403"/>
      <c r="R341" s="1490" t="str">
        <f>L341</f>
        <v>Actual (Weather actual)</v>
      </c>
      <c r="S341" s="1490" t="str">
        <f>M341</f>
        <v>Weather-normalized</v>
      </c>
      <c r="T341" s="1490"/>
      <c r="U341" s="1491" t="str">
        <f>O341</f>
        <v>Weather-normalized</v>
      </c>
    </row>
    <row r="342" spans="3:21" x14ac:dyDescent="0.2">
      <c r="C342" s="1266" t="s">
        <v>890</v>
      </c>
      <c r="D342" s="1363">
        <f t="shared" ref="D342:D347" si="216">D343-1</f>
        <v>2011</v>
      </c>
      <c r="E342" s="1265"/>
      <c r="F342" s="1313" t="str">
        <f t="shared" ref="F342:F348" si="217">F321</f>
        <v>Actual</v>
      </c>
      <c r="G342" s="1311">
        <v>0</v>
      </c>
      <c r="H342" s="2" t="str">
        <f t="shared" ref="H342:H348" si="218">IF(D342=RebaseYear,"Board-approved","")</f>
        <v/>
      </c>
      <c r="I342" s="1383"/>
      <c r="K342" s="1282" t="str">
        <f t="shared" ref="K342:K348" si="219">K321</f>
        <v>Actual</v>
      </c>
      <c r="L342" s="1500">
        <v>113910.59999999999</v>
      </c>
      <c r="M342" s="1500">
        <v>112440.26005281199</v>
      </c>
      <c r="N342" s="1258" t="str">
        <f t="shared" ref="N342:N348" si="220">N321</f>
        <v/>
      </c>
      <c r="O342" s="1324"/>
      <c r="Q342" s="1507" t="str">
        <f>K342</f>
        <v>Actual</v>
      </c>
      <c r="R342" s="1508">
        <f>IF(G321=0,"",L342/G321)</f>
        <v>28477.649999999998</v>
      </c>
      <c r="S342" s="1508">
        <f>IF(G321=0,"",M342/G321)</f>
        <v>28110.065013202999</v>
      </c>
      <c r="T342" s="1503" t="str">
        <f>N342</f>
        <v/>
      </c>
      <c r="U342" s="1504" t="str">
        <f>IF(T342="","",IF(I342=0,"",O342/I342))</f>
        <v/>
      </c>
    </row>
    <row r="343" spans="3:21" x14ac:dyDescent="0.2">
      <c r="C343" s="1266" t="s">
        <v>890</v>
      </c>
      <c r="D343" s="1363">
        <f t="shared" si="216"/>
        <v>2012</v>
      </c>
      <c r="E343" s="1265"/>
      <c r="F343" s="1314" t="str">
        <f t="shared" si="217"/>
        <v>Actual</v>
      </c>
      <c r="G343" s="1311">
        <v>102204</v>
      </c>
      <c r="H343" s="2" t="str">
        <f t="shared" si="218"/>
        <v>Board-approved</v>
      </c>
      <c r="I343" s="1311">
        <v>149301.10607079451</v>
      </c>
      <c r="K343" s="1282" t="str">
        <f t="shared" si="219"/>
        <v>Actual</v>
      </c>
      <c r="L343" s="1500">
        <v>111193.80000000002</v>
      </c>
      <c r="M343" s="1500">
        <v>111045.81331930951</v>
      </c>
      <c r="N343" s="1258" t="str">
        <f t="shared" si="220"/>
        <v>Board-approved</v>
      </c>
      <c r="O343" s="1494">
        <v>96048.524183723959</v>
      </c>
      <c r="Q343" s="1496" t="str">
        <f t="shared" ref="Q343:Q348" si="221">K343</f>
        <v>Actual</v>
      </c>
      <c r="R343" s="1504">
        <f t="shared" ref="R343:R348" si="222">IF(G322=0,"",L343/G322)</f>
        <v>27798.450000000004</v>
      </c>
      <c r="S343" s="1504">
        <f t="shared" ref="S343:S348" si="223">IF(G322=0,"",M343/G322)</f>
        <v>27761.453329827378</v>
      </c>
      <c r="T343" s="1503" t="str">
        <f t="shared" ref="T343:T348" si="224">N343</f>
        <v>Board-approved</v>
      </c>
      <c r="U343" s="1504">
        <f>IF(T322="","",IF(I343=0,"",O343/I322))</f>
        <v>24012.13104593099</v>
      </c>
    </row>
    <row r="344" spans="3:21" x14ac:dyDescent="0.2">
      <c r="C344" s="1266" t="s">
        <v>890</v>
      </c>
      <c r="D344" s="1363">
        <f t="shared" si="216"/>
        <v>2013</v>
      </c>
      <c r="E344" s="1265"/>
      <c r="F344" s="1314" t="str">
        <f t="shared" si="217"/>
        <v>Actual</v>
      </c>
      <c r="G344" s="1311">
        <v>179554.92107357015</v>
      </c>
      <c r="H344" s="2" t="str">
        <f t="shared" si="218"/>
        <v/>
      </c>
      <c r="I344" s="1328"/>
      <c r="K344" s="1282" t="str">
        <f t="shared" si="219"/>
        <v>Actual</v>
      </c>
      <c r="L344" s="1500">
        <v>110634.70000000001</v>
      </c>
      <c r="M344" s="1500">
        <v>111005.28758374415</v>
      </c>
      <c r="N344" s="1258" t="str">
        <f t="shared" si="220"/>
        <v/>
      </c>
      <c r="O344" s="1325"/>
      <c r="Q344" s="1496" t="str">
        <f t="shared" si="221"/>
        <v>Actual</v>
      </c>
      <c r="R344" s="1504">
        <f t="shared" si="222"/>
        <v>27658.675000000003</v>
      </c>
      <c r="S344" s="1504">
        <f t="shared" si="223"/>
        <v>27751.321895936038</v>
      </c>
      <c r="T344" s="1503" t="str">
        <f t="shared" si="224"/>
        <v/>
      </c>
      <c r="U344" s="1504" t="str">
        <f t="shared" ref="U344:U348" si="225">IF(T344="","",IF(I344=0,"",O344/I344))</f>
        <v/>
      </c>
    </row>
    <row r="345" spans="3:21" x14ac:dyDescent="0.2">
      <c r="C345" s="1266" t="s">
        <v>890</v>
      </c>
      <c r="D345" s="1363">
        <f t="shared" si="216"/>
        <v>2014</v>
      </c>
      <c r="E345" s="1265"/>
      <c r="F345" s="1314" t="str">
        <f t="shared" si="217"/>
        <v>Actual</v>
      </c>
      <c r="G345" s="1311">
        <v>1</v>
      </c>
      <c r="H345" s="2" t="str">
        <f t="shared" si="218"/>
        <v/>
      </c>
      <c r="I345" s="1324"/>
      <c r="K345" s="1282" t="str">
        <f t="shared" si="219"/>
        <v>Actual</v>
      </c>
      <c r="L345" s="1500">
        <v>115370.49999999999</v>
      </c>
      <c r="M345" s="1500">
        <v>115791.88799008359</v>
      </c>
      <c r="N345" s="1258" t="str">
        <f t="shared" si="220"/>
        <v/>
      </c>
      <c r="O345" s="1324"/>
      <c r="Q345" s="1496" t="str">
        <f t="shared" si="221"/>
        <v>Actual</v>
      </c>
      <c r="R345" s="1504">
        <f t="shared" si="222"/>
        <v>28842.624999999996</v>
      </c>
      <c r="S345" s="1504">
        <f t="shared" si="223"/>
        <v>28947.971997520897</v>
      </c>
      <c r="T345" s="1503" t="str">
        <f t="shared" si="224"/>
        <v/>
      </c>
      <c r="U345" s="1504" t="str">
        <f t="shared" si="225"/>
        <v/>
      </c>
    </row>
    <row r="346" spans="3:21" x14ac:dyDescent="0.2">
      <c r="C346" s="1266" t="s">
        <v>890</v>
      </c>
      <c r="D346" s="1363">
        <f t="shared" si="216"/>
        <v>2015</v>
      </c>
      <c r="E346" s="1265"/>
      <c r="F346" s="1314" t="str">
        <f t="shared" si="217"/>
        <v>Actual</v>
      </c>
      <c r="G346" s="1311">
        <v>163336</v>
      </c>
      <c r="H346" s="2" t="str">
        <f t="shared" si="218"/>
        <v/>
      </c>
      <c r="I346" s="1324"/>
      <c r="K346" s="1282" t="str">
        <f t="shared" si="219"/>
        <v>Actual</v>
      </c>
      <c r="L346" s="1500">
        <v>105467.49</v>
      </c>
      <c r="M346" s="1500">
        <v>106935.25135266288</v>
      </c>
      <c r="N346" s="1258" t="str">
        <f t="shared" si="220"/>
        <v/>
      </c>
      <c r="O346" s="1324"/>
      <c r="Q346" s="1496" t="str">
        <f t="shared" si="221"/>
        <v>Actual</v>
      </c>
      <c r="R346" s="1504">
        <f t="shared" si="222"/>
        <v>26366.872500000001</v>
      </c>
      <c r="S346" s="1504">
        <f t="shared" si="223"/>
        <v>26733.812838165719</v>
      </c>
      <c r="T346" s="1503" t="str">
        <f t="shared" si="224"/>
        <v/>
      </c>
      <c r="U346" s="1504" t="str">
        <f t="shared" si="225"/>
        <v/>
      </c>
    </row>
    <row r="347" spans="3:21" x14ac:dyDescent="0.2">
      <c r="C347" s="1266" t="s">
        <v>1203</v>
      </c>
      <c r="D347" s="1363">
        <f t="shared" si="216"/>
        <v>2016</v>
      </c>
      <c r="E347" s="1265"/>
      <c r="F347" s="1314" t="str">
        <f t="shared" si="217"/>
        <v>Forecast</v>
      </c>
      <c r="G347" s="1311">
        <v>116294.81441988278</v>
      </c>
      <c r="H347" s="2" t="str">
        <f t="shared" si="218"/>
        <v/>
      </c>
      <c r="I347" s="1324"/>
      <c r="K347" s="1282" t="str">
        <f t="shared" si="219"/>
        <v>Forecast</v>
      </c>
      <c r="L347" s="1303"/>
      <c r="M347" s="1501">
        <v>100002.37884363061</v>
      </c>
      <c r="N347" s="1258" t="str">
        <f t="shared" si="220"/>
        <v/>
      </c>
      <c r="O347" s="1324"/>
      <c r="Q347" s="1496" t="str">
        <f t="shared" si="221"/>
        <v>Forecast</v>
      </c>
      <c r="R347" s="1504">
        <f t="shared" si="222"/>
        <v>0</v>
      </c>
      <c r="S347" s="1504">
        <f t="shared" si="223"/>
        <v>25000.594710907651</v>
      </c>
      <c r="T347" s="1503" t="str">
        <f t="shared" si="224"/>
        <v/>
      </c>
      <c r="U347" s="1504" t="str">
        <f t="shared" si="225"/>
        <v/>
      </c>
    </row>
    <row r="348" spans="3:21" ht="13.5" thickBot="1" x14ac:dyDescent="0.25">
      <c r="C348" s="1267" t="s">
        <v>1204</v>
      </c>
      <c r="D348" s="1364">
        <f>TestYear</f>
        <v>2017</v>
      </c>
      <c r="E348" s="1271"/>
      <c r="F348" s="1315" t="str">
        <f t="shared" si="217"/>
        <v>Forecast</v>
      </c>
      <c r="G348" s="1312">
        <v>58475.887445084678</v>
      </c>
      <c r="H348" s="1307" t="str">
        <f t="shared" si="218"/>
        <v/>
      </c>
      <c r="I348" s="1326"/>
      <c r="K348" s="1283" t="str">
        <f t="shared" si="219"/>
        <v>Forecast</v>
      </c>
      <c r="L348" s="1304"/>
      <c r="M348" s="1502">
        <v>96786.246525642244</v>
      </c>
      <c r="N348" s="1262" t="str">
        <f t="shared" si="220"/>
        <v/>
      </c>
      <c r="O348" s="1326"/>
      <c r="Q348" s="1319" t="str">
        <f t="shared" si="221"/>
        <v>Forecast</v>
      </c>
      <c r="R348" s="1506">
        <f t="shared" si="222"/>
        <v>0</v>
      </c>
      <c r="S348" s="1506">
        <f t="shared" si="223"/>
        <v>24196.561631410561</v>
      </c>
      <c r="T348" s="1505" t="str">
        <f t="shared" si="224"/>
        <v/>
      </c>
      <c r="U348" s="1506" t="str">
        <f t="shared" si="225"/>
        <v/>
      </c>
    </row>
    <row r="349" spans="3:21" ht="13.5" thickBot="1" x14ac:dyDescent="0.25">
      <c r="C349" s="1366"/>
      <c r="I349" s="1408">
        <f>SUM(I342:I347)</f>
        <v>149301.10607079451</v>
      </c>
      <c r="J349" s="1329"/>
      <c r="O349" s="1408">
        <f>SUM(O342:O347)</f>
        <v>96048.524183723959</v>
      </c>
      <c r="U349" s="1408">
        <f>SUM(U342:U347)</f>
        <v>24012.13104593099</v>
      </c>
    </row>
    <row r="350" spans="3:21" ht="39" thickBot="1" x14ac:dyDescent="0.25">
      <c r="C350" s="1400" t="s">
        <v>952</v>
      </c>
      <c r="D350" s="1399" t="s">
        <v>15</v>
      </c>
      <c r="E350" s="1435"/>
      <c r="F350" s="1435"/>
      <c r="G350" s="1435" t="s">
        <v>1222</v>
      </c>
      <c r="H350" s="1435"/>
      <c r="I350" s="1394" t="str">
        <f>I329</f>
        <v>Test Year Versus Board-approved</v>
      </c>
      <c r="J350" s="1407"/>
      <c r="K350" s="1395" t="s">
        <v>15</v>
      </c>
      <c r="L350" s="1874" t="s">
        <v>1222</v>
      </c>
      <c r="M350" s="1874"/>
      <c r="N350" s="1435"/>
      <c r="O350" s="1394" t="str">
        <f>I350</f>
        <v>Test Year Versus Board-approved</v>
      </c>
      <c r="P350" s="1380"/>
      <c r="Q350" s="1395" t="s">
        <v>15</v>
      </c>
      <c r="R350" s="1874" t="s">
        <v>1222</v>
      </c>
      <c r="S350" s="1874"/>
      <c r="T350" s="1435"/>
      <c r="U350" s="1394" t="str">
        <f>O350</f>
        <v>Test Year Versus Board-approved</v>
      </c>
    </row>
    <row r="351" spans="3:21" x14ac:dyDescent="0.2">
      <c r="C351" s="1265"/>
      <c r="D351" s="1402">
        <f t="shared" ref="D351:D357" si="226">D342</f>
        <v>2011</v>
      </c>
      <c r="E351" s="1345"/>
      <c r="F351" s="1329"/>
      <c r="G351" s="1372"/>
      <c r="H351" s="1329"/>
      <c r="I351" s="1378"/>
      <c r="J351" s="1265"/>
      <c r="K351" s="1363">
        <f>D351</f>
        <v>2011</v>
      </c>
      <c r="L351" s="1351"/>
      <c r="M351" s="1351"/>
      <c r="N351" s="1329"/>
      <c r="O351" s="1381"/>
      <c r="P351" s="1265"/>
      <c r="Q351" s="1363">
        <f>K351</f>
        <v>2011</v>
      </c>
      <c r="R351" s="1330"/>
      <c r="S351" s="1330"/>
      <c r="T351" s="1329"/>
      <c r="U351" s="1324"/>
    </row>
    <row r="352" spans="3:21" x14ac:dyDescent="0.2">
      <c r="C352" s="1265"/>
      <c r="D352" s="1365">
        <f t="shared" si="226"/>
        <v>2012</v>
      </c>
      <c r="E352" s="1329"/>
      <c r="F352" s="1329"/>
      <c r="G352" s="1373" t="str">
        <f t="shared" ref="G352:G357" si="227">IF(G342=0,"",G343/G342-1)</f>
        <v/>
      </c>
      <c r="H352" s="1329"/>
      <c r="I352" s="1378"/>
      <c r="J352" s="1265"/>
      <c r="K352" s="1363">
        <f t="shared" ref="K352:K358" si="228">D352</f>
        <v>2012</v>
      </c>
      <c r="L352" s="1353">
        <f t="shared" ref="L352:M355" si="229">IF(L342=0,"",L343/L342-1)</f>
        <v>-2.3850282590030858E-2</v>
      </c>
      <c r="M352" s="1353">
        <f t="shared" si="229"/>
        <v>-1.2401667630860369E-2</v>
      </c>
      <c r="N352" s="1329"/>
      <c r="O352" s="1381"/>
      <c r="P352" s="1265"/>
      <c r="Q352" s="1363">
        <f t="shared" ref="Q352:Q358" si="230">K352</f>
        <v>2012</v>
      </c>
      <c r="R352" s="1374">
        <f t="shared" ref="R352:S355" si="231">IF(R342="","",IF(R342=0,"",R343/R342-1))</f>
        <v>-2.3850282590030858E-2</v>
      </c>
      <c r="S352" s="1374">
        <f t="shared" si="231"/>
        <v>-1.2401667630860369E-2</v>
      </c>
      <c r="T352" s="1329"/>
      <c r="U352" s="1324"/>
    </row>
    <row r="353" spans="2:22" x14ac:dyDescent="0.2">
      <c r="C353" s="1265"/>
      <c r="D353" s="1401">
        <f t="shared" si="226"/>
        <v>2013</v>
      </c>
      <c r="E353" s="1329"/>
      <c r="F353" s="1329"/>
      <c r="G353" s="1373">
        <f t="shared" si="227"/>
        <v>0.75682870605426555</v>
      </c>
      <c r="H353" s="1329"/>
      <c r="I353" s="1378"/>
      <c r="J353" s="1265"/>
      <c r="K353" s="1363">
        <f t="shared" si="228"/>
        <v>2013</v>
      </c>
      <c r="L353" s="1353">
        <f t="shared" si="229"/>
        <v>-5.0281580447830709E-3</v>
      </c>
      <c r="M353" s="1353">
        <f t="shared" si="229"/>
        <v>-3.6494609165338421E-4</v>
      </c>
      <c r="N353" s="1329"/>
      <c r="O353" s="1381"/>
      <c r="P353" s="1265"/>
      <c r="Q353" s="1363">
        <f t="shared" si="230"/>
        <v>2013</v>
      </c>
      <c r="R353" s="1374">
        <f t="shared" si="231"/>
        <v>-5.0281580447830709E-3</v>
      </c>
      <c r="S353" s="1374">
        <f t="shared" si="231"/>
        <v>-3.6494609165338421E-4</v>
      </c>
      <c r="T353" s="1329"/>
      <c r="U353" s="1324"/>
    </row>
    <row r="354" spans="2:22" x14ac:dyDescent="0.2">
      <c r="C354" s="1265"/>
      <c r="D354" s="1365">
        <f t="shared" si="226"/>
        <v>2014</v>
      </c>
      <c r="E354" s="1329"/>
      <c r="F354" s="1329"/>
      <c r="G354" s="1373">
        <f t="shared" si="227"/>
        <v>-0.99999443067338945</v>
      </c>
      <c r="H354" s="1329"/>
      <c r="I354" s="1378"/>
      <c r="J354" s="1265"/>
      <c r="K354" s="1363">
        <f t="shared" si="228"/>
        <v>2014</v>
      </c>
      <c r="L354" s="1353">
        <f t="shared" si="229"/>
        <v>4.2805738163523399E-2</v>
      </c>
      <c r="M354" s="1353">
        <f t="shared" si="229"/>
        <v>4.3120472101190188E-2</v>
      </c>
      <c r="N354" s="1329"/>
      <c r="O354" s="1381"/>
      <c r="P354" s="1265"/>
      <c r="Q354" s="1363">
        <f t="shared" si="230"/>
        <v>2014</v>
      </c>
      <c r="R354" s="1374">
        <f t="shared" si="231"/>
        <v>4.2805738163523399E-2</v>
      </c>
      <c r="S354" s="1374">
        <f t="shared" si="231"/>
        <v>4.3120472101190188E-2</v>
      </c>
      <c r="T354" s="1329"/>
      <c r="U354" s="1324"/>
    </row>
    <row r="355" spans="2:22" x14ac:dyDescent="0.2">
      <c r="C355" s="1265"/>
      <c r="D355" s="1365">
        <f t="shared" si="226"/>
        <v>2015</v>
      </c>
      <c r="E355" s="1329"/>
      <c r="F355" s="1329"/>
      <c r="G355" s="1373">
        <f t="shared" si="227"/>
        <v>163335</v>
      </c>
      <c r="H355" s="1329"/>
      <c r="I355" s="1378"/>
      <c r="J355" s="1265"/>
      <c r="K355" s="1363">
        <f t="shared" si="228"/>
        <v>2015</v>
      </c>
      <c r="L355" s="1353">
        <f t="shared" si="229"/>
        <v>-8.5836587342518089E-2</v>
      </c>
      <c r="M355" s="1353">
        <f t="shared" si="229"/>
        <v>-7.6487539767718382E-2</v>
      </c>
      <c r="N355" s="1329"/>
      <c r="O355" s="1381"/>
      <c r="P355" s="1265"/>
      <c r="Q355" s="1363">
        <f t="shared" si="230"/>
        <v>2015</v>
      </c>
      <c r="R355" s="1374">
        <f t="shared" si="231"/>
        <v>-8.5836587342518089E-2</v>
      </c>
      <c r="S355" s="1374">
        <f t="shared" si="231"/>
        <v>-7.6487539767718382E-2</v>
      </c>
      <c r="T355" s="1329"/>
      <c r="U355" s="1324"/>
    </row>
    <row r="356" spans="2:22" x14ac:dyDescent="0.2">
      <c r="C356" s="1265"/>
      <c r="D356" s="1365">
        <f t="shared" si="226"/>
        <v>2016</v>
      </c>
      <c r="E356" s="1329"/>
      <c r="F356" s="1329"/>
      <c r="G356" s="1373">
        <f t="shared" si="227"/>
        <v>-0.28800255657122265</v>
      </c>
      <c r="H356" s="1329"/>
      <c r="I356" s="1378"/>
      <c r="J356" s="1265"/>
      <c r="K356" s="1363">
        <f t="shared" si="228"/>
        <v>2016</v>
      </c>
      <c r="L356" s="1353" t="str">
        <f>IF(K347="Forecast","",IF(L346=0,"",L347/L346-1))</f>
        <v/>
      </c>
      <c r="M356" s="1353">
        <f>IF(M346=0,"",M347/M346-1)</f>
        <v>-6.4832432909969762E-2</v>
      </c>
      <c r="N356" s="1329"/>
      <c r="O356" s="1381"/>
      <c r="P356" s="1265"/>
      <c r="Q356" s="1363">
        <f t="shared" si="230"/>
        <v>2016</v>
      </c>
      <c r="R356" s="1374" t="str">
        <f>IF(Q347="Forecast","",IF(R346=0,"",R347/R346-1))</f>
        <v/>
      </c>
      <c r="S356" s="1374">
        <f>IF(S346="","",IF(S346=0,"",S347/S346-1))</f>
        <v>-6.4832432909969762E-2</v>
      </c>
      <c r="T356" s="1329"/>
      <c r="U356" s="1324"/>
    </row>
    <row r="357" spans="2:22" x14ac:dyDescent="0.2">
      <c r="C357" s="1265"/>
      <c r="D357" s="1401">
        <f t="shared" si="226"/>
        <v>2017</v>
      </c>
      <c r="E357" s="1329"/>
      <c r="F357" s="1329"/>
      <c r="G357" s="1373">
        <f t="shared" si="227"/>
        <v>-0.49717545243283756</v>
      </c>
      <c r="H357" s="1329"/>
      <c r="I357" s="1379">
        <f>IF(I349=0,"",G348/I349-1)</f>
        <v>-0.608335872492753</v>
      </c>
      <c r="J357" s="1265"/>
      <c r="K357" s="1363">
        <f t="shared" si="228"/>
        <v>2017</v>
      </c>
      <c r="L357" s="1353" t="str">
        <f>IF(K348="Forecast","",IF(L347=0,"",L348/L347-1))</f>
        <v/>
      </c>
      <c r="M357" s="1353">
        <f>IF(M347=0,"",M348/M347-1)</f>
        <v>-3.2160558130495009E-2</v>
      </c>
      <c r="N357" s="1329"/>
      <c r="O357" s="1382">
        <f>IF(O349=0,"",M348/O349-1)</f>
        <v>7.6807254269430913E-3</v>
      </c>
      <c r="P357" s="1265"/>
      <c r="Q357" s="1363">
        <f t="shared" si="230"/>
        <v>2017</v>
      </c>
      <c r="R357" s="1374" t="str">
        <f>IF(Q348="Forecast","",IF(R347=0,"",R348/R347-1))</f>
        <v/>
      </c>
      <c r="S357" s="1374">
        <f>IF(S347="","",IF(S347=0,"",S348/S347-1))</f>
        <v>-3.2160558130495009E-2</v>
      </c>
      <c r="T357" s="1329"/>
      <c r="U357" s="1354">
        <f>IF(U349=0,"",S348/U349-1)</f>
        <v>7.6807254269430913E-3</v>
      </c>
    </row>
    <row r="358" spans="2:22" ht="26.25" thickBot="1" x14ac:dyDescent="0.25">
      <c r="C358" s="1271"/>
      <c r="D358" s="1405" t="s">
        <v>1221</v>
      </c>
      <c r="E358" s="1355"/>
      <c r="F358" s="1355"/>
      <c r="G358" s="1375" t="str">
        <f>IF(G342=0,"",(G348/G342)^(1/($D348-$D342-1))-1)</f>
        <v/>
      </c>
      <c r="H358" s="1355"/>
      <c r="I358" s="1371">
        <f>IF(I349=0,"",(G348/I349)^(1/(TestYear-RebaseYear-1))-1)</f>
        <v>-0.20890534707312391</v>
      </c>
      <c r="J358" s="1265"/>
      <c r="K358" s="1404" t="str">
        <f t="shared" si="228"/>
        <v>Geometric Mean</v>
      </c>
      <c r="L358" s="1358">
        <f>IF(L342=0,"",(L346/L342)^(1/($D346-$D342-1))-1)</f>
        <v>-2.5343708963334932E-2</v>
      </c>
      <c r="M358" s="1358">
        <f>IF(M342=0,"",(M348/M342)^(1/($D348-$D342-1))-1)</f>
        <v>-2.9538387201951344E-2</v>
      </c>
      <c r="N358" s="1355"/>
      <c r="O358" s="1371">
        <f>IF(O349=0,"",(M348/O349)^(1/(TestYear-RebaseYear-1))-1)</f>
        <v>1.9146753616006151E-3</v>
      </c>
      <c r="P358" s="1271"/>
      <c r="Q358" s="1404" t="str">
        <f t="shared" si="230"/>
        <v>Geometric Mean</v>
      </c>
      <c r="R358" s="1376">
        <f>IF(R342="","",IF(R342=0,"",(R346/R342)^(1/($D346-$D342-1))-1))</f>
        <v>-2.5343708963334932E-2</v>
      </c>
      <c r="S358" s="1358">
        <f>IF(S342="","",IF(S342=0,"",(S348/S342)^(1/($D348-$D342-1))-1))</f>
        <v>-2.9538387201951344E-2</v>
      </c>
      <c r="T358" s="1355"/>
      <c r="U358" s="1371">
        <f>IF(U349=0,"",(S348/U349)^(1/(TestYear-RebaseYear-1))-1)</f>
        <v>1.9146753616006151E-3</v>
      </c>
    </row>
    <row r="359" spans="2:22" ht="13.5" thickBot="1" x14ac:dyDescent="0.25"/>
    <row r="360" spans="2:22" ht="13.5" thickBot="1" x14ac:dyDescent="0.25">
      <c r="B360" s="1318">
        <f>B317+1</f>
        <v>8</v>
      </c>
      <c r="C360" s="3" t="s">
        <v>14</v>
      </c>
      <c r="D360" s="1880"/>
      <c r="E360" s="1881"/>
      <c r="F360" s="1882"/>
      <c r="G360" s="1291"/>
      <c r="H360" s="13" t="s">
        <v>1224</v>
      </c>
      <c r="N360" s="1317"/>
      <c r="O360" s="1316"/>
      <c r="P360" s="1316"/>
      <c r="Q360" s="1316"/>
      <c r="R360" s="1316"/>
      <c r="S360" s="1316"/>
      <c r="T360" s="1316"/>
      <c r="U360" s="1316"/>
    </row>
    <row r="361" spans="2:22" ht="13.5" thickBot="1" x14ac:dyDescent="0.25">
      <c r="Q361" s="1355"/>
      <c r="R361" s="1355"/>
      <c r="S361" s="1355"/>
      <c r="T361" s="1355"/>
      <c r="U361" s="1355"/>
    </row>
    <row r="362" spans="2:22" x14ac:dyDescent="0.2">
      <c r="C362" s="1264"/>
      <c r="D362" s="1268" t="s">
        <v>1205</v>
      </c>
      <c r="E362" s="1268"/>
      <c r="F362" s="1883" t="s">
        <v>1034</v>
      </c>
      <c r="G362" s="1884"/>
      <c r="H362" s="1884"/>
      <c r="I362" s="1885"/>
      <c r="J362" s="1268"/>
      <c r="K362" s="1859" t="s">
        <v>1213</v>
      </c>
      <c r="L362" s="1860"/>
      <c r="M362" s="1860"/>
      <c r="N362" s="1860"/>
      <c r="O362" s="1861"/>
      <c r="P362" s="1287"/>
      <c r="Q362" s="1869" t="str">
        <f>CONCATENATE("Consumption (kWh) per ",LEFT(F362,LEN(F362)-1))</f>
        <v>Consumption (kWh) per Customer</v>
      </c>
      <c r="R362" s="1879"/>
      <c r="S362" s="1879"/>
      <c r="T362" s="1879"/>
      <c r="U362" s="1870"/>
      <c r="V362" s="1308"/>
    </row>
    <row r="363" spans="2:22" ht="39" thickBot="1" x14ac:dyDescent="0.25">
      <c r="C363" s="1271"/>
      <c r="D363" s="1277" t="str">
        <f>CONCATENATE("(for ",TestYear," Cost of Service")</f>
        <v>(for 2017 Cost of Service</v>
      </c>
      <c r="E363" s="1266"/>
      <c r="F363" s="1872"/>
      <c r="G363" s="1873"/>
      <c r="H363" s="1875"/>
      <c r="I363" s="1296"/>
      <c r="J363" s="1266"/>
      <c r="K363" s="1284"/>
      <c r="L363" s="1433" t="s">
        <v>1226</v>
      </c>
      <c r="M363" s="1433" t="s">
        <v>1210</v>
      </c>
      <c r="N363" s="1305"/>
      <c r="O363" s="1306" t="s">
        <v>1210</v>
      </c>
      <c r="P363" s="1266"/>
      <c r="Q363" s="1389"/>
      <c r="R363" s="1390" t="str">
        <f>L363</f>
        <v>Actual (Weather actual)</v>
      </c>
      <c r="S363" s="1391" t="str">
        <f>M363</f>
        <v>Weather-normalized</v>
      </c>
      <c r="T363" s="1391"/>
      <c r="U363" s="1392" t="str">
        <f>O363</f>
        <v>Weather-normalized</v>
      </c>
      <c r="V363" s="1308"/>
    </row>
    <row r="364" spans="2:22" x14ac:dyDescent="0.2">
      <c r="C364" s="1266" t="s">
        <v>890</v>
      </c>
      <c r="D364" s="1363">
        <f t="shared" ref="D364:D369" si="232">D365-1</f>
        <v>2011</v>
      </c>
      <c r="E364" s="1265"/>
      <c r="F364" s="1313" t="str">
        <f>F321</f>
        <v>Actual</v>
      </c>
      <c r="G364" s="1301"/>
      <c r="H364" s="1297" t="str">
        <f t="shared" ref="H364:H370" si="233">IF(D364=RebaseYear,"Board-approved","")</f>
        <v/>
      </c>
      <c r="I364" s="1324"/>
      <c r="J364" s="1265"/>
      <c r="K364" s="1282" t="str">
        <f>F364</f>
        <v>Actual</v>
      </c>
      <c r="L364" s="1294"/>
      <c r="M364" s="1294"/>
      <c r="N364" s="1258" t="str">
        <f>H364</f>
        <v/>
      </c>
      <c r="O364" s="1324"/>
      <c r="P364" s="1265"/>
      <c r="Q364" s="1385" t="str">
        <f>K364</f>
        <v>Actual</v>
      </c>
      <c r="R364" s="1387" t="str">
        <f>IF(G364=0,"",L364/G364)</f>
        <v/>
      </c>
      <c r="S364" s="1329" t="str">
        <f>IF(G364=0,"",M364/G364)</f>
        <v/>
      </c>
      <c r="T364" s="1329" t="str">
        <f>N364</f>
        <v/>
      </c>
      <c r="U364" s="1329" t="str">
        <f>IF(T364="","",IF(I364=0,"",O364/I364))</f>
        <v/>
      </c>
      <c r="V364" s="1309"/>
    </row>
    <row r="365" spans="2:22" x14ac:dyDescent="0.2">
      <c r="C365" s="1266" t="s">
        <v>890</v>
      </c>
      <c r="D365" s="1363">
        <f t="shared" si="232"/>
        <v>2012</v>
      </c>
      <c r="E365" s="1265"/>
      <c r="F365" s="1314" t="str">
        <f t="shared" ref="F365:F370" si="234">F322</f>
        <v>Actual</v>
      </c>
      <c r="G365" s="1301"/>
      <c r="H365" s="1297" t="str">
        <f t="shared" si="233"/>
        <v>Board-approved</v>
      </c>
      <c r="I365" s="1324"/>
      <c r="J365" s="1265"/>
      <c r="K365" s="1282" t="str">
        <f t="shared" ref="K365:K370" si="235">F365</f>
        <v>Actual</v>
      </c>
      <c r="L365" s="1294"/>
      <c r="M365" s="1294"/>
      <c r="N365" s="1258" t="str">
        <f t="shared" ref="N365:N370" si="236">H365</f>
        <v>Board-approved</v>
      </c>
      <c r="O365" s="1324"/>
      <c r="P365" s="1265"/>
      <c r="Q365" s="1385" t="str">
        <f t="shared" ref="Q365:Q370" si="237">K365</f>
        <v>Actual</v>
      </c>
      <c r="R365" s="1387" t="str">
        <f t="shared" ref="R365:R370" si="238">IF(G365=0,"",L365/G365)</f>
        <v/>
      </c>
      <c r="S365" s="1329" t="str">
        <f t="shared" ref="S365:S370" si="239">IF(G365=0,"",M365/G365)</f>
        <v/>
      </c>
      <c r="T365" s="1329" t="str">
        <f t="shared" ref="T365:T370" si="240">N365</f>
        <v>Board-approved</v>
      </c>
      <c r="U365" s="1329" t="str">
        <f t="shared" ref="U365:U370" si="241">IF(T365="","",IF(I365=0,"",O365/I365))</f>
        <v/>
      </c>
      <c r="V365" s="1309"/>
    </row>
    <row r="366" spans="2:22" x14ac:dyDescent="0.2">
      <c r="C366" s="1266" t="s">
        <v>890</v>
      </c>
      <c r="D366" s="1363">
        <f t="shared" si="232"/>
        <v>2013</v>
      </c>
      <c r="E366" s="1265"/>
      <c r="F366" s="1314" t="str">
        <f t="shared" si="234"/>
        <v>Actual</v>
      </c>
      <c r="G366" s="1301"/>
      <c r="H366" s="1297" t="str">
        <f t="shared" si="233"/>
        <v/>
      </c>
      <c r="I366" s="1325"/>
      <c r="J366" s="1265"/>
      <c r="K366" s="1282" t="str">
        <f t="shared" si="235"/>
        <v>Actual</v>
      </c>
      <c r="L366" s="1294"/>
      <c r="M366" s="1294"/>
      <c r="N366" s="1258" t="str">
        <f t="shared" si="236"/>
        <v/>
      </c>
      <c r="O366" s="1325"/>
      <c r="P366" s="1265"/>
      <c r="Q366" s="1385" t="str">
        <f t="shared" si="237"/>
        <v>Actual</v>
      </c>
      <c r="R366" s="1387" t="str">
        <f t="shared" si="238"/>
        <v/>
      </c>
      <c r="S366" s="1329" t="str">
        <f t="shared" si="239"/>
        <v/>
      </c>
      <c r="T366" s="1329" t="str">
        <f t="shared" si="240"/>
        <v/>
      </c>
      <c r="U366" s="1329" t="str">
        <f t="shared" si="241"/>
        <v/>
      </c>
      <c r="V366" s="1309"/>
    </row>
    <row r="367" spans="2:22" x14ac:dyDescent="0.2">
      <c r="C367" s="1266" t="s">
        <v>890</v>
      </c>
      <c r="D367" s="1363">
        <f t="shared" si="232"/>
        <v>2014</v>
      </c>
      <c r="E367" s="1265"/>
      <c r="F367" s="1314" t="str">
        <f t="shared" si="234"/>
        <v>Actual</v>
      </c>
      <c r="G367" s="1301"/>
      <c r="H367" s="1297" t="str">
        <f t="shared" si="233"/>
        <v/>
      </c>
      <c r="I367" s="1324"/>
      <c r="J367" s="1265"/>
      <c r="K367" s="1282" t="str">
        <f t="shared" si="235"/>
        <v>Actual</v>
      </c>
      <c r="L367" s="1294"/>
      <c r="M367" s="1294"/>
      <c r="N367" s="1258" t="str">
        <f t="shared" si="236"/>
        <v/>
      </c>
      <c r="O367" s="1324"/>
      <c r="P367" s="1265"/>
      <c r="Q367" s="1385" t="str">
        <f t="shared" si="237"/>
        <v>Actual</v>
      </c>
      <c r="R367" s="1387" t="str">
        <f t="shared" si="238"/>
        <v/>
      </c>
      <c r="S367" s="1329" t="str">
        <f t="shared" si="239"/>
        <v/>
      </c>
      <c r="T367" s="1329" t="str">
        <f t="shared" si="240"/>
        <v/>
      </c>
      <c r="U367" s="1329" t="str">
        <f t="shared" si="241"/>
        <v/>
      </c>
      <c r="V367" s="1309"/>
    </row>
    <row r="368" spans="2:22" x14ac:dyDescent="0.2">
      <c r="C368" s="1266" t="s">
        <v>890</v>
      </c>
      <c r="D368" s="1363">
        <f t="shared" si="232"/>
        <v>2015</v>
      </c>
      <c r="E368" s="1265"/>
      <c r="F368" s="1314" t="str">
        <f t="shared" si="234"/>
        <v>Actual</v>
      </c>
      <c r="G368" s="1301"/>
      <c r="H368" s="1297" t="str">
        <f t="shared" si="233"/>
        <v/>
      </c>
      <c r="I368" s="1324"/>
      <c r="J368" s="1265"/>
      <c r="K368" s="1282" t="str">
        <f t="shared" si="235"/>
        <v>Actual</v>
      </c>
      <c r="L368" s="1294"/>
      <c r="M368" s="1294"/>
      <c r="N368" s="1258" t="str">
        <f t="shared" si="236"/>
        <v/>
      </c>
      <c r="O368" s="1324"/>
      <c r="P368" s="1265"/>
      <c r="Q368" s="1385" t="str">
        <f t="shared" si="237"/>
        <v>Actual</v>
      </c>
      <c r="R368" s="1387" t="str">
        <f t="shared" si="238"/>
        <v/>
      </c>
      <c r="S368" s="1329" t="str">
        <f t="shared" si="239"/>
        <v/>
      </c>
      <c r="T368" s="1329" t="str">
        <f t="shared" si="240"/>
        <v/>
      </c>
      <c r="U368" s="1329" t="str">
        <f t="shared" si="241"/>
        <v/>
      </c>
      <c r="V368" s="1309"/>
    </row>
    <row r="369" spans="2:22" x14ac:dyDescent="0.2">
      <c r="C369" s="1266" t="s">
        <v>313</v>
      </c>
      <c r="D369" s="1363">
        <f t="shared" si="232"/>
        <v>2016</v>
      </c>
      <c r="E369" s="1265"/>
      <c r="F369" s="1314" t="str">
        <f t="shared" si="234"/>
        <v>Forecast</v>
      </c>
      <c r="G369" s="1301"/>
      <c r="H369" s="1297" t="str">
        <f t="shared" si="233"/>
        <v/>
      </c>
      <c r="I369" s="1324"/>
      <c r="J369" s="1265"/>
      <c r="K369" s="1282" t="str">
        <f t="shared" si="235"/>
        <v>Forecast</v>
      </c>
      <c r="L369" s="1303"/>
      <c r="M369" s="1332"/>
      <c r="N369" s="1258" t="str">
        <f t="shared" si="236"/>
        <v/>
      </c>
      <c r="O369" s="1324"/>
      <c r="P369" s="1265"/>
      <c r="Q369" s="1385" t="str">
        <f t="shared" si="237"/>
        <v>Forecast</v>
      </c>
      <c r="R369" s="1387" t="str">
        <f t="shared" si="238"/>
        <v/>
      </c>
      <c r="S369" s="1329" t="str">
        <f t="shared" si="239"/>
        <v/>
      </c>
      <c r="T369" s="1329" t="str">
        <f t="shared" si="240"/>
        <v/>
      </c>
      <c r="U369" s="1329" t="str">
        <f t="shared" si="241"/>
        <v/>
      </c>
      <c r="V369" s="1309"/>
    </row>
    <row r="370" spans="2:22" ht="13.5" thickBot="1" x14ac:dyDescent="0.25">
      <c r="C370" s="1267" t="s">
        <v>314</v>
      </c>
      <c r="D370" s="1364">
        <f>TestYear</f>
        <v>2017</v>
      </c>
      <c r="E370" s="1271"/>
      <c r="F370" s="1315" t="str">
        <f t="shared" si="234"/>
        <v>Forecast</v>
      </c>
      <c r="G370" s="1302"/>
      <c r="H370" s="1298" t="str">
        <f t="shared" si="233"/>
        <v/>
      </c>
      <c r="I370" s="1326"/>
      <c r="J370" s="1271"/>
      <c r="K370" s="1283" t="str">
        <f t="shared" si="235"/>
        <v>Forecast</v>
      </c>
      <c r="L370" s="1304"/>
      <c r="M370" s="1333"/>
      <c r="N370" s="1262" t="str">
        <f t="shared" si="236"/>
        <v/>
      </c>
      <c r="O370" s="1326"/>
      <c r="P370" s="1271"/>
      <c r="Q370" s="1386" t="str">
        <f t="shared" si="237"/>
        <v>Forecast</v>
      </c>
      <c r="R370" s="1388" t="str">
        <f t="shared" si="238"/>
        <v/>
      </c>
      <c r="S370" s="1355" t="str">
        <f t="shared" si="239"/>
        <v/>
      </c>
      <c r="T370" s="1355" t="str">
        <f t="shared" si="240"/>
        <v/>
      </c>
      <c r="U370" s="1355" t="str">
        <f t="shared" si="241"/>
        <v/>
      </c>
      <c r="V370" s="1309"/>
    </row>
    <row r="371" spans="2:22" ht="13.5" thickBot="1" x14ac:dyDescent="0.25">
      <c r="B371" s="1329"/>
      <c r="C371" s="1366"/>
      <c r="I371" s="1408">
        <f>SUM(I364:I369)</f>
        <v>0</v>
      </c>
      <c r="O371" s="1408">
        <f>SUM(O364:O369)</f>
        <v>0</v>
      </c>
      <c r="U371" s="1408">
        <f>SUM(U364:U369)</f>
        <v>0</v>
      </c>
    </row>
    <row r="372" spans="2:22" ht="39" thickBot="1" x14ac:dyDescent="0.25">
      <c r="C372" s="1400" t="s">
        <v>952</v>
      </c>
      <c r="D372" s="1399" t="s">
        <v>15</v>
      </c>
      <c r="E372" s="1361"/>
      <c r="F372" s="1361"/>
      <c r="G372" s="1435" t="s">
        <v>1222</v>
      </c>
      <c r="H372" s="1361"/>
      <c r="I372" s="1394" t="s">
        <v>1235</v>
      </c>
      <c r="J372" s="1396"/>
      <c r="K372" s="1395" t="s">
        <v>15</v>
      </c>
      <c r="L372" s="1874" t="s">
        <v>1222</v>
      </c>
      <c r="M372" s="1874"/>
      <c r="N372" s="1361"/>
      <c r="O372" s="1394" t="str">
        <f>I372</f>
        <v>Test Year Versus Board-approved</v>
      </c>
      <c r="P372" s="1397"/>
      <c r="Q372" s="1395" t="s">
        <v>15</v>
      </c>
      <c r="R372" s="1874" t="s">
        <v>1222</v>
      </c>
      <c r="S372" s="1874"/>
      <c r="T372" s="1361"/>
      <c r="U372" s="1394" t="str">
        <f>O372</f>
        <v>Test Year Versus Board-approved</v>
      </c>
    </row>
    <row r="373" spans="2:22" x14ac:dyDescent="0.2">
      <c r="C373" s="1265"/>
      <c r="D373" s="1377">
        <f t="shared" ref="D373:D379" si="242">D364</f>
        <v>2011</v>
      </c>
      <c r="E373" s="1329"/>
      <c r="F373" s="1329"/>
      <c r="G373" s="1372"/>
      <c r="H373" s="1329"/>
      <c r="I373" s="1378"/>
      <c r="J373" s="1384"/>
      <c r="K373" s="1363">
        <f>D373</f>
        <v>2011</v>
      </c>
      <c r="L373" s="1351"/>
      <c r="M373" s="1351"/>
      <c r="N373" s="1329"/>
      <c r="O373" s="1324"/>
      <c r="P373" s="1265"/>
      <c r="Q373" s="1363">
        <f>K373</f>
        <v>2011</v>
      </c>
      <c r="R373" s="1330"/>
      <c r="S373" s="1330"/>
      <c r="T373" s="1329"/>
      <c r="U373" s="1324"/>
    </row>
    <row r="374" spans="2:22" x14ac:dyDescent="0.2">
      <c r="C374" s="1265"/>
      <c r="D374" s="1365">
        <f t="shared" si="242"/>
        <v>2012</v>
      </c>
      <c r="E374" s="1329"/>
      <c r="F374" s="1329"/>
      <c r="G374" s="1373" t="str">
        <f t="shared" ref="G374:G379" si="243">IF(G364=0,"",G365/G364-1)</f>
        <v/>
      </c>
      <c r="H374" s="1329"/>
      <c r="I374" s="1378"/>
      <c r="J374" s="1384"/>
      <c r="K374" s="1363">
        <f t="shared" ref="K374:K380" si="244">D374</f>
        <v>2012</v>
      </c>
      <c r="L374" s="1353" t="str">
        <f t="shared" ref="L374:M377" si="245">IF(L364=0,"",L365/L364-1)</f>
        <v/>
      </c>
      <c r="M374" s="1353" t="str">
        <f t="shared" si="245"/>
        <v/>
      </c>
      <c r="N374" s="1329"/>
      <c r="O374" s="1324"/>
      <c r="P374" s="1265"/>
      <c r="Q374" s="1363">
        <f t="shared" ref="Q374:Q380" si="246">K374</f>
        <v>2012</v>
      </c>
      <c r="R374" s="1374" t="str">
        <f t="shared" ref="R374:S377" si="247">IF(R364="","",IF(R364=0,"",R365/R364-1))</f>
        <v/>
      </c>
      <c r="S374" s="1374" t="str">
        <f t="shared" si="247"/>
        <v/>
      </c>
      <c r="T374" s="1329"/>
      <c r="U374" s="1324"/>
    </row>
    <row r="375" spans="2:22" x14ac:dyDescent="0.2">
      <c r="C375" s="1265"/>
      <c r="D375" s="1365">
        <f t="shared" si="242"/>
        <v>2013</v>
      </c>
      <c r="E375" s="1329"/>
      <c r="F375" s="1329"/>
      <c r="G375" s="1373" t="str">
        <f t="shared" si="243"/>
        <v/>
      </c>
      <c r="H375" s="1329"/>
      <c r="I375" s="1378"/>
      <c r="J375" s="1384"/>
      <c r="K375" s="1363">
        <f t="shared" si="244"/>
        <v>2013</v>
      </c>
      <c r="L375" s="1353" t="str">
        <f t="shared" si="245"/>
        <v/>
      </c>
      <c r="M375" s="1353" t="str">
        <f t="shared" si="245"/>
        <v/>
      </c>
      <c r="N375" s="1329"/>
      <c r="O375" s="1324"/>
      <c r="P375" s="1265"/>
      <c r="Q375" s="1363">
        <f t="shared" si="246"/>
        <v>2013</v>
      </c>
      <c r="R375" s="1374" t="str">
        <f t="shared" si="247"/>
        <v/>
      </c>
      <c r="S375" s="1374" t="str">
        <f t="shared" si="247"/>
        <v/>
      </c>
      <c r="T375" s="1329"/>
      <c r="U375" s="1324"/>
    </row>
    <row r="376" spans="2:22" x14ac:dyDescent="0.2">
      <c r="C376" s="1265"/>
      <c r="D376" s="1365">
        <f t="shared" si="242"/>
        <v>2014</v>
      </c>
      <c r="E376" s="1329"/>
      <c r="F376" s="1329"/>
      <c r="G376" s="1373" t="str">
        <f t="shared" si="243"/>
        <v/>
      </c>
      <c r="H376" s="1329"/>
      <c r="I376" s="1378"/>
      <c r="J376" s="1384"/>
      <c r="K376" s="1363">
        <f t="shared" si="244"/>
        <v>2014</v>
      </c>
      <c r="L376" s="1353" t="str">
        <f t="shared" si="245"/>
        <v/>
      </c>
      <c r="M376" s="1353" t="str">
        <f t="shared" si="245"/>
        <v/>
      </c>
      <c r="N376" s="1329"/>
      <c r="O376" s="1324"/>
      <c r="P376" s="1265"/>
      <c r="Q376" s="1363">
        <f t="shared" si="246"/>
        <v>2014</v>
      </c>
      <c r="R376" s="1374" t="str">
        <f t="shared" si="247"/>
        <v/>
      </c>
      <c r="S376" s="1374" t="str">
        <f t="shared" si="247"/>
        <v/>
      </c>
      <c r="T376" s="1329"/>
      <c r="U376" s="1324"/>
    </row>
    <row r="377" spans="2:22" x14ac:dyDescent="0.2">
      <c r="C377" s="1265"/>
      <c r="D377" s="1365">
        <f t="shared" si="242"/>
        <v>2015</v>
      </c>
      <c r="E377" s="1329"/>
      <c r="F377" s="1329"/>
      <c r="G377" s="1373" t="str">
        <f t="shared" si="243"/>
        <v/>
      </c>
      <c r="H377" s="1329"/>
      <c r="I377" s="1378"/>
      <c r="J377" s="1384"/>
      <c r="K377" s="1363">
        <f t="shared" si="244"/>
        <v>2015</v>
      </c>
      <c r="L377" s="1353" t="str">
        <f t="shared" si="245"/>
        <v/>
      </c>
      <c r="M377" s="1353" t="str">
        <f t="shared" si="245"/>
        <v/>
      </c>
      <c r="N377" s="1329"/>
      <c r="O377" s="1324"/>
      <c r="P377" s="1265"/>
      <c r="Q377" s="1363">
        <f t="shared" si="246"/>
        <v>2015</v>
      </c>
      <c r="R377" s="1374" t="str">
        <f t="shared" si="247"/>
        <v/>
      </c>
      <c r="S377" s="1374" t="str">
        <f t="shared" si="247"/>
        <v/>
      </c>
      <c r="T377" s="1329"/>
      <c r="U377" s="1324"/>
    </row>
    <row r="378" spans="2:22" x14ac:dyDescent="0.2">
      <c r="C378" s="1265"/>
      <c r="D378" s="1365">
        <f t="shared" si="242"/>
        <v>2016</v>
      </c>
      <c r="E378" s="1329"/>
      <c r="F378" s="1329"/>
      <c r="G378" s="1373" t="str">
        <f t="shared" si="243"/>
        <v/>
      </c>
      <c r="H378" s="1329"/>
      <c r="I378" s="1378"/>
      <c r="J378" s="1384"/>
      <c r="K378" s="1363">
        <f t="shared" si="244"/>
        <v>2016</v>
      </c>
      <c r="L378" s="1353" t="str">
        <f>IF(K369="Forecast","",IF(L368=0,"",L369/L368-1))</f>
        <v/>
      </c>
      <c r="M378" s="1353" t="str">
        <f>IF(M368=0,"",M369/M368-1)</f>
        <v/>
      </c>
      <c r="N378" s="1329"/>
      <c r="O378" s="1324"/>
      <c r="P378" s="1265"/>
      <c r="Q378" s="1363">
        <f t="shared" si="246"/>
        <v>2016</v>
      </c>
      <c r="R378" s="1374" t="str">
        <f>IF(Q369="Forecast","",IF(R368=0,"",R369/R368-1))</f>
        <v/>
      </c>
      <c r="S378" s="1374" t="str">
        <f>IF(S368="","",IF(S368=0,"",S369/S368-1))</f>
        <v/>
      </c>
      <c r="T378" s="1329"/>
      <c r="U378" s="1324"/>
    </row>
    <row r="379" spans="2:22" x14ac:dyDescent="0.2">
      <c r="C379" s="1265"/>
      <c r="D379" s="1365">
        <f t="shared" si="242"/>
        <v>2017</v>
      </c>
      <c r="E379" s="1329"/>
      <c r="F379" s="1329"/>
      <c r="G379" s="1373" t="str">
        <f t="shared" si="243"/>
        <v/>
      </c>
      <c r="H379" s="1329"/>
      <c r="I379" s="1379" t="str">
        <f>IF(I371=0,"",G370/I371-1)</f>
        <v/>
      </c>
      <c r="J379" s="1384"/>
      <c r="K379" s="1363">
        <f t="shared" si="244"/>
        <v>2017</v>
      </c>
      <c r="L379" s="1353" t="str">
        <f>IF(K370="Forecast","",IF(L369=0,"",L370/L369-1))</f>
        <v/>
      </c>
      <c r="M379" s="1353" t="str">
        <f>IF(M369=0,"",M370/M369-1)</f>
        <v/>
      </c>
      <c r="N379" s="1329"/>
      <c r="O379" s="1354" t="str">
        <f>IF(O371=0,"",M370/O371-1)</f>
        <v/>
      </c>
      <c r="P379" s="1265"/>
      <c r="Q379" s="1363">
        <f t="shared" si="246"/>
        <v>2017</v>
      </c>
      <c r="R379" s="1374" t="str">
        <f>IF(Q370="Forecast","",IF(R369=0,"",R370/R369-1))</f>
        <v/>
      </c>
      <c r="S379" s="1374" t="str">
        <f>IF(S369="","",IF(S369=0,"",S370/S369-1))</f>
        <v/>
      </c>
      <c r="T379" s="1329"/>
      <c r="U379" s="1354" t="str">
        <f>IF(U371=0,"",S370/U371-1)</f>
        <v/>
      </c>
    </row>
    <row r="380" spans="2:22" ht="26.25" thickBot="1" x14ac:dyDescent="0.25">
      <c r="C380" s="1271"/>
      <c r="D380" s="1405" t="s">
        <v>1221</v>
      </c>
      <c r="E380" s="1355"/>
      <c r="F380" s="1355"/>
      <c r="G380" s="1375" t="str">
        <f>IF(G364=0,"",(G370/G364)^(1/($D370-$D364-1))-1)</f>
        <v/>
      </c>
      <c r="H380" s="1355"/>
      <c r="I380" s="1406" t="str">
        <f>IF(I371=0,"",(G370/I371)^(1/(TestYear-RebaseYear-1))-1)</f>
        <v/>
      </c>
      <c r="J380" s="1360"/>
      <c r="K380" s="1404" t="str">
        <f t="shared" si="244"/>
        <v>Geometric Mean</v>
      </c>
      <c r="L380" s="1358" t="str">
        <f>IF(L364=0,"",(L368/L364)^(1/($D368-$D364-1))-1)</f>
        <v/>
      </c>
      <c r="M380" s="1358" t="str">
        <f>IF(M364=0,"",(M370/M364)^(1/($D370-$D364-1))-1)</f>
        <v/>
      </c>
      <c r="N380" s="1355"/>
      <c r="O380" s="1371" t="str">
        <f>IF(O371=0,"",(M370/O371)^(1/(TestYear-RebaseYear-1))-1)</f>
        <v/>
      </c>
      <c r="P380" s="1271"/>
      <c r="Q380" s="1404" t="str">
        <f t="shared" si="246"/>
        <v>Geometric Mean</v>
      </c>
      <c r="R380" s="1376" t="str">
        <f>IF(R364="","",IF(R364=0,"",(R368/R364)^(1/($D368-$D364-1))-1))</f>
        <v/>
      </c>
      <c r="S380" s="1358" t="str">
        <f>IF(S364="","",IF(S364=0,"",(S370/S364)^(1/($D370-$D364-1))-1))</f>
        <v/>
      </c>
      <c r="T380" s="1355"/>
      <c r="U380" s="1371" t="str">
        <f>IF(U371=0,"",(S370/U371)^(1/(TestYear-RebaseYear-1))-1)</f>
        <v/>
      </c>
    </row>
    <row r="382" spans="2:22" ht="13.5" thickBot="1" x14ac:dyDescent="0.25">
      <c r="Q382" s="1355"/>
      <c r="R382" s="1355"/>
      <c r="S382" s="1355"/>
      <c r="T382" s="1355"/>
      <c r="U382" s="1355"/>
    </row>
    <row r="383" spans="2:22" x14ac:dyDescent="0.2">
      <c r="C383" s="1264"/>
      <c r="D383" s="1268" t="s">
        <v>1205</v>
      </c>
      <c r="E383" s="1268"/>
      <c r="F383" s="1876" t="s">
        <v>1198</v>
      </c>
      <c r="G383" s="1877"/>
      <c r="H383" s="1877"/>
      <c r="I383" s="1878"/>
      <c r="K383" s="1859" t="str">
        <f>IF(ISBLANK(N360),"",CONCATENATE("Demand (",N360,")"))</f>
        <v/>
      </c>
      <c r="L383" s="1860"/>
      <c r="M383" s="1860"/>
      <c r="N383" s="1860"/>
      <c r="O383" s="1861"/>
      <c r="Q383" s="1869" t="str">
        <f>CONCATENATE("Demand (",N360,") per ",LEFT(F362,LEN(F362)-1))</f>
        <v>Demand () per Customer</v>
      </c>
      <c r="R383" s="1879"/>
      <c r="S383" s="1879"/>
      <c r="T383" s="1879"/>
      <c r="U383" s="1870"/>
    </row>
    <row r="384" spans="2:22" ht="39" thickBot="1" x14ac:dyDescent="0.25">
      <c r="C384" s="1271"/>
      <c r="D384" s="1277" t="str">
        <f>CONCATENATE("(for ",TestYear," Cost of Service")</f>
        <v>(for 2017 Cost of Service</v>
      </c>
      <c r="E384" s="1266"/>
      <c r="F384" s="1872"/>
      <c r="G384" s="1873"/>
      <c r="H384" s="1873"/>
      <c r="I384" s="1296"/>
      <c r="K384" s="1284"/>
      <c r="L384" s="1433" t="s">
        <v>1226</v>
      </c>
      <c r="M384" s="1433" t="s">
        <v>1210</v>
      </c>
      <c r="N384" s="1305"/>
      <c r="O384" s="1306" t="str">
        <f>M384</f>
        <v>Weather-normalized</v>
      </c>
      <c r="Q384" s="1403"/>
      <c r="R384" s="1433" t="str">
        <f>L384</f>
        <v>Actual (Weather actual)</v>
      </c>
      <c r="S384" s="1433" t="str">
        <f>M384</f>
        <v>Weather-normalized</v>
      </c>
      <c r="T384" s="1433"/>
      <c r="U384" s="1434" t="str">
        <f>O384</f>
        <v>Weather-normalized</v>
      </c>
    </row>
    <row r="385" spans="3:21" x14ac:dyDescent="0.2">
      <c r="C385" s="1266" t="s">
        <v>890</v>
      </c>
      <c r="D385" s="1363">
        <f t="shared" ref="D385:D390" si="248">D386-1</f>
        <v>2011</v>
      </c>
      <c r="E385" s="1265"/>
      <c r="F385" s="1313" t="str">
        <f t="shared" ref="F385:F391" si="249">F364</f>
        <v>Actual</v>
      </c>
      <c r="G385" s="1311"/>
      <c r="H385" s="2" t="str">
        <f t="shared" ref="H385:H391" si="250">IF(D385=RebaseYear,"Board-approved","")</f>
        <v/>
      </c>
      <c r="I385" s="1383"/>
      <c r="K385" s="1282" t="str">
        <f t="shared" ref="K385:K391" si="251">K364</f>
        <v>Actual</v>
      </c>
      <c r="L385" s="1294"/>
      <c r="M385" s="1294"/>
      <c r="N385" s="1258" t="str">
        <f t="shared" ref="N385:N391" si="252">N364</f>
        <v/>
      </c>
      <c r="O385" s="1324"/>
      <c r="Q385" s="1385" t="str">
        <f>K385</f>
        <v>Actual</v>
      </c>
      <c r="R385" s="1329" t="str">
        <f>IF(G385=0,"",L385/G385)</f>
        <v/>
      </c>
      <c r="S385" s="1309" t="str">
        <f>IF(G385=0,"",M385/G385)</f>
        <v/>
      </c>
      <c r="T385" s="1309" t="str">
        <f>N385</f>
        <v/>
      </c>
      <c r="U385" s="1265" t="str">
        <f>IF(T385="","",IF(I385=0,"",O385/I385))</f>
        <v/>
      </c>
    </row>
    <row r="386" spans="3:21" x14ac:dyDescent="0.2">
      <c r="C386" s="1266" t="s">
        <v>890</v>
      </c>
      <c r="D386" s="1363">
        <f t="shared" si="248"/>
        <v>2012</v>
      </c>
      <c r="E386" s="1265"/>
      <c r="F386" s="1314" t="str">
        <f t="shared" si="249"/>
        <v>Actual</v>
      </c>
      <c r="G386" s="1311"/>
      <c r="H386" s="2" t="str">
        <f t="shared" si="250"/>
        <v>Board-approved</v>
      </c>
      <c r="I386" s="1324"/>
      <c r="K386" s="1282" t="str">
        <f t="shared" si="251"/>
        <v>Actual</v>
      </c>
      <c r="L386" s="1294"/>
      <c r="M386" s="1294"/>
      <c r="N386" s="1258" t="str">
        <f t="shared" si="252"/>
        <v>Board-approved</v>
      </c>
      <c r="O386" s="1324"/>
      <c r="Q386" s="1385" t="str">
        <f t="shared" ref="Q386:Q391" si="253">K386</f>
        <v>Actual</v>
      </c>
      <c r="R386" s="1329" t="str">
        <f t="shared" ref="R386:R391" si="254">IF(G386=0,"",L386/G386)</f>
        <v/>
      </c>
      <c r="S386" s="1309" t="str">
        <f t="shared" ref="S386:S391" si="255">IF(G386=0,"",M386/G386)</f>
        <v/>
      </c>
      <c r="T386" s="1309" t="str">
        <f t="shared" ref="T386:T391" si="256">N386</f>
        <v>Board-approved</v>
      </c>
      <c r="U386" s="1265" t="str">
        <f t="shared" ref="U386:U391" si="257">IF(T386="","",IF(I386=0,"",O386/I386))</f>
        <v/>
      </c>
    </row>
    <row r="387" spans="3:21" x14ac:dyDescent="0.2">
      <c r="C387" s="1266" t="s">
        <v>890</v>
      </c>
      <c r="D387" s="1363">
        <f t="shared" si="248"/>
        <v>2013</v>
      </c>
      <c r="E387" s="1265"/>
      <c r="F387" s="1314" t="str">
        <f t="shared" si="249"/>
        <v>Actual</v>
      </c>
      <c r="G387" s="1311"/>
      <c r="H387" s="2" t="str">
        <f t="shared" si="250"/>
        <v/>
      </c>
      <c r="I387" s="1328"/>
      <c r="K387" s="1282" t="str">
        <f t="shared" si="251"/>
        <v>Actual</v>
      </c>
      <c r="L387" s="1294"/>
      <c r="M387" s="1294"/>
      <c r="N387" s="1258" t="str">
        <f t="shared" si="252"/>
        <v/>
      </c>
      <c r="O387" s="1325"/>
      <c r="Q387" s="1385" t="str">
        <f t="shared" si="253"/>
        <v>Actual</v>
      </c>
      <c r="R387" s="1329" t="str">
        <f t="shared" si="254"/>
        <v/>
      </c>
      <c r="S387" s="1309" t="str">
        <f t="shared" si="255"/>
        <v/>
      </c>
      <c r="T387" s="1309" t="str">
        <f t="shared" si="256"/>
        <v/>
      </c>
      <c r="U387" s="1265" t="str">
        <f t="shared" si="257"/>
        <v/>
      </c>
    </row>
    <row r="388" spans="3:21" x14ac:dyDescent="0.2">
      <c r="C388" s="1266" t="s">
        <v>890</v>
      </c>
      <c r="D388" s="1363">
        <f t="shared" si="248"/>
        <v>2014</v>
      </c>
      <c r="E388" s="1265"/>
      <c r="F388" s="1314" t="str">
        <f t="shared" si="249"/>
        <v>Actual</v>
      </c>
      <c r="G388" s="1311"/>
      <c r="H388" s="2" t="str">
        <f t="shared" si="250"/>
        <v/>
      </c>
      <c r="I388" s="1324"/>
      <c r="K388" s="1282" t="str">
        <f t="shared" si="251"/>
        <v>Actual</v>
      </c>
      <c r="L388" s="1294"/>
      <c r="M388" s="1294"/>
      <c r="N388" s="1258" t="str">
        <f t="shared" si="252"/>
        <v/>
      </c>
      <c r="O388" s="1324"/>
      <c r="Q388" s="1385" t="str">
        <f t="shared" si="253"/>
        <v>Actual</v>
      </c>
      <c r="R388" s="1329" t="str">
        <f t="shared" si="254"/>
        <v/>
      </c>
      <c r="S388" s="1309" t="str">
        <f t="shared" si="255"/>
        <v/>
      </c>
      <c r="T388" s="1309" t="str">
        <f t="shared" si="256"/>
        <v/>
      </c>
      <c r="U388" s="1265" t="str">
        <f t="shared" si="257"/>
        <v/>
      </c>
    </row>
    <row r="389" spans="3:21" x14ac:dyDescent="0.2">
      <c r="C389" s="1266" t="s">
        <v>890</v>
      </c>
      <c r="D389" s="1363">
        <f t="shared" si="248"/>
        <v>2015</v>
      </c>
      <c r="E389" s="1265"/>
      <c r="F389" s="1314" t="str">
        <f t="shared" si="249"/>
        <v>Actual</v>
      </c>
      <c r="G389" s="1311"/>
      <c r="H389" s="2" t="str">
        <f t="shared" si="250"/>
        <v/>
      </c>
      <c r="I389" s="1324"/>
      <c r="K389" s="1282" t="str">
        <f t="shared" si="251"/>
        <v>Actual</v>
      </c>
      <c r="L389" s="1294"/>
      <c r="M389" s="1294"/>
      <c r="N389" s="1258" t="str">
        <f t="shared" si="252"/>
        <v/>
      </c>
      <c r="O389" s="1324"/>
      <c r="Q389" s="1385" t="str">
        <f t="shared" si="253"/>
        <v>Actual</v>
      </c>
      <c r="R389" s="1329" t="str">
        <f t="shared" si="254"/>
        <v/>
      </c>
      <c r="S389" s="1309" t="str">
        <f t="shared" si="255"/>
        <v/>
      </c>
      <c r="T389" s="1309" t="str">
        <f t="shared" si="256"/>
        <v/>
      </c>
      <c r="U389" s="1265" t="str">
        <f t="shared" si="257"/>
        <v/>
      </c>
    </row>
    <row r="390" spans="3:21" x14ac:dyDescent="0.2">
      <c r="C390" s="1266" t="s">
        <v>1203</v>
      </c>
      <c r="D390" s="1363">
        <f t="shared" si="248"/>
        <v>2016</v>
      </c>
      <c r="E390" s="1265"/>
      <c r="F390" s="1314" t="str">
        <f t="shared" si="249"/>
        <v>Forecast</v>
      </c>
      <c r="G390" s="1311"/>
      <c r="H390" s="2" t="str">
        <f t="shared" si="250"/>
        <v/>
      </c>
      <c r="I390" s="1324"/>
      <c r="K390" s="1282" t="str">
        <f t="shared" si="251"/>
        <v>Forecast</v>
      </c>
      <c r="L390" s="1303"/>
      <c r="M390" s="1334"/>
      <c r="N390" s="1258" t="str">
        <f t="shared" si="252"/>
        <v/>
      </c>
      <c r="O390" s="1324"/>
      <c r="Q390" s="1385" t="str">
        <f t="shared" si="253"/>
        <v>Forecast</v>
      </c>
      <c r="R390" s="1329" t="str">
        <f t="shared" si="254"/>
        <v/>
      </c>
      <c r="S390" s="1309" t="str">
        <f t="shared" si="255"/>
        <v/>
      </c>
      <c r="T390" s="1309" t="str">
        <f t="shared" si="256"/>
        <v/>
      </c>
      <c r="U390" s="1265" t="str">
        <f t="shared" si="257"/>
        <v/>
      </c>
    </row>
    <row r="391" spans="3:21" ht="13.5" thickBot="1" x14ac:dyDescent="0.25">
      <c r="C391" s="1267" t="s">
        <v>1204</v>
      </c>
      <c r="D391" s="1364">
        <f>TestYear</f>
        <v>2017</v>
      </c>
      <c r="E391" s="1271"/>
      <c r="F391" s="1315" t="str">
        <f t="shared" si="249"/>
        <v>Forecast</v>
      </c>
      <c r="G391" s="1312"/>
      <c r="H391" s="1307" t="str">
        <f t="shared" si="250"/>
        <v/>
      </c>
      <c r="I391" s="1326"/>
      <c r="K391" s="1283" t="str">
        <f t="shared" si="251"/>
        <v>Forecast</v>
      </c>
      <c r="L391" s="1304"/>
      <c r="M391" s="1335"/>
      <c r="N391" s="1262" t="str">
        <f t="shared" si="252"/>
        <v/>
      </c>
      <c r="O391" s="1326"/>
      <c r="Q391" s="1319" t="str">
        <f t="shared" si="253"/>
        <v>Forecast</v>
      </c>
      <c r="R391" s="1310" t="str">
        <f t="shared" si="254"/>
        <v/>
      </c>
      <c r="S391" s="1310" t="str">
        <f t="shared" si="255"/>
        <v/>
      </c>
      <c r="T391" s="1310" t="str">
        <f t="shared" si="256"/>
        <v/>
      </c>
      <c r="U391" s="1271" t="str">
        <f t="shared" si="257"/>
        <v/>
      </c>
    </row>
    <row r="392" spans="3:21" ht="13.5" thickBot="1" x14ac:dyDescent="0.25">
      <c r="C392" s="1366"/>
      <c r="I392" s="1408">
        <f>SUM(I385:I390)</f>
        <v>0</v>
      </c>
      <c r="J392" s="1329"/>
      <c r="O392" s="1408">
        <f>SUM(O385:O390)</f>
        <v>0</v>
      </c>
      <c r="U392" s="1408">
        <f>SUM(U385:U390)</f>
        <v>0</v>
      </c>
    </row>
    <row r="393" spans="3:21" ht="39" thickBot="1" x14ac:dyDescent="0.25">
      <c r="C393" s="1400" t="s">
        <v>952</v>
      </c>
      <c r="D393" s="1399" t="s">
        <v>15</v>
      </c>
      <c r="E393" s="1435"/>
      <c r="F393" s="1435"/>
      <c r="G393" s="1435" t="s">
        <v>1222</v>
      </c>
      <c r="H393" s="1435"/>
      <c r="I393" s="1394" t="str">
        <f>I372</f>
        <v>Test Year Versus Board-approved</v>
      </c>
      <c r="J393" s="1407"/>
      <c r="K393" s="1395" t="s">
        <v>15</v>
      </c>
      <c r="L393" s="1874" t="s">
        <v>1222</v>
      </c>
      <c r="M393" s="1874"/>
      <c r="N393" s="1435"/>
      <c r="O393" s="1394" t="str">
        <f>I393</f>
        <v>Test Year Versus Board-approved</v>
      </c>
      <c r="P393" s="1380"/>
      <c r="Q393" s="1395" t="s">
        <v>15</v>
      </c>
      <c r="R393" s="1874" t="s">
        <v>1222</v>
      </c>
      <c r="S393" s="1874"/>
      <c r="T393" s="1435"/>
      <c r="U393" s="1394" t="str">
        <f>O393</f>
        <v>Test Year Versus Board-approved</v>
      </c>
    </row>
    <row r="394" spans="3:21" x14ac:dyDescent="0.2">
      <c r="C394" s="1265"/>
      <c r="D394" s="1402">
        <f t="shared" ref="D394:D400" si="258">D385</f>
        <v>2011</v>
      </c>
      <c r="E394" s="1345"/>
      <c r="F394" s="1329"/>
      <c r="G394" s="1372"/>
      <c r="H394" s="1329"/>
      <c r="I394" s="1378"/>
      <c r="J394" s="1265"/>
      <c r="K394" s="1363">
        <f>D394</f>
        <v>2011</v>
      </c>
      <c r="L394" s="1351"/>
      <c r="M394" s="1351"/>
      <c r="N394" s="1329"/>
      <c r="O394" s="1381"/>
      <c r="P394" s="1265"/>
      <c r="Q394" s="1363">
        <f>K394</f>
        <v>2011</v>
      </c>
      <c r="R394" s="1330"/>
      <c r="S394" s="1330"/>
      <c r="T394" s="1329"/>
      <c r="U394" s="1324"/>
    </row>
    <row r="395" spans="3:21" x14ac:dyDescent="0.2">
      <c r="C395" s="1265"/>
      <c r="D395" s="1365">
        <f t="shared" si="258"/>
        <v>2012</v>
      </c>
      <c r="E395" s="1329"/>
      <c r="F395" s="1329"/>
      <c r="G395" s="1373" t="str">
        <f t="shared" ref="G395:G400" si="259">IF(G385=0,"",G386/G385-1)</f>
        <v/>
      </c>
      <c r="H395" s="1329"/>
      <c r="I395" s="1378"/>
      <c r="J395" s="1265"/>
      <c r="K395" s="1363">
        <f t="shared" ref="K395:K401" si="260">D395</f>
        <v>2012</v>
      </c>
      <c r="L395" s="1353" t="str">
        <f t="shared" ref="L395:M398" si="261">IF(L385=0,"",L386/L385-1)</f>
        <v/>
      </c>
      <c r="M395" s="1353" t="str">
        <f t="shared" si="261"/>
        <v/>
      </c>
      <c r="N395" s="1329"/>
      <c r="O395" s="1381"/>
      <c r="P395" s="1265"/>
      <c r="Q395" s="1363">
        <f t="shared" ref="Q395:Q401" si="262">K395</f>
        <v>2012</v>
      </c>
      <c r="R395" s="1374" t="str">
        <f t="shared" ref="R395:S398" si="263">IF(R385="","",IF(R385=0,"",R386/R385-1))</f>
        <v/>
      </c>
      <c r="S395" s="1374" t="str">
        <f t="shared" si="263"/>
        <v/>
      </c>
      <c r="T395" s="1329"/>
      <c r="U395" s="1324"/>
    </row>
    <row r="396" spans="3:21" x14ac:dyDescent="0.2">
      <c r="C396" s="1265"/>
      <c r="D396" s="1401">
        <f t="shared" si="258"/>
        <v>2013</v>
      </c>
      <c r="E396" s="1329"/>
      <c r="F396" s="1329"/>
      <c r="G396" s="1373" t="str">
        <f t="shared" si="259"/>
        <v/>
      </c>
      <c r="H396" s="1329"/>
      <c r="I396" s="1378"/>
      <c r="J396" s="1265"/>
      <c r="K396" s="1363">
        <f t="shared" si="260"/>
        <v>2013</v>
      </c>
      <c r="L396" s="1353" t="str">
        <f t="shared" si="261"/>
        <v/>
      </c>
      <c r="M396" s="1353" t="str">
        <f t="shared" si="261"/>
        <v/>
      </c>
      <c r="N396" s="1329"/>
      <c r="O396" s="1381"/>
      <c r="P396" s="1265"/>
      <c r="Q396" s="1363">
        <f t="shared" si="262"/>
        <v>2013</v>
      </c>
      <c r="R396" s="1374" t="str">
        <f t="shared" si="263"/>
        <v/>
      </c>
      <c r="S396" s="1374" t="str">
        <f t="shared" si="263"/>
        <v/>
      </c>
      <c r="T396" s="1329"/>
      <c r="U396" s="1324"/>
    </row>
    <row r="397" spans="3:21" x14ac:dyDescent="0.2">
      <c r="C397" s="1265"/>
      <c r="D397" s="1365">
        <f t="shared" si="258"/>
        <v>2014</v>
      </c>
      <c r="E397" s="1329"/>
      <c r="F397" s="1329"/>
      <c r="G397" s="1373" t="str">
        <f t="shared" si="259"/>
        <v/>
      </c>
      <c r="H397" s="1329"/>
      <c r="I397" s="1378"/>
      <c r="J397" s="1265"/>
      <c r="K397" s="1363">
        <f t="shared" si="260"/>
        <v>2014</v>
      </c>
      <c r="L397" s="1353" t="str">
        <f t="shared" si="261"/>
        <v/>
      </c>
      <c r="M397" s="1353" t="str">
        <f t="shared" si="261"/>
        <v/>
      </c>
      <c r="N397" s="1329"/>
      <c r="O397" s="1381"/>
      <c r="P397" s="1265"/>
      <c r="Q397" s="1363">
        <f t="shared" si="262"/>
        <v>2014</v>
      </c>
      <c r="R397" s="1374" t="str">
        <f t="shared" si="263"/>
        <v/>
      </c>
      <c r="S397" s="1374" t="str">
        <f t="shared" si="263"/>
        <v/>
      </c>
      <c r="T397" s="1329"/>
      <c r="U397" s="1324"/>
    </row>
    <row r="398" spans="3:21" x14ac:dyDescent="0.2">
      <c r="C398" s="1265"/>
      <c r="D398" s="1365">
        <f t="shared" si="258"/>
        <v>2015</v>
      </c>
      <c r="E398" s="1329"/>
      <c r="F398" s="1329"/>
      <c r="G398" s="1373" t="str">
        <f t="shared" si="259"/>
        <v/>
      </c>
      <c r="H398" s="1329"/>
      <c r="I398" s="1378"/>
      <c r="J398" s="1265"/>
      <c r="K398" s="1363">
        <f t="shared" si="260"/>
        <v>2015</v>
      </c>
      <c r="L398" s="1353" t="str">
        <f t="shared" si="261"/>
        <v/>
      </c>
      <c r="M398" s="1353" t="str">
        <f t="shared" si="261"/>
        <v/>
      </c>
      <c r="N398" s="1329"/>
      <c r="O398" s="1381"/>
      <c r="P398" s="1265"/>
      <c r="Q398" s="1363">
        <f t="shared" si="262"/>
        <v>2015</v>
      </c>
      <c r="R398" s="1374" t="str">
        <f t="shared" si="263"/>
        <v/>
      </c>
      <c r="S398" s="1374" t="str">
        <f t="shared" si="263"/>
        <v/>
      </c>
      <c r="T398" s="1329"/>
      <c r="U398" s="1324"/>
    </row>
    <row r="399" spans="3:21" x14ac:dyDescent="0.2">
      <c r="C399" s="1265"/>
      <c r="D399" s="1365">
        <f t="shared" si="258"/>
        <v>2016</v>
      </c>
      <c r="E399" s="1329"/>
      <c r="F399" s="1329"/>
      <c r="G399" s="1373" t="str">
        <f t="shared" si="259"/>
        <v/>
      </c>
      <c r="H399" s="1329"/>
      <c r="I399" s="1378"/>
      <c r="J399" s="1265"/>
      <c r="K399" s="1363">
        <f t="shared" si="260"/>
        <v>2016</v>
      </c>
      <c r="L399" s="1353" t="str">
        <f>IF(K390="Forecast","",IF(L389=0,"",L390/L389-1))</f>
        <v/>
      </c>
      <c r="M399" s="1353" t="str">
        <f>IF(M389=0,"",M390/M389-1)</f>
        <v/>
      </c>
      <c r="N399" s="1329"/>
      <c r="O399" s="1381"/>
      <c r="P399" s="1265"/>
      <c r="Q399" s="1363">
        <f t="shared" si="262"/>
        <v>2016</v>
      </c>
      <c r="R399" s="1374" t="str">
        <f>IF(Q390="Forecast","",IF(R389=0,"",R390/R389-1))</f>
        <v/>
      </c>
      <c r="S399" s="1374" t="str">
        <f>IF(S389="","",IF(S389=0,"",S390/S389-1))</f>
        <v/>
      </c>
      <c r="T399" s="1329"/>
      <c r="U399" s="1324"/>
    </row>
    <row r="400" spans="3:21" x14ac:dyDescent="0.2">
      <c r="C400" s="1265"/>
      <c r="D400" s="1401">
        <f t="shared" si="258"/>
        <v>2017</v>
      </c>
      <c r="E400" s="1329"/>
      <c r="F400" s="1329"/>
      <c r="G400" s="1373" t="str">
        <f t="shared" si="259"/>
        <v/>
      </c>
      <c r="H400" s="1329"/>
      <c r="I400" s="1379" t="str">
        <f>IF(I392=0,"",G391/I392-1)</f>
        <v/>
      </c>
      <c r="J400" s="1265"/>
      <c r="K400" s="1363">
        <f t="shared" si="260"/>
        <v>2017</v>
      </c>
      <c r="L400" s="1353" t="str">
        <f>IF(K391="Forecast","",IF(L390=0,"",L391/L390-1))</f>
        <v/>
      </c>
      <c r="M400" s="1353" t="str">
        <f>IF(M390=0,"",M391/M390-1)</f>
        <v/>
      </c>
      <c r="N400" s="1329"/>
      <c r="O400" s="1382" t="str">
        <f>IF(O392=0,"",M391/O392-1)</f>
        <v/>
      </c>
      <c r="P400" s="1265"/>
      <c r="Q400" s="1363">
        <f t="shared" si="262"/>
        <v>2017</v>
      </c>
      <c r="R400" s="1374" t="str">
        <f>IF(Q391="Forecast","",IF(R390=0,"",R391/R390-1))</f>
        <v/>
      </c>
      <c r="S400" s="1374" t="str">
        <f>IF(S390="","",IF(S390=0,"",S391/S390-1))</f>
        <v/>
      </c>
      <c r="T400" s="1329"/>
      <c r="U400" s="1354" t="str">
        <f>IF(U392=0,"",S391/U392-1)</f>
        <v/>
      </c>
    </row>
    <row r="401" spans="2:22" ht="26.25" thickBot="1" x14ac:dyDescent="0.25">
      <c r="C401" s="1271"/>
      <c r="D401" s="1405" t="s">
        <v>1221</v>
      </c>
      <c r="E401" s="1355"/>
      <c r="F401" s="1355"/>
      <c r="G401" s="1375" t="str">
        <f>IF(G385=0,"",(G391/G385)^(1/($D391-$D385-1))-1)</f>
        <v/>
      </c>
      <c r="H401" s="1355"/>
      <c r="I401" s="1371" t="str">
        <f>IF(I392=0,"",(G391/I392)^(1/(TestYear-RebaseYear-1))-1)</f>
        <v/>
      </c>
      <c r="J401" s="1265"/>
      <c r="K401" s="1404" t="str">
        <f t="shared" si="260"/>
        <v>Geometric Mean</v>
      </c>
      <c r="L401" s="1358" t="str">
        <f>IF(L385=0,"",(L389/L385)^(1/($D389-$D385-1))-1)</f>
        <v/>
      </c>
      <c r="M401" s="1358" t="str">
        <f>IF(M385=0,"",(M391/M385)^(1/($D391-$D385-1))-1)</f>
        <v/>
      </c>
      <c r="N401" s="1355"/>
      <c r="O401" s="1371" t="str">
        <f>IF(O392=0,"",(M391/O392)^(1/(TestYear-RebaseYear-1))-1)</f>
        <v/>
      </c>
      <c r="P401" s="1271"/>
      <c r="Q401" s="1404" t="str">
        <f t="shared" si="262"/>
        <v>Geometric Mean</v>
      </c>
      <c r="R401" s="1376" t="str">
        <f>IF(R385="","",IF(R385=0,"",(R389/R385)^(1/($D389-$D385-1))-1))</f>
        <v/>
      </c>
      <c r="S401" s="1358" t="str">
        <f>IF(S385="","",IF(S385=0,"",(S391/S385)^(1/($D391-$D385-1))-1))</f>
        <v/>
      </c>
      <c r="T401" s="1355"/>
      <c r="U401" s="1371" t="str">
        <f>IF(U392=0,"",(S391/U392)^(1/(TestYear-RebaseYear-1))-1)</f>
        <v/>
      </c>
    </row>
    <row r="402" spans="2:22" ht="13.5" thickBot="1" x14ac:dyDescent="0.25"/>
    <row r="403" spans="2:22" ht="13.5" thickBot="1" x14ac:dyDescent="0.25">
      <c r="B403" s="1318">
        <f>B360+1</f>
        <v>9</v>
      </c>
      <c r="C403" s="3" t="s">
        <v>14</v>
      </c>
      <c r="D403" s="1880"/>
      <c r="E403" s="1881"/>
      <c r="F403" s="1882"/>
      <c r="G403" s="1291"/>
      <c r="H403" s="13" t="s">
        <v>1224</v>
      </c>
      <c r="N403" s="1317"/>
      <c r="O403" s="1316"/>
      <c r="P403" s="1316"/>
      <c r="Q403" s="1316"/>
      <c r="R403" s="1316"/>
      <c r="S403" s="1316"/>
      <c r="T403" s="1316"/>
      <c r="U403" s="1316"/>
    </row>
    <row r="404" spans="2:22" ht="13.5" thickBot="1" x14ac:dyDescent="0.25">
      <c r="Q404" s="1355"/>
      <c r="R404" s="1355"/>
      <c r="S404" s="1355"/>
      <c r="T404" s="1355"/>
      <c r="U404" s="1355"/>
    </row>
    <row r="405" spans="2:22" x14ac:dyDescent="0.2">
      <c r="C405" s="1264"/>
      <c r="D405" s="1268" t="s">
        <v>1205</v>
      </c>
      <c r="E405" s="1268"/>
      <c r="F405" s="1883" t="s">
        <v>1034</v>
      </c>
      <c r="G405" s="1884"/>
      <c r="H405" s="1884"/>
      <c r="I405" s="1885"/>
      <c r="J405" s="1268"/>
      <c r="K405" s="1859" t="s">
        <v>1213</v>
      </c>
      <c r="L405" s="1860"/>
      <c r="M405" s="1860"/>
      <c r="N405" s="1860"/>
      <c r="O405" s="1861"/>
      <c r="P405" s="1287"/>
      <c r="Q405" s="1869" t="str">
        <f>CONCATENATE("Consumption (kWh) per ",LEFT(F405,LEN(F405)-1))</f>
        <v>Consumption (kWh) per Customer</v>
      </c>
      <c r="R405" s="1879"/>
      <c r="S405" s="1879"/>
      <c r="T405" s="1879"/>
      <c r="U405" s="1870"/>
      <c r="V405" s="1308"/>
    </row>
    <row r="406" spans="2:22" ht="39" thickBot="1" x14ac:dyDescent="0.25">
      <c r="C406" s="1271"/>
      <c r="D406" s="1277" t="str">
        <f>CONCATENATE("(for ",TestYear," Cost of Service")</f>
        <v>(for 2017 Cost of Service</v>
      </c>
      <c r="E406" s="1266"/>
      <c r="F406" s="1872"/>
      <c r="G406" s="1873"/>
      <c r="H406" s="1875"/>
      <c r="I406" s="1296"/>
      <c r="J406" s="1266"/>
      <c r="K406" s="1284"/>
      <c r="L406" s="1433" t="s">
        <v>1226</v>
      </c>
      <c r="M406" s="1433" t="s">
        <v>1210</v>
      </c>
      <c r="N406" s="1305"/>
      <c r="O406" s="1306" t="s">
        <v>1210</v>
      </c>
      <c r="P406" s="1266"/>
      <c r="Q406" s="1389"/>
      <c r="R406" s="1390" t="str">
        <f>L406</f>
        <v>Actual (Weather actual)</v>
      </c>
      <c r="S406" s="1391" t="str">
        <f>M406</f>
        <v>Weather-normalized</v>
      </c>
      <c r="T406" s="1391"/>
      <c r="U406" s="1392" t="str">
        <f>O406</f>
        <v>Weather-normalized</v>
      </c>
      <c r="V406" s="1308"/>
    </row>
    <row r="407" spans="2:22" x14ac:dyDescent="0.2">
      <c r="C407" s="1266" t="s">
        <v>890</v>
      </c>
      <c r="D407" s="1363">
        <f t="shared" ref="D407:D412" si="264">D408-1</f>
        <v>2011</v>
      </c>
      <c r="E407" s="1265"/>
      <c r="F407" s="1313" t="str">
        <f>F364</f>
        <v>Actual</v>
      </c>
      <c r="G407" s="1301"/>
      <c r="H407" s="1297" t="str">
        <f t="shared" ref="H407:H413" si="265">IF(D407=RebaseYear,"Board-approved","")</f>
        <v/>
      </c>
      <c r="I407" s="1324"/>
      <c r="J407" s="1265"/>
      <c r="K407" s="1282" t="str">
        <f>F407</f>
        <v>Actual</v>
      </c>
      <c r="L407" s="1294"/>
      <c r="M407" s="1294"/>
      <c r="N407" s="1258" t="str">
        <f>H407</f>
        <v/>
      </c>
      <c r="O407" s="1324"/>
      <c r="P407" s="1265"/>
      <c r="Q407" s="1385" t="str">
        <f>K407</f>
        <v>Actual</v>
      </c>
      <c r="R407" s="1387" t="str">
        <f>IF(G407=0,"",L407/G407)</f>
        <v/>
      </c>
      <c r="S407" s="1329" t="str">
        <f>IF(G407=0,"",M407/G407)</f>
        <v/>
      </c>
      <c r="T407" s="1329" t="str">
        <f>N407</f>
        <v/>
      </c>
      <c r="U407" s="1329" t="str">
        <f>IF(T407="","",IF(I407=0,"",O407/I407))</f>
        <v/>
      </c>
      <c r="V407" s="1309"/>
    </row>
    <row r="408" spans="2:22" x14ac:dyDescent="0.2">
      <c r="C408" s="1266" t="s">
        <v>890</v>
      </c>
      <c r="D408" s="1363">
        <f t="shared" si="264"/>
        <v>2012</v>
      </c>
      <c r="E408" s="1265"/>
      <c r="F408" s="1314" t="str">
        <f t="shared" ref="F408:F413" si="266">F365</f>
        <v>Actual</v>
      </c>
      <c r="G408" s="1301"/>
      <c r="H408" s="1297" t="str">
        <f t="shared" si="265"/>
        <v>Board-approved</v>
      </c>
      <c r="I408" s="1324"/>
      <c r="J408" s="1265"/>
      <c r="K408" s="1282" t="str">
        <f t="shared" ref="K408:K413" si="267">F408</f>
        <v>Actual</v>
      </c>
      <c r="L408" s="1294"/>
      <c r="M408" s="1294"/>
      <c r="N408" s="1258" t="str">
        <f t="shared" ref="N408:N413" si="268">H408</f>
        <v>Board-approved</v>
      </c>
      <c r="O408" s="1324"/>
      <c r="P408" s="1265"/>
      <c r="Q408" s="1385" t="str">
        <f t="shared" ref="Q408:Q413" si="269">K408</f>
        <v>Actual</v>
      </c>
      <c r="R408" s="1387" t="str">
        <f t="shared" ref="R408:R413" si="270">IF(G408=0,"",L408/G408)</f>
        <v/>
      </c>
      <c r="S408" s="1329" t="str">
        <f t="shared" ref="S408:S413" si="271">IF(G408=0,"",M408/G408)</f>
        <v/>
      </c>
      <c r="T408" s="1329" t="str">
        <f t="shared" ref="T408:T413" si="272">N408</f>
        <v>Board-approved</v>
      </c>
      <c r="U408" s="1329" t="str">
        <f t="shared" ref="U408:U413" si="273">IF(T408="","",IF(I408=0,"",O408/I408))</f>
        <v/>
      </c>
      <c r="V408" s="1309"/>
    </row>
    <row r="409" spans="2:22" x14ac:dyDescent="0.2">
      <c r="C409" s="1266" t="s">
        <v>890</v>
      </c>
      <c r="D409" s="1363">
        <f t="shared" si="264"/>
        <v>2013</v>
      </c>
      <c r="E409" s="1265"/>
      <c r="F409" s="1314" t="str">
        <f t="shared" si="266"/>
        <v>Actual</v>
      </c>
      <c r="G409" s="1301"/>
      <c r="H409" s="1297" t="str">
        <f t="shared" si="265"/>
        <v/>
      </c>
      <c r="I409" s="1325"/>
      <c r="J409" s="1265"/>
      <c r="K409" s="1282" t="str">
        <f t="shared" si="267"/>
        <v>Actual</v>
      </c>
      <c r="L409" s="1294"/>
      <c r="M409" s="1294"/>
      <c r="N409" s="1258" t="str">
        <f t="shared" si="268"/>
        <v/>
      </c>
      <c r="O409" s="1325"/>
      <c r="P409" s="1265"/>
      <c r="Q409" s="1385" t="str">
        <f t="shared" si="269"/>
        <v>Actual</v>
      </c>
      <c r="R409" s="1387" t="str">
        <f t="shared" si="270"/>
        <v/>
      </c>
      <c r="S409" s="1329" t="str">
        <f t="shared" si="271"/>
        <v/>
      </c>
      <c r="T409" s="1329" t="str">
        <f t="shared" si="272"/>
        <v/>
      </c>
      <c r="U409" s="1329" t="str">
        <f t="shared" si="273"/>
        <v/>
      </c>
      <c r="V409" s="1309"/>
    </row>
    <row r="410" spans="2:22" x14ac:dyDescent="0.2">
      <c r="C410" s="1266" t="s">
        <v>890</v>
      </c>
      <c r="D410" s="1363">
        <f t="shared" si="264"/>
        <v>2014</v>
      </c>
      <c r="E410" s="1265"/>
      <c r="F410" s="1314" t="str">
        <f t="shared" si="266"/>
        <v>Actual</v>
      </c>
      <c r="G410" s="1301"/>
      <c r="H410" s="1297" t="str">
        <f t="shared" si="265"/>
        <v/>
      </c>
      <c r="I410" s="1324"/>
      <c r="J410" s="1265"/>
      <c r="K410" s="1282" t="str">
        <f t="shared" si="267"/>
        <v>Actual</v>
      </c>
      <c r="L410" s="1294"/>
      <c r="M410" s="1294"/>
      <c r="N410" s="1258" t="str">
        <f t="shared" si="268"/>
        <v/>
      </c>
      <c r="O410" s="1324"/>
      <c r="P410" s="1265"/>
      <c r="Q410" s="1385" t="str">
        <f t="shared" si="269"/>
        <v>Actual</v>
      </c>
      <c r="R410" s="1387" t="str">
        <f t="shared" si="270"/>
        <v/>
      </c>
      <c r="S410" s="1329" t="str">
        <f t="shared" si="271"/>
        <v/>
      </c>
      <c r="T410" s="1329" t="str">
        <f t="shared" si="272"/>
        <v/>
      </c>
      <c r="U410" s="1329" t="str">
        <f t="shared" si="273"/>
        <v/>
      </c>
      <c r="V410" s="1309"/>
    </row>
    <row r="411" spans="2:22" x14ac:dyDescent="0.2">
      <c r="C411" s="1266" t="s">
        <v>890</v>
      </c>
      <c r="D411" s="1363">
        <f t="shared" si="264"/>
        <v>2015</v>
      </c>
      <c r="E411" s="1265"/>
      <c r="F411" s="1314" t="str">
        <f t="shared" si="266"/>
        <v>Actual</v>
      </c>
      <c r="G411" s="1301"/>
      <c r="H411" s="1297" t="str">
        <f t="shared" si="265"/>
        <v/>
      </c>
      <c r="I411" s="1324"/>
      <c r="J411" s="1265"/>
      <c r="K411" s="1282" t="str">
        <f t="shared" si="267"/>
        <v>Actual</v>
      </c>
      <c r="L411" s="1294"/>
      <c r="M411" s="1294"/>
      <c r="N411" s="1258" t="str">
        <f t="shared" si="268"/>
        <v/>
      </c>
      <c r="O411" s="1324"/>
      <c r="P411" s="1265"/>
      <c r="Q411" s="1385" t="str">
        <f t="shared" si="269"/>
        <v>Actual</v>
      </c>
      <c r="R411" s="1387" t="str">
        <f t="shared" si="270"/>
        <v/>
      </c>
      <c r="S411" s="1329" t="str">
        <f t="shared" si="271"/>
        <v/>
      </c>
      <c r="T411" s="1329" t="str">
        <f t="shared" si="272"/>
        <v/>
      </c>
      <c r="U411" s="1329" t="str">
        <f t="shared" si="273"/>
        <v/>
      </c>
      <c r="V411" s="1309"/>
    </row>
    <row r="412" spans="2:22" x14ac:dyDescent="0.2">
      <c r="C412" s="1266" t="s">
        <v>313</v>
      </c>
      <c r="D412" s="1363">
        <f t="shared" si="264"/>
        <v>2016</v>
      </c>
      <c r="E412" s="1265"/>
      <c r="F412" s="1314" t="str">
        <f t="shared" si="266"/>
        <v>Forecast</v>
      </c>
      <c r="G412" s="1301"/>
      <c r="H412" s="1297" t="str">
        <f t="shared" si="265"/>
        <v/>
      </c>
      <c r="I412" s="1324"/>
      <c r="J412" s="1265"/>
      <c r="K412" s="1282" t="str">
        <f t="shared" si="267"/>
        <v>Forecast</v>
      </c>
      <c r="L412" s="1303"/>
      <c r="M412" s="1332"/>
      <c r="N412" s="1258" t="str">
        <f t="shared" si="268"/>
        <v/>
      </c>
      <c r="O412" s="1324"/>
      <c r="P412" s="1265"/>
      <c r="Q412" s="1385" t="str">
        <f t="shared" si="269"/>
        <v>Forecast</v>
      </c>
      <c r="R412" s="1387" t="str">
        <f t="shared" si="270"/>
        <v/>
      </c>
      <c r="S412" s="1329" t="str">
        <f t="shared" si="271"/>
        <v/>
      </c>
      <c r="T412" s="1329" t="str">
        <f t="shared" si="272"/>
        <v/>
      </c>
      <c r="U412" s="1329" t="str">
        <f t="shared" si="273"/>
        <v/>
      </c>
      <c r="V412" s="1309"/>
    </row>
    <row r="413" spans="2:22" ht="13.5" thickBot="1" x14ac:dyDescent="0.25">
      <c r="C413" s="1267" t="s">
        <v>314</v>
      </c>
      <c r="D413" s="1364">
        <f>TestYear</f>
        <v>2017</v>
      </c>
      <c r="E413" s="1271"/>
      <c r="F413" s="1315" t="str">
        <f t="shared" si="266"/>
        <v>Forecast</v>
      </c>
      <c r="G413" s="1302"/>
      <c r="H413" s="1298" t="str">
        <f t="shared" si="265"/>
        <v/>
      </c>
      <c r="I413" s="1326"/>
      <c r="J413" s="1271"/>
      <c r="K413" s="1283" t="str">
        <f t="shared" si="267"/>
        <v>Forecast</v>
      </c>
      <c r="L413" s="1304"/>
      <c r="M413" s="1333"/>
      <c r="N413" s="1262" t="str">
        <f t="shared" si="268"/>
        <v/>
      </c>
      <c r="O413" s="1326"/>
      <c r="P413" s="1271"/>
      <c r="Q413" s="1386" t="str">
        <f t="shared" si="269"/>
        <v>Forecast</v>
      </c>
      <c r="R413" s="1388" t="str">
        <f t="shared" si="270"/>
        <v/>
      </c>
      <c r="S413" s="1355" t="str">
        <f t="shared" si="271"/>
        <v/>
      </c>
      <c r="T413" s="1355" t="str">
        <f t="shared" si="272"/>
        <v/>
      </c>
      <c r="U413" s="1355" t="str">
        <f t="shared" si="273"/>
        <v/>
      </c>
      <c r="V413" s="1309"/>
    </row>
    <row r="414" spans="2:22" ht="13.5" thickBot="1" x14ac:dyDescent="0.25">
      <c r="B414" s="1329"/>
      <c r="C414" s="1366"/>
      <c r="I414" s="1408">
        <f>SUM(I407:I412)</f>
        <v>0</v>
      </c>
      <c r="O414" s="1408">
        <f>SUM(O407:O412)</f>
        <v>0</v>
      </c>
      <c r="U414" s="1408">
        <f>SUM(U407:U412)</f>
        <v>0</v>
      </c>
    </row>
    <row r="415" spans="2:22" ht="39" thickBot="1" x14ac:dyDescent="0.25">
      <c r="C415" s="1400" t="s">
        <v>952</v>
      </c>
      <c r="D415" s="1399" t="s">
        <v>15</v>
      </c>
      <c r="E415" s="1361"/>
      <c r="F415" s="1361"/>
      <c r="G415" s="1435" t="s">
        <v>1222</v>
      </c>
      <c r="H415" s="1361"/>
      <c r="I415" s="1394" t="s">
        <v>1235</v>
      </c>
      <c r="J415" s="1396"/>
      <c r="K415" s="1395" t="s">
        <v>15</v>
      </c>
      <c r="L415" s="1874" t="s">
        <v>1222</v>
      </c>
      <c r="M415" s="1874"/>
      <c r="N415" s="1361"/>
      <c r="O415" s="1394" t="str">
        <f>I415</f>
        <v>Test Year Versus Board-approved</v>
      </c>
      <c r="P415" s="1397"/>
      <c r="Q415" s="1395" t="s">
        <v>15</v>
      </c>
      <c r="R415" s="1874" t="s">
        <v>1222</v>
      </c>
      <c r="S415" s="1874"/>
      <c r="T415" s="1361"/>
      <c r="U415" s="1394" t="str">
        <f>O415</f>
        <v>Test Year Versus Board-approved</v>
      </c>
    </row>
    <row r="416" spans="2:22" x14ac:dyDescent="0.2">
      <c r="C416" s="1265"/>
      <c r="D416" s="1377">
        <f t="shared" ref="D416:D422" si="274">D407</f>
        <v>2011</v>
      </c>
      <c r="E416" s="1329"/>
      <c r="F416" s="1329"/>
      <c r="G416" s="1372"/>
      <c r="H416" s="1329"/>
      <c r="I416" s="1378"/>
      <c r="J416" s="1384"/>
      <c r="K416" s="1363">
        <f>D416</f>
        <v>2011</v>
      </c>
      <c r="L416" s="1351"/>
      <c r="M416" s="1351"/>
      <c r="N416" s="1329"/>
      <c r="O416" s="1324"/>
      <c r="P416" s="1265"/>
      <c r="Q416" s="1363">
        <f>K416</f>
        <v>2011</v>
      </c>
      <c r="R416" s="1330"/>
      <c r="S416" s="1330"/>
      <c r="T416" s="1329"/>
      <c r="U416" s="1324"/>
    </row>
    <row r="417" spans="3:21" x14ac:dyDescent="0.2">
      <c r="C417" s="1265"/>
      <c r="D417" s="1365">
        <f t="shared" si="274"/>
        <v>2012</v>
      </c>
      <c r="E417" s="1329"/>
      <c r="F417" s="1329"/>
      <c r="G417" s="1373" t="str">
        <f t="shared" ref="G417:G422" si="275">IF(G407=0,"",G408/G407-1)</f>
        <v/>
      </c>
      <c r="H417" s="1329"/>
      <c r="I417" s="1378"/>
      <c r="J417" s="1384"/>
      <c r="K417" s="1363">
        <f t="shared" ref="K417:K423" si="276">D417</f>
        <v>2012</v>
      </c>
      <c r="L417" s="1353" t="str">
        <f t="shared" ref="L417:M420" si="277">IF(L407=0,"",L408/L407-1)</f>
        <v/>
      </c>
      <c r="M417" s="1353" t="str">
        <f t="shared" si="277"/>
        <v/>
      </c>
      <c r="N417" s="1329"/>
      <c r="O417" s="1324"/>
      <c r="P417" s="1265"/>
      <c r="Q417" s="1363">
        <f t="shared" ref="Q417:Q423" si="278">K417</f>
        <v>2012</v>
      </c>
      <c r="R417" s="1374" t="str">
        <f t="shared" ref="R417:S420" si="279">IF(R407="","",IF(R407=0,"",R408/R407-1))</f>
        <v/>
      </c>
      <c r="S417" s="1374" t="str">
        <f t="shared" si="279"/>
        <v/>
      </c>
      <c r="T417" s="1329"/>
      <c r="U417" s="1324"/>
    </row>
    <row r="418" spans="3:21" x14ac:dyDescent="0.2">
      <c r="C418" s="1265"/>
      <c r="D418" s="1365">
        <f t="shared" si="274"/>
        <v>2013</v>
      </c>
      <c r="E418" s="1329"/>
      <c r="F418" s="1329"/>
      <c r="G418" s="1373" t="str">
        <f t="shared" si="275"/>
        <v/>
      </c>
      <c r="H418" s="1329"/>
      <c r="I418" s="1378"/>
      <c r="J418" s="1384"/>
      <c r="K418" s="1363">
        <f t="shared" si="276"/>
        <v>2013</v>
      </c>
      <c r="L418" s="1353" t="str">
        <f t="shared" si="277"/>
        <v/>
      </c>
      <c r="M418" s="1353" t="str">
        <f t="shared" si="277"/>
        <v/>
      </c>
      <c r="N418" s="1329"/>
      <c r="O418" s="1324"/>
      <c r="P418" s="1265"/>
      <c r="Q418" s="1363">
        <f t="shared" si="278"/>
        <v>2013</v>
      </c>
      <c r="R418" s="1374" t="str">
        <f t="shared" si="279"/>
        <v/>
      </c>
      <c r="S418" s="1374" t="str">
        <f t="shared" si="279"/>
        <v/>
      </c>
      <c r="T418" s="1329"/>
      <c r="U418" s="1324"/>
    </row>
    <row r="419" spans="3:21" x14ac:dyDescent="0.2">
      <c r="C419" s="1265"/>
      <c r="D419" s="1365">
        <f t="shared" si="274"/>
        <v>2014</v>
      </c>
      <c r="E419" s="1329"/>
      <c r="F419" s="1329"/>
      <c r="G419" s="1373" t="str">
        <f t="shared" si="275"/>
        <v/>
      </c>
      <c r="H419" s="1329"/>
      <c r="I419" s="1378"/>
      <c r="J419" s="1384"/>
      <c r="K419" s="1363">
        <f t="shared" si="276"/>
        <v>2014</v>
      </c>
      <c r="L419" s="1353" t="str">
        <f t="shared" si="277"/>
        <v/>
      </c>
      <c r="M419" s="1353" t="str">
        <f t="shared" si="277"/>
        <v/>
      </c>
      <c r="N419" s="1329"/>
      <c r="O419" s="1324"/>
      <c r="P419" s="1265"/>
      <c r="Q419" s="1363">
        <f t="shared" si="278"/>
        <v>2014</v>
      </c>
      <c r="R419" s="1374" t="str">
        <f t="shared" si="279"/>
        <v/>
      </c>
      <c r="S419" s="1374" t="str">
        <f t="shared" si="279"/>
        <v/>
      </c>
      <c r="T419" s="1329"/>
      <c r="U419" s="1324"/>
    </row>
    <row r="420" spans="3:21" x14ac:dyDescent="0.2">
      <c r="C420" s="1265"/>
      <c r="D420" s="1365">
        <f t="shared" si="274"/>
        <v>2015</v>
      </c>
      <c r="E420" s="1329"/>
      <c r="F420" s="1329"/>
      <c r="G420" s="1373" t="str">
        <f t="shared" si="275"/>
        <v/>
      </c>
      <c r="H420" s="1329"/>
      <c r="I420" s="1378"/>
      <c r="J420" s="1384"/>
      <c r="K420" s="1363">
        <f t="shared" si="276"/>
        <v>2015</v>
      </c>
      <c r="L420" s="1353" t="str">
        <f t="shared" si="277"/>
        <v/>
      </c>
      <c r="M420" s="1353" t="str">
        <f t="shared" si="277"/>
        <v/>
      </c>
      <c r="N420" s="1329"/>
      <c r="O420" s="1324"/>
      <c r="P420" s="1265"/>
      <c r="Q420" s="1363">
        <f t="shared" si="278"/>
        <v>2015</v>
      </c>
      <c r="R420" s="1374" t="str">
        <f t="shared" si="279"/>
        <v/>
      </c>
      <c r="S420" s="1374" t="str">
        <f t="shared" si="279"/>
        <v/>
      </c>
      <c r="T420" s="1329"/>
      <c r="U420" s="1324"/>
    </row>
    <row r="421" spans="3:21" x14ac:dyDescent="0.2">
      <c r="C421" s="1265"/>
      <c r="D421" s="1365">
        <f t="shared" si="274"/>
        <v>2016</v>
      </c>
      <c r="E421" s="1329"/>
      <c r="F421" s="1329"/>
      <c r="G421" s="1373" t="str">
        <f t="shared" si="275"/>
        <v/>
      </c>
      <c r="H421" s="1329"/>
      <c r="I421" s="1378"/>
      <c r="J421" s="1384"/>
      <c r="K421" s="1363">
        <f t="shared" si="276"/>
        <v>2016</v>
      </c>
      <c r="L421" s="1353" t="str">
        <f>IF(K412="Forecast","",IF(L411=0,"",L412/L411-1))</f>
        <v/>
      </c>
      <c r="M421" s="1353" t="str">
        <f>IF(M411=0,"",M412/M411-1)</f>
        <v/>
      </c>
      <c r="N421" s="1329"/>
      <c r="O421" s="1324"/>
      <c r="P421" s="1265"/>
      <c r="Q421" s="1363">
        <f t="shared" si="278"/>
        <v>2016</v>
      </c>
      <c r="R421" s="1374" t="str">
        <f>IF(Q412="Forecast","",IF(R411=0,"",R412/R411-1))</f>
        <v/>
      </c>
      <c r="S421" s="1374" t="str">
        <f>IF(S411="","",IF(S411=0,"",S412/S411-1))</f>
        <v/>
      </c>
      <c r="T421" s="1329"/>
      <c r="U421" s="1324"/>
    </row>
    <row r="422" spans="3:21" x14ac:dyDescent="0.2">
      <c r="C422" s="1265"/>
      <c r="D422" s="1365">
        <f t="shared" si="274"/>
        <v>2017</v>
      </c>
      <c r="E422" s="1329"/>
      <c r="F422" s="1329"/>
      <c r="G422" s="1373" t="str">
        <f t="shared" si="275"/>
        <v/>
      </c>
      <c r="H422" s="1329"/>
      <c r="I422" s="1379" t="str">
        <f>IF(I414=0,"",G413/I414-1)</f>
        <v/>
      </c>
      <c r="J422" s="1384"/>
      <c r="K422" s="1363">
        <f t="shared" si="276"/>
        <v>2017</v>
      </c>
      <c r="L422" s="1353" t="str">
        <f>IF(K413="Forecast","",IF(L412=0,"",L413/L412-1))</f>
        <v/>
      </c>
      <c r="M422" s="1353" t="str">
        <f>IF(M412=0,"",M413/M412-1)</f>
        <v/>
      </c>
      <c r="N422" s="1329"/>
      <c r="O422" s="1354" t="str">
        <f>IF(O414=0,"",M413/O414-1)</f>
        <v/>
      </c>
      <c r="P422" s="1265"/>
      <c r="Q422" s="1363">
        <f t="shared" si="278"/>
        <v>2017</v>
      </c>
      <c r="R422" s="1374" t="str">
        <f>IF(Q413="Forecast","",IF(R412=0,"",R413/R412-1))</f>
        <v/>
      </c>
      <c r="S422" s="1374" t="str">
        <f>IF(S412="","",IF(S412=0,"",S413/S412-1))</f>
        <v/>
      </c>
      <c r="T422" s="1329"/>
      <c r="U422" s="1354" t="str">
        <f>IF(U414=0,"",S413/U414-1)</f>
        <v/>
      </c>
    </row>
    <row r="423" spans="3:21" ht="26.25" thickBot="1" x14ac:dyDescent="0.25">
      <c r="C423" s="1271"/>
      <c r="D423" s="1405" t="s">
        <v>1221</v>
      </c>
      <c r="E423" s="1355"/>
      <c r="F423" s="1355"/>
      <c r="G423" s="1375" t="str">
        <f>IF(G407=0,"",(G413/G407)^(1/($D413-$D407-1))-1)</f>
        <v/>
      </c>
      <c r="H423" s="1355"/>
      <c r="I423" s="1406" t="str">
        <f>IF(I414=0,"",(G413/I414)^(1/(TestYear-RebaseYear-1))-1)</f>
        <v/>
      </c>
      <c r="J423" s="1360"/>
      <c r="K423" s="1404" t="str">
        <f t="shared" si="276"/>
        <v>Geometric Mean</v>
      </c>
      <c r="L423" s="1358" t="str">
        <f>IF(L407=0,"",(L411/L407)^(1/($D411-$D407-1))-1)</f>
        <v/>
      </c>
      <c r="M423" s="1358" t="str">
        <f>IF(M407=0,"",(M413/M407)^(1/($D413-$D407-1))-1)</f>
        <v/>
      </c>
      <c r="N423" s="1355"/>
      <c r="O423" s="1371" t="str">
        <f>IF(O414=0,"",(M413/O414)^(1/(TestYear-RebaseYear-1))-1)</f>
        <v/>
      </c>
      <c r="P423" s="1271"/>
      <c r="Q423" s="1404" t="str">
        <f t="shared" si="278"/>
        <v>Geometric Mean</v>
      </c>
      <c r="R423" s="1376" t="str">
        <f>IF(R407="","",IF(R407=0,"",(R411/R407)^(1/($D411-$D407-1))-1))</f>
        <v/>
      </c>
      <c r="S423" s="1358" t="str">
        <f>IF(S407="","",IF(S407=0,"",(S413/S407)^(1/($D413-$D407-1))-1))</f>
        <v/>
      </c>
      <c r="T423" s="1355"/>
      <c r="U423" s="1371" t="str">
        <f>IF(U414=0,"",(S413/U414)^(1/(TestYear-RebaseYear-1))-1)</f>
        <v/>
      </c>
    </row>
    <row r="425" spans="3:21" ht="13.5" thickBot="1" x14ac:dyDescent="0.25">
      <c r="Q425" s="1355"/>
      <c r="R425" s="1355"/>
      <c r="S425" s="1355"/>
      <c r="T425" s="1355"/>
      <c r="U425" s="1355"/>
    </row>
    <row r="426" spans="3:21" x14ac:dyDescent="0.2">
      <c r="C426" s="1264"/>
      <c r="D426" s="1268" t="s">
        <v>1205</v>
      </c>
      <c r="E426" s="1268"/>
      <c r="F426" s="1876" t="s">
        <v>1198</v>
      </c>
      <c r="G426" s="1877"/>
      <c r="H426" s="1877"/>
      <c r="I426" s="1878"/>
      <c r="K426" s="1859" t="str">
        <f>IF(ISBLANK(N403),"",CONCATENATE("Demand (",N403,")"))</f>
        <v/>
      </c>
      <c r="L426" s="1860"/>
      <c r="M426" s="1860"/>
      <c r="N426" s="1860"/>
      <c r="O426" s="1861"/>
      <c r="Q426" s="1869" t="str">
        <f>CONCATENATE("Demand (",N403,") per ",LEFT(F405,LEN(F405)-1))</f>
        <v>Demand () per Customer</v>
      </c>
      <c r="R426" s="1879"/>
      <c r="S426" s="1879"/>
      <c r="T426" s="1879"/>
      <c r="U426" s="1870"/>
    </row>
    <row r="427" spans="3:21" ht="39" thickBot="1" x14ac:dyDescent="0.25">
      <c r="C427" s="1271"/>
      <c r="D427" s="1277" t="str">
        <f>CONCATENATE("(for ",TestYear," Cost of Service")</f>
        <v>(for 2017 Cost of Service</v>
      </c>
      <c r="E427" s="1266"/>
      <c r="F427" s="1872"/>
      <c r="G427" s="1873"/>
      <c r="H427" s="1873"/>
      <c r="I427" s="1296"/>
      <c r="K427" s="1284"/>
      <c r="L427" s="1433" t="s">
        <v>1226</v>
      </c>
      <c r="M427" s="1433" t="s">
        <v>1210</v>
      </c>
      <c r="N427" s="1305"/>
      <c r="O427" s="1306" t="str">
        <f>M427</f>
        <v>Weather-normalized</v>
      </c>
      <c r="Q427" s="1403"/>
      <c r="R427" s="1433" t="str">
        <f>L427</f>
        <v>Actual (Weather actual)</v>
      </c>
      <c r="S427" s="1433" t="str">
        <f>M427</f>
        <v>Weather-normalized</v>
      </c>
      <c r="T427" s="1433"/>
      <c r="U427" s="1434" t="str">
        <f>O427</f>
        <v>Weather-normalized</v>
      </c>
    </row>
    <row r="428" spans="3:21" x14ac:dyDescent="0.2">
      <c r="C428" s="1266" t="s">
        <v>890</v>
      </c>
      <c r="D428" s="1363">
        <f t="shared" ref="D428:D433" si="280">D429-1</f>
        <v>2011</v>
      </c>
      <c r="E428" s="1265"/>
      <c r="F428" s="1313" t="str">
        <f t="shared" ref="F428:F434" si="281">F407</f>
        <v>Actual</v>
      </c>
      <c r="G428" s="1311"/>
      <c r="H428" s="2" t="str">
        <f t="shared" ref="H428:H434" si="282">IF(D428=RebaseYear,"Board-approved","")</f>
        <v/>
      </c>
      <c r="I428" s="1383"/>
      <c r="K428" s="1282" t="str">
        <f t="shared" ref="K428:K434" si="283">K407</f>
        <v>Actual</v>
      </c>
      <c r="L428" s="1294"/>
      <c r="M428" s="1294"/>
      <c r="N428" s="1258" t="str">
        <f t="shared" ref="N428:N434" si="284">N407</f>
        <v/>
      </c>
      <c r="O428" s="1324"/>
      <c r="Q428" s="1385" t="str">
        <f>K428</f>
        <v>Actual</v>
      </c>
      <c r="R428" s="1329" t="str">
        <f>IF(G428=0,"",L428/G428)</f>
        <v/>
      </c>
      <c r="S428" s="1309" t="str">
        <f>IF(G428=0,"",M428/G428)</f>
        <v/>
      </c>
      <c r="T428" s="1309" t="str">
        <f>N428</f>
        <v/>
      </c>
      <c r="U428" s="1265" t="str">
        <f>IF(T428="","",IF(I428=0,"",O428/I428))</f>
        <v/>
      </c>
    </row>
    <row r="429" spans="3:21" x14ac:dyDescent="0.2">
      <c r="C429" s="1266" t="s">
        <v>890</v>
      </c>
      <c r="D429" s="1363">
        <f t="shared" si="280"/>
        <v>2012</v>
      </c>
      <c r="E429" s="1265"/>
      <c r="F429" s="1314" t="str">
        <f t="shared" si="281"/>
        <v>Actual</v>
      </c>
      <c r="G429" s="1311"/>
      <c r="H429" s="2" t="str">
        <f t="shared" si="282"/>
        <v>Board-approved</v>
      </c>
      <c r="I429" s="1324"/>
      <c r="K429" s="1282" t="str">
        <f t="shared" si="283"/>
        <v>Actual</v>
      </c>
      <c r="L429" s="1294"/>
      <c r="M429" s="1294"/>
      <c r="N429" s="1258" t="str">
        <f t="shared" si="284"/>
        <v>Board-approved</v>
      </c>
      <c r="O429" s="1324"/>
      <c r="Q429" s="1385" t="str">
        <f t="shared" ref="Q429:Q434" si="285">K429</f>
        <v>Actual</v>
      </c>
      <c r="R429" s="1329" t="str">
        <f t="shared" ref="R429:R434" si="286">IF(G429=0,"",L429/G429)</f>
        <v/>
      </c>
      <c r="S429" s="1309" t="str">
        <f t="shared" ref="S429:S434" si="287">IF(G429=0,"",M429/G429)</f>
        <v/>
      </c>
      <c r="T429" s="1309" t="str">
        <f t="shared" ref="T429:T434" si="288">N429</f>
        <v>Board-approved</v>
      </c>
      <c r="U429" s="1265" t="str">
        <f t="shared" ref="U429:U434" si="289">IF(T429="","",IF(I429=0,"",O429/I429))</f>
        <v/>
      </c>
    </row>
    <row r="430" spans="3:21" x14ac:dyDescent="0.2">
      <c r="C430" s="1266" t="s">
        <v>890</v>
      </c>
      <c r="D430" s="1363">
        <f t="shared" si="280"/>
        <v>2013</v>
      </c>
      <c r="E430" s="1265"/>
      <c r="F430" s="1314" t="str">
        <f t="shared" si="281"/>
        <v>Actual</v>
      </c>
      <c r="G430" s="1311"/>
      <c r="H430" s="2" t="str">
        <f t="shared" si="282"/>
        <v/>
      </c>
      <c r="I430" s="1328"/>
      <c r="K430" s="1282" t="str">
        <f t="shared" si="283"/>
        <v>Actual</v>
      </c>
      <c r="L430" s="1294"/>
      <c r="M430" s="1294"/>
      <c r="N430" s="1258" t="str">
        <f t="shared" si="284"/>
        <v/>
      </c>
      <c r="O430" s="1325"/>
      <c r="Q430" s="1385" t="str">
        <f t="shared" si="285"/>
        <v>Actual</v>
      </c>
      <c r="R430" s="1329" t="str">
        <f t="shared" si="286"/>
        <v/>
      </c>
      <c r="S430" s="1309" t="str">
        <f t="shared" si="287"/>
        <v/>
      </c>
      <c r="T430" s="1309" t="str">
        <f t="shared" si="288"/>
        <v/>
      </c>
      <c r="U430" s="1265" t="str">
        <f t="shared" si="289"/>
        <v/>
      </c>
    </row>
    <row r="431" spans="3:21" x14ac:dyDescent="0.2">
      <c r="C431" s="1266" t="s">
        <v>890</v>
      </c>
      <c r="D431" s="1363">
        <f t="shared" si="280"/>
        <v>2014</v>
      </c>
      <c r="E431" s="1265"/>
      <c r="F431" s="1314" t="str">
        <f t="shared" si="281"/>
        <v>Actual</v>
      </c>
      <c r="G431" s="1311"/>
      <c r="H431" s="2" t="str">
        <f t="shared" si="282"/>
        <v/>
      </c>
      <c r="I431" s="1324"/>
      <c r="K431" s="1282" t="str">
        <f t="shared" si="283"/>
        <v>Actual</v>
      </c>
      <c r="L431" s="1294"/>
      <c r="M431" s="1294"/>
      <c r="N431" s="1258" t="str">
        <f t="shared" si="284"/>
        <v/>
      </c>
      <c r="O431" s="1324"/>
      <c r="Q431" s="1385" t="str">
        <f t="shared" si="285"/>
        <v>Actual</v>
      </c>
      <c r="R431" s="1329" t="str">
        <f t="shared" si="286"/>
        <v/>
      </c>
      <c r="S431" s="1309" t="str">
        <f t="shared" si="287"/>
        <v/>
      </c>
      <c r="T431" s="1309" t="str">
        <f t="shared" si="288"/>
        <v/>
      </c>
      <c r="U431" s="1265" t="str">
        <f t="shared" si="289"/>
        <v/>
      </c>
    </row>
    <row r="432" spans="3:21" x14ac:dyDescent="0.2">
      <c r="C432" s="1266" t="s">
        <v>890</v>
      </c>
      <c r="D432" s="1363">
        <f t="shared" si="280"/>
        <v>2015</v>
      </c>
      <c r="E432" s="1265"/>
      <c r="F432" s="1314" t="str">
        <f t="shared" si="281"/>
        <v>Actual</v>
      </c>
      <c r="G432" s="1311"/>
      <c r="H432" s="2" t="str">
        <f t="shared" si="282"/>
        <v/>
      </c>
      <c r="I432" s="1324"/>
      <c r="K432" s="1282" t="str">
        <f t="shared" si="283"/>
        <v>Actual</v>
      </c>
      <c r="L432" s="1294"/>
      <c r="M432" s="1294"/>
      <c r="N432" s="1258" t="str">
        <f t="shared" si="284"/>
        <v/>
      </c>
      <c r="O432" s="1324"/>
      <c r="Q432" s="1385" t="str">
        <f t="shared" si="285"/>
        <v>Actual</v>
      </c>
      <c r="R432" s="1329" t="str">
        <f t="shared" si="286"/>
        <v/>
      </c>
      <c r="S432" s="1309" t="str">
        <f t="shared" si="287"/>
        <v/>
      </c>
      <c r="T432" s="1309" t="str">
        <f t="shared" si="288"/>
        <v/>
      </c>
      <c r="U432" s="1265" t="str">
        <f t="shared" si="289"/>
        <v/>
      </c>
    </row>
    <row r="433" spans="2:22" x14ac:dyDescent="0.2">
      <c r="C433" s="1266" t="s">
        <v>1203</v>
      </c>
      <c r="D433" s="1363">
        <f t="shared" si="280"/>
        <v>2016</v>
      </c>
      <c r="E433" s="1265"/>
      <c r="F433" s="1314" t="str">
        <f t="shared" si="281"/>
        <v>Forecast</v>
      </c>
      <c r="G433" s="1311"/>
      <c r="H433" s="2" t="str">
        <f t="shared" si="282"/>
        <v/>
      </c>
      <c r="I433" s="1324"/>
      <c r="K433" s="1282" t="str">
        <f t="shared" si="283"/>
        <v>Forecast</v>
      </c>
      <c r="L433" s="1303"/>
      <c r="M433" s="1334"/>
      <c r="N433" s="1258" t="str">
        <f t="shared" si="284"/>
        <v/>
      </c>
      <c r="O433" s="1324"/>
      <c r="Q433" s="1385" t="str">
        <f t="shared" si="285"/>
        <v>Forecast</v>
      </c>
      <c r="R433" s="1329" t="str">
        <f t="shared" si="286"/>
        <v/>
      </c>
      <c r="S433" s="1309" t="str">
        <f t="shared" si="287"/>
        <v/>
      </c>
      <c r="T433" s="1309" t="str">
        <f t="shared" si="288"/>
        <v/>
      </c>
      <c r="U433" s="1265" t="str">
        <f t="shared" si="289"/>
        <v/>
      </c>
    </row>
    <row r="434" spans="2:22" ht="13.5" thickBot="1" x14ac:dyDescent="0.25">
      <c r="C434" s="1267" t="s">
        <v>1204</v>
      </c>
      <c r="D434" s="1364">
        <f>TestYear</f>
        <v>2017</v>
      </c>
      <c r="E434" s="1271"/>
      <c r="F434" s="1315" t="str">
        <f t="shared" si="281"/>
        <v>Forecast</v>
      </c>
      <c r="G434" s="1312"/>
      <c r="H434" s="1307" t="str">
        <f t="shared" si="282"/>
        <v/>
      </c>
      <c r="I434" s="1326"/>
      <c r="K434" s="1283" t="str">
        <f t="shared" si="283"/>
        <v>Forecast</v>
      </c>
      <c r="L434" s="1304"/>
      <c r="M434" s="1335"/>
      <c r="N434" s="1262" t="str">
        <f t="shared" si="284"/>
        <v/>
      </c>
      <c r="O434" s="1326"/>
      <c r="Q434" s="1319" t="str">
        <f t="shared" si="285"/>
        <v>Forecast</v>
      </c>
      <c r="R434" s="1310" t="str">
        <f t="shared" si="286"/>
        <v/>
      </c>
      <c r="S434" s="1310" t="str">
        <f t="shared" si="287"/>
        <v/>
      </c>
      <c r="T434" s="1310" t="str">
        <f t="shared" si="288"/>
        <v/>
      </c>
      <c r="U434" s="1271" t="str">
        <f t="shared" si="289"/>
        <v/>
      </c>
    </row>
    <row r="435" spans="2:22" ht="13.5" thickBot="1" x14ac:dyDescent="0.25">
      <c r="C435" s="1366"/>
      <c r="I435" s="1408">
        <f>SUM(I428:I433)</f>
        <v>0</v>
      </c>
      <c r="J435" s="1329"/>
      <c r="O435" s="1408">
        <f>SUM(O428:O433)</f>
        <v>0</v>
      </c>
      <c r="U435" s="1408">
        <f>SUM(U428:U433)</f>
        <v>0</v>
      </c>
    </row>
    <row r="436" spans="2:22" ht="39" thickBot="1" x14ac:dyDescent="0.25">
      <c r="C436" s="1400" t="s">
        <v>952</v>
      </c>
      <c r="D436" s="1399" t="s">
        <v>15</v>
      </c>
      <c r="E436" s="1435"/>
      <c r="F436" s="1435"/>
      <c r="G436" s="1435" t="s">
        <v>1222</v>
      </c>
      <c r="H436" s="1435"/>
      <c r="I436" s="1394" t="str">
        <f>I415</f>
        <v>Test Year Versus Board-approved</v>
      </c>
      <c r="J436" s="1407"/>
      <c r="K436" s="1395" t="s">
        <v>15</v>
      </c>
      <c r="L436" s="1874" t="s">
        <v>1222</v>
      </c>
      <c r="M436" s="1874"/>
      <c r="N436" s="1435"/>
      <c r="O436" s="1394" t="str">
        <f>I436</f>
        <v>Test Year Versus Board-approved</v>
      </c>
      <c r="P436" s="1380"/>
      <c r="Q436" s="1395" t="s">
        <v>15</v>
      </c>
      <c r="R436" s="1874" t="s">
        <v>1222</v>
      </c>
      <c r="S436" s="1874"/>
      <c r="T436" s="1435"/>
      <c r="U436" s="1394" t="str">
        <f>O436</f>
        <v>Test Year Versus Board-approved</v>
      </c>
    </row>
    <row r="437" spans="2:22" x14ac:dyDescent="0.2">
      <c r="C437" s="1265"/>
      <c r="D437" s="1402">
        <f t="shared" ref="D437:D443" si="290">D428</f>
        <v>2011</v>
      </c>
      <c r="E437" s="1345"/>
      <c r="F437" s="1329"/>
      <c r="G437" s="1372"/>
      <c r="H437" s="1329"/>
      <c r="I437" s="1378"/>
      <c r="J437" s="1265"/>
      <c r="K437" s="1363">
        <f>D437</f>
        <v>2011</v>
      </c>
      <c r="L437" s="1351"/>
      <c r="M437" s="1351"/>
      <c r="N437" s="1329"/>
      <c r="O437" s="1381"/>
      <c r="P437" s="1265"/>
      <c r="Q437" s="1363">
        <f>K437</f>
        <v>2011</v>
      </c>
      <c r="R437" s="1330"/>
      <c r="S437" s="1330"/>
      <c r="T437" s="1329"/>
      <c r="U437" s="1324"/>
    </row>
    <row r="438" spans="2:22" x14ac:dyDescent="0.2">
      <c r="C438" s="1265"/>
      <c r="D438" s="1365">
        <f t="shared" si="290"/>
        <v>2012</v>
      </c>
      <c r="E438" s="1329"/>
      <c r="F438" s="1329"/>
      <c r="G438" s="1373" t="str">
        <f t="shared" ref="G438:G443" si="291">IF(G428=0,"",G429/G428-1)</f>
        <v/>
      </c>
      <c r="H438" s="1329"/>
      <c r="I438" s="1378"/>
      <c r="J438" s="1265"/>
      <c r="K438" s="1363">
        <f t="shared" ref="K438:K444" si="292">D438</f>
        <v>2012</v>
      </c>
      <c r="L438" s="1353" t="str">
        <f t="shared" ref="L438:M441" si="293">IF(L428=0,"",L429/L428-1)</f>
        <v/>
      </c>
      <c r="M438" s="1353" t="str">
        <f t="shared" si="293"/>
        <v/>
      </c>
      <c r="N438" s="1329"/>
      <c r="O438" s="1381"/>
      <c r="P438" s="1265"/>
      <c r="Q438" s="1363">
        <f t="shared" ref="Q438:Q444" si="294">K438</f>
        <v>2012</v>
      </c>
      <c r="R438" s="1374" t="str">
        <f t="shared" ref="R438:S441" si="295">IF(R428="","",IF(R428=0,"",R429/R428-1))</f>
        <v/>
      </c>
      <c r="S438" s="1374" t="str">
        <f t="shared" si="295"/>
        <v/>
      </c>
      <c r="T438" s="1329"/>
      <c r="U438" s="1324"/>
    </row>
    <row r="439" spans="2:22" x14ac:dyDescent="0.2">
      <c r="C439" s="1265"/>
      <c r="D439" s="1401">
        <f t="shared" si="290"/>
        <v>2013</v>
      </c>
      <c r="E439" s="1329"/>
      <c r="F439" s="1329"/>
      <c r="G439" s="1373" t="str">
        <f t="shared" si="291"/>
        <v/>
      </c>
      <c r="H439" s="1329"/>
      <c r="I439" s="1378"/>
      <c r="J439" s="1265"/>
      <c r="K439" s="1363">
        <f t="shared" si="292"/>
        <v>2013</v>
      </c>
      <c r="L439" s="1353" t="str">
        <f t="shared" si="293"/>
        <v/>
      </c>
      <c r="M439" s="1353" t="str">
        <f t="shared" si="293"/>
        <v/>
      </c>
      <c r="N439" s="1329"/>
      <c r="O439" s="1381"/>
      <c r="P439" s="1265"/>
      <c r="Q439" s="1363">
        <f t="shared" si="294"/>
        <v>2013</v>
      </c>
      <c r="R439" s="1374" t="str">
        <f t="shared" si="295"/>
        <v/>
      </c>
      <c r="S439" s="1374" t="str">
        <f t="shared" si="295"/>
        <v/>
      </c>
      <c r="T439" s="1329"/>
      <c r="U439" s="1324"/>
    </row>
    <row r="440" spans="2:22" x14ac:dyDescent="0.2">
      <c r="C440" s="1265"/>
      <c r="D440" s="1365">
        <f t="shared" si="290"/>
        <v>2014</v>
      </c>
      <c r="E440" s="1329"/>
      <c r="F440" s="1329"/>
      <c r="G440" s="1373" t="str">
        <f t="shared" si="291"/>
        <v/>
      </c>
      <c r="H440" s="1329"/>
      <c r="I440" s="1378"/>
      <c r="J440" s="1265"/>
      <c r="K440" s="1363">
        <f t="shared" si="292"/>
        <v>2014</v>
      </c>
      <c r="L440" s="1353" t="str">
        <f t="shared" si="293"/>
        <v/>
      </c>
      <c r="M440" s="1353" t="str">
        <f t="shared" si="293"/>
        <v/>
      </c>
      <c r="N440" s="1329"/>
      <c r="O440" s="1381"/>
      <c r="P440" s="1265"/>
      <c r="Q440" s="1363">
        <f t="shared" si="294"/>
        <v>2014</v>
      </c>
      <c r="R440" s="1374" t="str">
        <f t="shared" si="295"/>
        <v/>
      </c>
      <c r="S440" s="1374" t="str">
        <f t="shared" si="295"/>
        <v/>
      </c>
      <c r="T440" s="1329"/>
      <c r="U440" s="1324"/>
    </row>
    <row r="441" spans="2:22" x14ac:dyDescent="0.2">
      <c r="C441" s="1265"/>
      <c r="D441" s="1365">
        <f t="shared" si="290"/>
        <v>2015</v>
      </c>
      <c r="E441" s="1329"/>
      <c r="F441" s="1329"/>
      <c r="G441" s="1373" t="str">
        <f t="shared" si="291"/>
        <v/>
      </c>
      <c r="H441" s="1329"/>
      <c r="I441" s="1378"/>
      <c r="J441" s="1265"/>
      <c r="K441" s="1363">
        <f t="shared" si="292"/>
        <v>2015</v>
      </c>
      <c r="L441" s="1353" t="str">
        <f t="shared" si="293"/>
        <v/>
      </c>
      <c r="M441" s="1353" t="str">
        <f t="shared" si="293"/>
        <v/>
      </c>
      <c r="N441" s="1329"/>
      <c r="O441" s="1381"/>
      <c r="P441" s="1265"/>
      <c r="Q441" s="1363">
        <f t="shared" si="294"/>
        <v>2015</v>
      </c>
      <c r="R441" s="1374" t="str">
        <f t="shared" si="295"/>
        <v/>
      </c>
      <c r="S441" s="1374" t="str">
        <f t="shared" si="295"/>
        <v/>
      </c>
      <c r="T441" s="1329"/>
      <c r="U441" s="1324"/>
    </row>
    <row r="442" spans="2:22" x14ac:dyDescent="0.2">
      <c r="C442" s="1265"/>
      <c r="D442" s="1365">
        <f t="shared" si="290"/>
        <v>2016</v>
      </c>
      <c r="E442" s="1329"/>
      <c r="F442" s="1329"/>
      <c r="G442" s="1373" t="str">
        <f t="shared" si="291"/>
        <v/>
      </c>
      <c r="H442" s="1329"/>
      <c r="I442" s="1378"/>
      <c r="J442" s="1265"/>
      <c r="K442" s="1363">
        <f t="shared" si="292"/>
        <v>2016</v>
      </c>
      <c r="L442" s="1353" t="str">
        <f>IF(K433="Forecast","",IF(L432=0,"",L433/L432-1))</f>
        <v/>
      </c>
      <c r="M442" s="1353" t="str">
        <f>IF(M432=0,"",M433/M432-1)</f>
        <v/>
      </c>
      <c r="N442" s="1329"/>
      <c r="O442" s="1381"/>
      <c r="P442" s="1265"/>
      <c r="Q442" s="1363">
        <f t="shared" si="294"/>
        <v>2016</v>
      </c>
      <c r="R442" s="1374" t="str">
        <f>IF(Q433="Forecast","",IF(R432=0,"",R433/R432-1))</f>
        <v/>
      </c>
      <c r="S442" s="1374" t="str">
        <f>IF(S432="","",IF(S432=0,"",S433/S432-1))</f>
        <v/>
      </c>
      <c r="T442" s="1329"/>
      <c r="U442" s="1324"/>
    </row>
    <row r="443" spans="2:22" x14ac:dyDescent="0.2">
      <c r="C443" s="1265"/>
      <c r="D443" s="1401">
        <f t="shared" si="290"/>
        <v>2017</v>
      </c>
      <c r="E443" s="1329"/>
      <c r="F443" s="1329"/>
      <c r="G443" s="1373" t="str">
        <f t="shared" si="291"/>
        <v/>
      </c>
      <c r="H443" s="1329"/>
      <c r="I443" s="1379" t="str">
        <f>IF(I435=0,"",G434/I435-1)</f>
        <v/>
      </c>
      <c r="J443" s="1265"/>
      <c r="K443" s="1363">
        <f t="shared" si="292"/>
        <v>2017</v>
      </c>
      <c r="L443" s="1353" t="str">
        <f>IF(K434="Forecast","",IF(L433=0,"",L434/L433-1))</f>
        <v/>
      </c>
      <c r="M443" s="1353" t="str">
        <f>IF(M433=0,"",M434/M433-1)</f>
        <v/>
      </c>
      <c r="N443" s="1329"/>
      <c r="O443" s="1382" t="str">
        <f>IF(O435=0,"",M434/O435-1)</f>
        <v/>
      </c>
      <c r="P443" s="1265"/>
      <c r="Q443" s="1363">
        <f t="shared" si="294"/>
        <v>2017</v>
      </c>
      <c r="R443" s="1374" t="str">
        <f>IF(Q434="Forecast","",IF(R433=0,"",R434/R433-1))</f>
        <v/>
      </c>
      <c r="S443" s="1374" t="str">
        <f>IF(S433="","",IF(S433=0,"",S434/S433-1))</f>
        <v/>
      </c>
      <c r="T443" s="1329"/>
      <c r="U443" s="1354" t="str">
        <f>IF(U435=0,"",S434/U435-1)</f>
        <v/>
      </c>
    </row>
    <row r="444" spans="2:22" ht="26.25" thickBot="1" x14ac:dyDescent="0.25">
      <c r="C444" s="1271"/>
      <c r="D444" s="1405" t="s">
        <v>1221</v>
      </c>
      <c r="E444" s="1355"/>
      <c r="F444" s="1355"/>
      <c r="G444" s="1375" t="str">
        <f>IF(G428=0,"",(G434/G428)^(1/($D434-$D428-1))-1)</f>
        <v/>
      </c>
      <c r="H444" s="1355"/>
      <c r="I444" s="1371" t="str">
        <f>IF(I435=0,"",(G434/I435)^(1/(TestYear-RebaseYear-1))-1)</f>
        <v/>
      </c>
      <c r="J444" s="1265"/>
      <c r="K444" s="1404" t="str">
        <f t="shared" si="292"/>
        <v>Geometric Mean</v>
      </c>
      <c r="L444" s="1358" t="str">
        <f>IF(L428=0,"",(L432/L428)^(1/($D432-$D428-1))-1)</f>
        <v/>
      </c>
      <c r="M444" s="1358" t="str">
        <f>IF(M428=0,"",(M434/M428)^(1/($D434-$D428-1))-1)</f>
        <v/>
      </c>
      <c r="N444" s="1355"/>
      <c r="O444" s="1371" t="str">
        <f>IF(O435=0,"",(M434/O435)^(1/(TestYear-RebaseYear-1))-1)</f>
        <v/>
      </c>
      <c r="P444" s="1271"/>
      <c r="Q444" s="1404" t="str">
        <f t="shared" si="294"/>
        <v>Geometric Mean</v>
      </c>
      <c r="R444" s="1376" t="str">
        <f>IF(R428="","",IF(R428=0,"",(R432/R428)^(1/($D432-$D428-1))-1))</f>
        <v/>
      </c>
      <c r="S444" s="1358" t="str">
        <f>IF(S428="","",IF(S428=0,"",(S434/S428)^(1/($D434-$D428-1))-1))</f>
        <v/>
      </c>
      <c r="T444" s="1355"/>
      <c r="U444" s="1371" t="str">
        <f>IF(U435=0,"",(S434/U435)^(1/(TestYear-RebaseYear-1))-1)</f>
        <v/>
      </c>
    </row>
    <row r="445" spans="2:22" ht="13.5" thickBot="1" x14ac:dyDescent="0.25"/>
    <row r="446" spans="2:22" ht="13.5" thickBot="1" x14ac:dyDescent="0.25">
      <c r="B446" s="1318">
        <f>B403+1</f>
        <v>10</v>
      </c>
      <c r="C446" s="3" t="s">
        <v>14</v>
      </c>
      <c r="D446" s="1880"/>
      <c r="E446" s="1881"/>
      <c r="F446" s="1882"/>
      <c r="G446" s="1291"/>
      <c r="H446" s="13" t="s">
        <v>1224</v>
      </c>
      <c r="N446" s="1317"/>
      <c r="O446" s="1316"/>
      <c r="P446" s="1316"/>
      <c r="Q446" s="1316"/>
      <c r="R446" s="1316"/>
      <c r="S446" s="1316"/>
      <c r="T446" s="1316"/>
      <c r="U446" s="1316"/>
    </row>
    <row r="447" spans="2:22" ht="13.5" thickBot="1" x14ac:dyDescent="0.25">
      <c r="Q447" s="1355"/>
      <c r="R447" s="1355"/>
      <c r="S447" s="1355"/>
      <c r="T447" s="1355"/>
      <c r="U447" s="1355"/>
    </row>
    <row r="448" spans="2:22" x14ac:dyDescent="0.2">
      <c r="C448" s="1264"/>
      <c r="D448" s="1268" t="s">
        <v>1205</v>
      </c>
      <c r="E448" s="1268"/>
      <c r="F448" s="1883" t="s">
        <v>1034</v>
      </c>
      <c r="G448" s="1884"/>
      <c r="H448" s="1884"/>
      <c r="I448" s="1885"/>
      <c r="J448" s="1268"/>
      <c r="K448" s="1859" t="s">
        <v>1213</v>
      </c>
      <c r="L448" s="1860"/>
      <c r="M448" s="1860"/>
      <c r="N448" s="1860"/>
      <c r="O448" s="1861"/>
      <c r="P448" s="1287"/>
      <c r="Q448" s="1869" t="str">
        <f>CONCATENATE("Consumption (kWh) per ",LEFT(F448,LEN(F448)-1))</f>
        <v>Consumption (kWh) per Customer</v>
      </c>
      <c r="R448" s="1879"/>
      <c r="S448" s="1879"/>
      <c r="T448" s="1879"/>
      <c r="U448" s="1870"/>
      <c r="V448" s="1308"/>
    </row>
    <row r="449" spans="2:22" ht="39" thickBot="1" x14ac:dyDescent="0.25">
      <c r="C449" s="1271"/>
      <c r="D449" s="1277" t="str">
        <f>CONCATENATE("(for ",TestYear," Cost of Service")</f>
        <v>(for 2017 Cost of Service</v>
      </c>
      <c r="E449" s="1266"/>
      <c r="F449" s="1872"/>
      <c r="G449" s="1873"/>
      <c r="H449" s="1875"/>
      <c r="I449" s="1296"/>
      <c r="J449" s="1266"/>
      <c r="K449" s="1284"/>
      <c r="L449" s="1433" t="s">
        <v>1226</v>
      </c>
      <c r="M449" s="1433" t="s">
        <v>1210</v>
      </c>
      <c r="N449" s="1305"/>
      <c r="O449" s="1306" t="s">
        <v>1210</v>
      </c>
      <c r="P449" s="1266"/>
      <c r="Q449" s="1389"/>
      <c r="R449" s="1390" t="str">
        <f>L449</f>
        <v>Actual (Weather actual)</v>
      </c>
      <c r="S449" s="1391" t="str">
        <f>M449</f>
        <v>Weather-normalized</v>
      </c>
      <c r="T449" s="1391"/>
      <c r="U449" s="1392" t="str">
        <f>O449</f>
        <v>Weather-normalized</v>
      </c>
      <c r="V449" s="1308"/>
    </row>
    <row r="450" spans="2:22" x14ac:dyDescent="0.2">
      <c r="C450" s="1266" t="s">
        <v>890</v>
      </c>
      <c r="D450" s="1363">
        <f t="shared" ref="D450:D455" si="296">D451-1</f>
        <v>2011</v>
      </c>
      <c r="E450" s="1265"/>
      <c r="F450" s="1313" t="str">
        <f>F407</f>
        <v>Actual</v>
      </c>
      <c r="G450" s="1301"/>
      <c r="H450" s="1297" t="str">
        <f t="shared" ref="H450:H456" si="297">IF(D450=RebaseYear,"Board-approved","")</f>
        <v/>
      </c>
      <c r="I450" s="1324"/>
      <c r="J450" s="1265"/>
      <c r="K450" s="1282" t="str">
        <f>F450</f>
        <v>Actual</v>
      </c>
      <c r="L450" s="1294"/>
      <c r="M450" s="1294"/>
      <c r="N450" s="1258" t="str">
        <f>H450</f>
        <v/>
      </c>
      <c r="O450" s="1324"/>
      <c r="P450" s="1265"/>
      <c r="Q450" s="1385" t="str">
        <f>K450</f>
        <v>Actual</v>
      </c>
      <c r="R450" s="1387" t="str">
        <f>IF(G450=0,"",L450/G450)</f>
        <v/>
      </c>
      <c r="S450" s="1329" t="str">
        <f>IF(G450=0,"",M450/G450)</f>
        <v/>
      </c>
      <c r="T450" s="1329" t="str">
        <f>N450</f>
        <v/>
      </c>
      <c r="U450" s="1329" t="str">
        <f>IF(T450="","",IF(I450=0,"",O450/I450))</f>
        <v/>
      </c>
      <c r="V450" s="1309"/>
    </row>
    <row r="451" spans="2:22" x14ac:dyDescent="0.2">
      <c r="C451" s="1266" t="s">
        <v>890</v>
      </c>
      <c r="D451" s="1363">
        <f t="shared" si="296"/>
        <v>2012</v>
      </c>
      <c r="E451" s="1265"/>
      <c r="F451" s="1314" t="str">
        <f t="shared" ref="F451:F456" si="298">F408</f>
        <v>Actual</v>
      </c>
      <c r="G451" s="1301"/>
      <c r="H451" s="1297" t="str">
        <f t="shared" si="297"/>
        <v>Board-approved</v>
      </c>
      <c r="I451" s="1324"/>
      <c r="J451" s="1265"/>
      <c r="K451" s="1282" t="str">
        <f t="shared" ref="K451:K456" si="299">F451</f>
        <v>Actual</v>
      </c>
      <c r="L451" s="1294"/>
      <c r="M451" s="1294"/>
      <c r="N451" s="1258" t="str">
        <f t="shared" ref="N451:N456" si="300">H451</f>
        <v>Board-approved</v>
      </c>
      <c r="O451" s="1324"/>
      <c r="P451" s="1265"/>
      <c r="Q451" s="1385" t="str">
        <f t="shared" ref="Q451:Q456" si="301">K451</f>
        <v>Actual</v>
      </c>
      <c r="R451" s="1387" t="str">
        <f t="shared" ref="R451:R456" si="302">IF(G451=0,"",L451/G451)</f>
        <v/>
      </c>
      <c r="S451" s="1329" t="str">
        <f t="shared" ref="S451:S456" si="303">IF(G451=0,"",M451/G451)</f>
        <v/>
      </c>
      <c r="T451" s="1329" t="str">
        <f t="shared" ref="T451:T456" si="304">N451</f>
        <v>Board-approved</v>
      </c>
      <c r="U451" s="1329" t="str">
        <f t="shared" ref="U451:U456" si="305">IF(T451="","",IF(I451=0,"",O451/I451))</f>
        <v/>
      </c>
      <c r="V451" s="1309"/>
    </row>
    <row r="452" spans="2:22" x14ac:dyDescent="0.2">
      <c r="C452" s="1266" t="s">
        <v>890</v>
      </c>
      <c r="D452" s="1363">
        <f t="shared" si="296"/>
        <v>2013</v>
      </c>
      <c r="E452" s="1265"/>
      <c r="F452" s="1314" t="str">
        <f t="shared" si="298"/>
        <v>Actual</v>
      </c>
      <c r="G452" s="1301"/>
      <c r="H452" s="1297" t="str">
        <f t="shared" si="297"/>
        <v/>
      </c>
      <c r="I452" s="1325"/>
      <c r="J452" s="1265"/>
      <c r="K452" s="1282" t="str">
        <f t="shared" si="299"/>
        <v>Actual</v>
      </c>
      <c r="L452" s="1294"/>
      <c r="M452" s="1294"/>
      <c r="N452" s="1258" t="str">
        <f t="shared" si="300"/>
        <v/>
      </c>
      <c r="O452" s="1325"/>
      <c r="P452" s="1265"/>
      <c r="Q452" s="1385" t="str">
        <f t="shared" si="301"/>
        <v>Actual</v>
      </c>
      <c r="R452" s="1387" t="str">
        <f t="shared" si="302"/>
        <v/>
      </c>
      <c r="S452" s="1329" t="str">
        <f t="shared" si="303"/>
        <v/>
      </c>
      <c r="T452" s="1329" t="str">
        <f t="shared" si="304"/>
        <v/>
      </c>
      <c r="U452" s="1329" t="str">
        <f t="shared" si="305"/>
        <v/>
      </c>
      <c r="V452" s="1309"/>
    </row>
    <row r="453" spans="2:22" x14ac:dyDescent="0.2">
      <c r="C453" s="1266" t="s">
        <v>890</v>
      </c>
      <c r="D453" s="1363">
        <f t="shared" si="296"/>
        <v>2014</v>
      </c>
      <c r="E453" s="1265"/>
      <c r="F453" s="1314" t="str">
        <f t="shared" si="298"/>
        <v>Actual</v>
      </c>
      <c r="G453" s="1301"/>
      <c r="H453" s="1297" t="str">
        <f t="shared" si="297"/>
        <v/>
      </c>
      <c r="I453" s="1324"/>
      <c r="J453" s="1265"/>
      <c r="K453" s="1282" t="str">
        <f t="shared" si="299"/>
        <v>Actual</v>
      </c>
      <c r="L453" s="1294"/>
      <c r="M453" s="1294"/>
      <c r="N453" s="1258" t="str">
        <f t="shared" si="300"/>
        <v/>
      </c>
      <c r="O453" s="1324"/>
      <c r="P453" s="1265"/>
      <c r="Q453" s="1385" t="str">
        <f t="shared" si="301"/>
        <v>Actual</v>
      </c>
      <c r="R453" s="1387" t="str">
        <f t="shared" si="302"/>
        <v/>
      </c>
      <c r="S453" s="1329" t="str">
        <f t="shared" si="303"/>
        <v/>
      </c>
      <c r="T453" s="1329" t="str">
        <f t="shared" si="304"/>
        <v/>
      </c>
      <c r="U453" s="1329" t="str">
        <f t="shared" si="305"/>
        <v/>
      </c>
      <c r="V453" s="1309"/>
    </row>
    <row r="454" spans="2:22" x14ac:dyDescent="0.2">
      <c r="C454" s="1266" t="s">
        <v>890</v>
      </c>
      <c r="D454" s="1363">
        <f t="shared" si="296"/>
        <v>2015</v>
      </c>
      <c r="E454" s="1265"/>
      <c r="F454" s="1314" t="str">
        <f t="shared" si="298"/>
        <v>Actual</v>
      </c>
      <c r="G454" s="1301"/>
      <c r="H454" s="1297" t="str">
        <f t="shared" si="297"/>
        <v/>
      </c>
      <c r="I454" s="1324"/>
      <c r="J454" s="1265"/>
      <c r="K454" s="1282" t="str">
        <f t="shared" si="299"/>
        <v>Actual</v>
      </c>
      <c r="L454" s="1294"/>
      <c r="M454" s="1294"/>
      <c r="N454" s="1258" t="str">
        <f t="shared" si="300"/>
        <v/>
      </c>
      <c r="O454" s="1324"/>
      <c r="P454" s="1265"/>
      <c r="Q454" s="1385" t="str">
        <f t="shared" si="301"/>
        <v>Actual</v>
      </c>
      <c r="R454" s="1387" t="str">
        <f t="shared" si="302"/>
        <v/>
      </c>
      <c r="S454" s="1329" t="str">
        <f t="shared" si="303"/>
        <v/>
      </c>
      <c r="T454" s="1329" t="str">
        <f t="shared" si="304"/>
        <v/>
      </c>
      <c r="U454" s="1329" t="str">
        <f t="shared" si="305"/>
        <v/>
      </c>
      <c r="V454" s="1309"/>
    </row>
    <row r="455" spans="2:22" x14ac:dyDescent="0.2">
      <c r="C455" s="1266" t="s">
        <v>313</v>
      </c>
      <c r="D455" s="1363">
        <f t="shared" si="296"/>
        <v>2016</v>
      </c>
      <c r="E455" s="1265"/>
      <c r="F455" s="1314" t="str">
        <f t="shared" si="298"/>
        <v>Forecast</v>
      </c>
      <c r="G455" s="1301"/>
      <c r="H455" s="1297" t="str">
        <f t="shared" si="297"/>
        <v/>
      </c>
      <c r="I455" s="1324"/>
      <c r="J455" s="1265"/>
      <c r="K455" s="1282" t="str">
        <f t="shared" si="299"/>
        <v>Forecast</v>
      </c>
      <c r="L455" s="1303"/>
      <c r="M455" s="1332"/>
      <c r="N455" s="1258" t="str">
        <f t="shared" si="300"/>
        <v/>
      </c>
      <c r="O455" s="1324"/>
      <c r="P455" s="1265"/>
      <c r="Q455" s="1385" t="str">
        <f t="shared" si="301"/>
        <v>Forecast</v>
      </c>
      <c r="R455" s="1387" t="str">
        <f t="shared" si="302"/>
        <v/>
      </c>
      <c r="S455" s="1329" t="str">
        <f t="shared" si="303"/>
        <v/>
      </c>
      <c r="T455" s="1329" t="str">
        <f t="shared" si="304"/>
        <v/>
      </c>
      <c r="U455" s="1329" t="str">
        <f t="shared" si="305"/>
        <v/>
      </c>
      <c r="V455" s="1309"/>
    </row>
    <row r="456" spans="2:22" ht="13.5" thickBot="1" x14ac:dyDescent="0.25">
      <c r="C456" s="1267" t="s">
        <v>314</v>
      </c>
      <c r="D456" s="1364">
        <f>TestYear</f>
        <v>2017</v>
      </c>
      <c r="E456" s="1271"/>
      <c r="F456" s="1315" t="str">
        <f t="shared" si="298"/>
        <v>Forecast</v>
      </c>
      <c r="G456" s="1302"/>
      <c r="H456" s="1298" t="str">
        <f t="shared" si="297"/>
        <v/>
      </c>
      <c r="I456" s="1326"/>
      <c r="J456" s="1271"/>
      <c r="K456" s="1283" t="str">
        <f t="shared" si="299"/>
        <v>Forecast</v>
      </c>
      <c r="L456" s="1304"/>
      <c r="M456" s="1333"/>
      <c r="N456" s="1262" t="str">
        <f t="shared" si="300"/>
        <v/>
      </c>
      <c r="O456" s="1326"/>
      <c r="P456" s="1271"/>
      <c r="Q456" s="1386" t="str">
        <f t="shared" si="301"/>
        <v>Forecast</v>
      </c>
      <c r="R456" s="1388" t="str">
        <f t="shared" si="302"/>
        <v/>
      </c>
      <c r="S456" s="1355" t="str">
        <f t="shared" si="303"/>
        <v/>
      </c>
      <c r="T456" s="1355" t="str">
        <f t="shared" si="304"/>
        <v/>
      </c>
      <c r="U456" s="1355" t="str">
        <f t="shared" si="305"/>
        <v/>
      </c>
      <c r="V456" s="1309"/>
    </row>
    <row r="457" spans="2:22" ht="13.5" thickBot="1" x14ac:dyDescent="0.25">
      <c r="B457" s="1329"/>
      <c r="C457" s="1366"/>
      <c r="I457" s="1408">
        <f>SUM(I450:I455)</f>
        <v>0</v>
      </c>
      <c r="O457" s="1408">
        <f>SUM(O450:O455)</f>
        <v>0</v>
      </c>
      <c r="U457" s="1408">
        <f>SUM(U450:U455)</f>
        <v>0</v>
      </c>
    </row>
    <row r="458" spans="2:22" ht="39" thickBot="1" x14ac:dyDescent="0.25">
      <c r="C458" s="1400" t="s">
        <v>952</v>
      </c>
      <c r="D458" s="1399" t="s">
        <v>15</v>
      </c>
      <c r="E458" s="1361"/>
      <c r="F458" s="1361"/>
      <c r="G458" s="1435" t="s">
        <v>1222</v>
      </c>
      <c r="H458" s="1361"/>
      <c r="I458" s="1394" t="s">
        <v>1235</v>
      </c>
      <c r="J458" s="1396"/>
      <c r="K458" s="1395" t="s">
        <v>15</v>
      </c>
      <c r="L458" s="1874" t="s">
        <v>1222</v>
      </c>
      <c r="M458" s="1874"/>
      <c r="N458" s="1361"/>
      <c r="O458" s="1394" t="str">
        <f>I458</f>
        <v>Test Year Versus Board-approved</v>
      </c>
      <c r="P458" s="1397"/>
      <c r="Q458" s="1395" t="s">
        <v>15</v>
      </c>
      <c r="R458" s="1874" t="s">
        <v>1222</v>
      </c>
      <c r="S458" s="1874"/>
      <c r="T458" s="1361"/>
      <c r="U458" s="1394" t="str">
        <f>O458</f>
        <v>Test Year Versus Board-approved</v>
      </c>
    </row>
    <row r="459" spans="2:22" x14ac:dyDescent="0.2">
      <c r="C459" s="1265"/>
      <c r="D459" s="1377">
        <f t="shared" ref="D459:D465" si="306">D450</f>
        <v>2011</v>
      </c>
      <c r="E459" s="1329"/>
      <c r="F459" s="1329"/>
      <c r="G459" s="1372"/>
      <c r="H459" s="1329"/>
      <c r="I459" s="1378"/>
      <c r="J459" s="1384"/>
      <c r="K459" s="1363">
        <f>D459</f>
        <v>2011</v>
      </c>
      <c r="L459" s="1351"/>
      <c r="M459" s="1351"/>
      <c r="N459" s="1329"/>
      <c r="O459" s="1324"/>
      <c r="P459" s="1265"/>
      <c r="Q459" s="1363">
        <f>K459</f>
        <v>2011</v>
      </c>
      <c r="R459" s="1330"/>
      <c r="S459" s="1330"/>
      <c r="T459" s="1329"/>
      <c r="U459" s="1324"/>
    </row>
    <row r="460" spans="2:22" x14ac:dyDescent="0.2">
      <c r="C460" s="1265"/>
      <c r="D460" s="1365">
        <f t="shared" si="306"/>
        <v>2012</v>
      </c>
      <c r="E460" s="1329"/>
      <c r="F460" s="1329"/>
      <c r="G460" s="1373" t="str">
        <f t="shared" ref="G460:G465" si="307">IF(G450=0,"",G451/G450-1)</f>
        <v/>
      </c>
      <c r="H460" s="1329"/>
      <c r="I460" s="1378"/>
      <c r="J460" s="1384"/>
      <c r="K460" s="1363">
        <f t="shared" ref="K460:K466" si="308">D460</f>
        <v>2012</v>
      </c>
      <c r="L460" s="1353" t="str">
        <f t="shared" ref="L460:M463" si="309">IF(L450=0,"",L451/L450-1)</f>
        <v/>
      </c>
      <c r="M460" s="1353" t="str">
        <f t="shared" si="309"/>
        <v/>
      </c>
      <c r="N460" s="1329"/>
      <c r="O460" s="1324"/>
      <c r="P460" s="1265"/>
      <c r="Q460" s="1363">
        <f t="shared" ref="Q460:Q466" si="310">K460</f>
        <v>2012</v>
      </c>
      <c r="R460" s="1374" t="str">
        <f t="shared" ref="R460:S463" si="311">IF(R450="","",IF(R450=0,"",R451/R450-1))</f>
        <v/>
      </c>
      <c r="S460" s="1374" t="str">
        <f t="shared" si="311"/>
        <v/>
      </c>
      <c r="T460" s="1329"/>
      <c r="U460" s="1324"/>
    </row>
    <row r="461" spans="2:22" x14ac:dyDescent="0.2">
      <c r="C461" s="1265"/>
      <c r="D461" s="1365">
        <f t="shared" si="306"/>
        <v>2013</v>
      </c>
      <c r="E461" s="1329"/>
      <c r="F461" s="1329"/>
      <c r="G461" s="1373" t="str">
        <f t="shared" si="307"/>
        <v/>
      </c>
      <c r="H461" s="1329"/>
      <c r="I461" s="1378"/>
      <c r="J461" s="1384"/>
      <c r="K461" s="1363">
        <f t="shared" si="308"/>
        <v>2013</v>
      </c>
      <c r="L461" s="1353" t="str">
        <f t="shared" si="309"/>
        <v/>
      </c>
      <c r="M461" s="1353" t="str">
        <f t="shared" si="309"/>
        <v/>
      </c>
      <c r="N461" s="1329"/>
      <c r="O461" s="1324"/>
      <c r="P461" s="1265"/>
      <c r="Q461" s="1363">
        <f t="shared" si="310"/>
        <v>2013</v>
      </c>
      <c r="R461" s="1374" t="str">
        <f t="shared" si="311"/>
        <v/>
      </c>
      <c r="S461" s="1374" t="str">
        <f t="shared" si="311"/>
        <v/>
      </c>
      <c r="T461" s="1329"/>
      <c r="U461" s="1324"/>
    </row>
    <row r="462" spans="2:22" x14ac:dyDescent="0.2">
      <c r="C462" s="1265"/>
      <c r="D462" s="1365">
        <f t="shared" si="306"/>
        <v>2014</v>
      </c>
      <c r="E462" s="1329"/>
      <c r="F462" s="1329"/>
      <c r="G462" s="1373" t="str">
        <f t="shared" si="307"/>
        <v/>
      </c>
      <c r="H462" s="1329"/>
      <c r="I462" s="1378"/>
      <c r="J462" s="1384"/>
      <c r="K462" s="1363">
        <f t="shared" si="308"/>
        <v>2014</v>
      </c>
      <c r="L462" s="1353" t="str">
        <f t="shared" si="309"/>
        <v/>
      </c>
      <c r="M462" s="1353" t="str">
        <f t="shared" si="309"/>
        <v/>
      </c>
      <c r="N462" s="1329"/>
      <c r="O462" s="1324"/>
      <c r="P462" s="1265"/>
      <c r="Q462" s="1363">
        <f t="shared" si="310"/>
        <v>2014</v>
      </c>
      <c r="R462" s="1374" t="str">
        <f t="shared" si="311"/>
        <v/>
      </c>
      <c r="S462" s="1374" t="str">
        <f t="shared" si="311"/>
        <v/>
      </c>
      <c r="T462" s="1329"/>
      <c r="U462" s="1324"/>
    </row>
    <row r="463" spans="2:22" x14ac:dyDescent="0.2">
      <c r="C463" s="1265"/>
      <c r="D463" s="1365">
        <f t="shared" si="306"/>
        <v>2015</v>
      </c>
      <c r="E463" s="1329"/>
      <c r="F463" s="1329"/>
      <c r="G463" s="1373" t="str">
        <f t="shared" si="307"/>
        <v/>
      </c>
      <c r="H463" s="1329"/>
      <c r="I463" s="1378"/>
      <c r="J463" s="1384"/>
      <c r="K463" s="1363">
        <f t="shared" si="308"/>
        <v>2015</v>
      </c>
      <c r="L463" s="1353" t="str">
        <f t="shared" si="309"/>
        <v/>
      </c>
      <c r="M463" s="1353" t="str">
        <f t="shared" si="309"/>
        <v/>
      </c>
      <c r="N463" s="1329"/>
      <c r="O463" s="1324"/>
      <c r="P463" s="1265"/>
      <c r="Q463" s="1363">
        <f t="shared" si="310"/>
        <v>2015</v>
      </c>
      <c r="R463" s="1374" t="str">
        <f t="shared" si="311"/>
        <v/>
      </c>
      <c r="S463" s="1374" t="str">
        <f t="shared" si="311"/>
        <v/>
      </c>
      <c r="T463" s="1329"/>
      <c r="U463" s="1324"/>
    </row>
    <row r="464" spans="2:22" x14ac:dyDescent="0.2">
      <c r="C464" s="1265"/>
      <c r="D464" s="1365">
        <f t="shared" si="306"/>
        <v>2016</v>
      </c>
      <c r="E464" s="1329"/>
      <c r="F464" s="1329"/>
      <c r="G464" s="1373" t="str">
        <f t="shared" si="307"/>
        <v/>
      </c>
      <c r="H464" s="1329"/>
      <c r="I464" s="1378"/>
      <c r="J464" s="1384"/>
      <c r="K464" s="1363">
        <f t="shared" si="308"/>
        <v>2016</v>
      </c>
      <c r="L464" s="1353" t="str">
        <f>IF(K455="Forecast","",IF(L454=0,"",L455/L454-1))</f>
        <v/>
      </c>
      <c r="M464" s="1353" t="str">
        <f>IF(M454=0,"",M455/M454-1)</f>
        <v/>
      </c>
      <c r="N464" s="1329"/>
      <c r="O464" s="1324"/>
      <c r="P464" s="1265"/>
      <c r="Q464" s="1363">
        <f t="shared" si="310"/>
        <v>2016</v>
      </c>
      <c r="R464" s="1374" t="str">
        <f>IF(Q455="Forecast","",IF(R454=0,"",R455/R454-1))</f>
        <v/>
      </c>
      <c r="S464" s="1374" t="str">
        <f>IF(S454="","",IF(S454=0,"",S455/S454-1))</f>
        <v/>
      </c>
      <c r="T464" s="1329"/>
      <c r="U464" s="1324"/>
    </row>
    <row r="465" spans="3:21" x14ac:dyDescent="0.2">
      <c r="C465" s="1265"/>
      <c r="D465" s="1365">
        <f t="shared" si="306"/>
        <v>2017</v>
      </c>
      <c r="E465" s="1329"/>
      <c r="F465" s="1329"/>
      <c r="G465" s="1373" t="str">
        <f t="shared" si="307"/>
        <v/>
      </c>
      <c r="H465" s="1329"/>
      <c r="I465" s="1379" t="str">
        <f>IF(I457=0,"",G456/I457-1)</f>
        <v/>
      </c>
      <c r="J465" s="1384"/>
      <c r="K465" s="1363">
        <f t="shared" si="308"/>
        <v>2017</v>
      </c>
      <c r="L465" s="1353" t="str">
        <f>IF(K456="Forecast","",IF(L455=0,"",L456/L455-1))</f>
        <v/>
      </c>
      <c r="M465" s="1353" t="str">
        <f>IF(M455=0,"",M456/M455-1)</f>
        <v/>
      </c>
      <c r="N465" s="1329"/>
      <c r="O465" s="1354" t="str">
        <f>IF(O457=0,"",M456/O457-1)</f>
        <v/>
      </c>
      <c r="P465" s="1265"/>
      <c r="Q465" s="1363">
        <f t="shared" si="310"/>
        <v>2017</v>
      </c>
      <c r="R465" s="1374" t="str">
        <f>IF(Q456="Forecast","",IF(R455=0,"",R456/R455-1))</f>
        <v/>
      </c>
      <c r="S465" s="1374" t="str">
        <f>IF(S455="","",IF(S455=0,"",S456/S455-1))</f>
        <v/>
      </c>
      <c r="T465" s="1329"/>
      <c r="U465" s="1354" t="str">
        <f>IF(U457=0,"",S456/U457-1)</f>
        <v/>
      </c>
    </row>
    <row r="466" spans="3:21" ht="26.25" thickBot="1" x14ac:dyDescent="0.25">
      <c r="C466" s="1271"/>
      <c r="D466" s="1405" t="s">
        <v>1221</v>
      </c>
      <c r="E466" s="1355"/>
      <c r="F466" s="1355"/>
      <c r="G466" s="1375" t="str">
        <f>IF(G450=0,"",(G456/G450)^(1/($D456-$D450-1))-1)</f>
        <v/>
      </c>
      <c r="H466" s="1355"/>
      <c r="I466" s="1406" t="str">
        <f>IF(I457=0,"",(G456/I457)^(1/(TestYear-RebaseYear-1))-1)</f>
        <v/>
      </c>
      <c r="J466" s="1360"/>
      <c r="K466" s="1404" t="str">
        <f t="shared" si="308"/>
        <v>Geometric Mean</v>
      </c>
      <c r="L466" s="1358" t="str">
        <f>IF(L450=0,"",(L454/L450)^(1/($D454-$D450-1))-1)</f>
        <v/>
      </c>
      <c r="M466" s="1358" t="str">
        <f>IF(M450=0,"",(M456/M450)^(1/($D456-$D450-1))-1)</f>
        <v/>
      </c>
      <c r="N466" s="1355"/>
      <c r="O466" s="1371" t="str">
        <f>IF(O457=0,"",(M456/O457)^(1/(TestYear-RebaseYear-1))-1)</f>
        <v/>
      </c>
      <c r="P466" s="1271"/>
      <c r="Q466" s="1404" t="str">
        <f t="shared" si="310"/>
        <v>Geometric Mean</v>
      </c>
      <c r="R466" s="1376" t="str">
        <f>IF(R450="","",IF(R450=0,"",(R454/R450)^(1/($D454-$D450-1))-1))</f>
        <v/>
      </c>
      <c r="S466" s="1358" t="str">
        <f>IF(S450="","",IF(S450=0,"",(S456/S450)^(1/($D456-$D450-1))-1))</f>
        <v/>
      </c>
      <c r="T466" s="1355"/>
      <c r="U466" s="1371" t="str">
        <f>IF(U457=0,"",(S456/U457)^(1/(TestYear-RebaseYear-1))-1)</f>
        <v/>
      </c>
    </row>
    <row r="468" spans="3:21" ht="13.5" thickBot="1" x14ac:dyDescent="0.25">
      <c r="Q468" s="1355"/>
      <c r="R468" s="1355"/>
      <c r="S468" s="1355"/>
      <c r="T468" s="1355"/>
      <c r="U468" s="1355"/>
    </row>
    <row r="469" spans="3:21" x14ac:dyDescent="0.2">
      <c r="C469" s="1264"/>
      <c r="D469" s="1268" t="s">
        <v>1205</v>
      </c>
      <c r="E469" s="1268"/>
      <c r="F469" s="1876" t="s">
        <v>1198</v>
      </c>
      <c r="G469" s="1877"/>
      <c r="H469" s="1877"/>
      <c r="I469" s="1878"/>
      <c r="K469" s="1859" t="str">
        <f>IF(ISBLANK(N446),"",CONCATENATE("Demand (",N446,")"))</f>
        <v/>
      </c>
      <c r="L469" s="1860"/>
      <c r="M469" s="1860"/>
      <c r="N469" s="1860"/>
      <c r="O469" s="1861"/>
      <c r="Q469" s="1869" t="str">
        <f>CONCATENATE("Demand (",N446,") per ",LEFT(F448,LEN(F448)-1))</f>
        <v>Demand () per Customer</v>
      </c>
      <c r="R469" s="1879"/>
      <c r="S469" s="1879"/>
      <c r="T469" s="1879"/>
      <c r="U469" s="1870"/>
    </row>
    <row r="470" spans="3:21" ht="39" thickBot="1" x14ac:dyDescent="0.25">
      <c r="C470" s="1271"/>
      <c r="D470" s="1277" t="str">
        <f>CONCATENATE("(for ",TestYear," Cost of Service")</f>
        <v>(for 2017 Cost of Service</v>
      </c>
      <c r="E470" s="1266"/>
      <c r="F470" s="1872"/>
      <c r="G470" s="1873"/>
      <c r="H470" s="1873"/>
      <c r="I470" s="1296"/>
      <c r="K470" s="1284"/>
      <c r="L470" s="1433" t="s">
        <v>1226</v>
      </c>
      <c r="M470" s="1433" t="s">
        <v>1210</v>
      </c>
      <c r="N470" s="1305"/>
      <c r="O470" s="1306" t="str">
        <f>M470</f>
        <v>Weather-normalized</v>
      </c>
      <c r="Q470" s="1403"/>
      <c r="R470" s="1433" t="str">
        <f>L470</f>
        <v>Actual (Weather actual)</v>
      </c>
      <c r="S470" s="1433" t="str">
        <f>M470</f>
        <v>Weather-normalized</v>
      </c>
      <c r="T470" s="1433"/>
      <c r="U470" s="1434" t="str">
        <f>O470</f>
        <v>Weather-normalized</v>
      </c>
    </row>
    <row r="471" spans="3:21" x14ac:dyDescent="0.2">
      <c r="C471" s="1266" t="s">
        <v>890</v>
      </c>
      <c r="D471" s="1363">
        <f t="shared" ref="D471:D476" si="312">D472-1</f>
        <v>2011</v>
      </c>
      <c r="E471" s="1265"/>
      <c r="F471" s="1313" t="str">
        <f t="shared" ref="F471:F477" si="313">F450</f>
        <v>Actual</v>
      </c>
      <c r="G471" s="1311"/>
      <c r="H471" s="2" t="str">
        <f t="shared" ref="H471:H477" si="314">IF(D471=RebaseYear,"Board-approved","")</f>
        <v/>
      </c>
      <c r="I471" s="1383"/>
      <c r="K471" s="1282" t="str">
        <f t="shared" ref="K471:K477" si="315">K450</f>
        <v>Actual</v>
      </c>
      <c r="L471" s="1294"/>
      <c r="M471" s="1294"/>
      <c r="N471" s="1258" t="str">
        <f t="shared" ref="N471:N477" si="316">N450</f>
        <v/>
      </c>
      <c r="O471" s="1324"/>
      <c r="Q471" s="1385" t="str">
        <f>K471</f>
        <v>Actual</v>
      </c>
      <c r="R471" s="1329" t="str">
        <f>IF(G471=0,"",L471/G471)</f>
        <v/>
      </c>
      <c r="S471" s="1309" t="str">
        <f>IF(G471=0,"",M471/G471)</f>
        <v/>
      </c>
      <c r="T471" s="1309" t="str">
        <f>N471</f>
        <v/>
      </c>
      <c r="U471" s="1265" t="str">
        <f>IF(T471="","",IF(I471=0,"",O471/I471))</f>
        <v/>
      </c>
    </row>
    <row r="472" spans="3:21" x14ac:dyDescent="0.2">
      <c r="C472" s="1266" t="s">
        <v>890</v>
      </c>
      <c r="D472" s="1363">
        <f t="shared" si="312"/>
        <v>2012</v>
      </c>
      <c r="E472" s="1265"/>
      <c r="F472" s="1314" t="str">
        <f t="shared" si="313"/>
        <v>Actual</v>
      </c>
      <c r="G472" s="1311"/>
      <c r="H472" s="2" t="str">
        <f t="shared" si="314"/>
        <v>Board-approved</v>
      </c>
      <c r="I472" s="1324"/>
      <c r="K472" s="1282" t="str">
        <f t="shared" si="315"/>
        <v>Actual</v>
      </c>
      <c r="L472" s="1294"/>
      <c r="M472" s="1294"/>
      <c r="N472" s="1258" t="str">
        <f t="shared" si="316"/>
        <v>Board-approved</v>
      </c>
      <c r="O472" s="1324"/>
      <c r="Q472" s="1385" t="str">
        <f t="shared" ref="Q472:Q477" si="317">K472</f>
        <v>Actual</v>
      </c>
      <c r="R472" s="1329" t="str">
        <f t="shared" ref="R472:R477" si="318">IF(G472=0,"",L472/G472)</f>
        <v/>
      </c>
      <c r="S472" s="1309" t="str">
        <f t="shared" ref="S472:S477" si="319">IF(G472=0,"",M472/G472)</f>
        <v/>
      </c>
      <c r="T472" s="1309" t="str">
        <f t="shared" ref="T472:T477" si="320">N472</f>
        <v>Board-approved</v>
      </c>
      <c r="U472" s="1265" t="str">
        <f t="shared" ref="U472:U477" si="321">IF(T472="","",IF(I472=0,"",O472/I472))</f>
        <v/>
      </c>
    </row>
    <row r="473" spans="3:21" x14ac:dyDescent="0.2">
      <c r="C473" s="1266" t="s">
        <v>890</v>
      </c>
      <c r="D473" s="1363">
        <f t="shared" si="312"/>
        <v>2013</v>
      </c>
      <c r="E473" s="1265"/>
      <c r="F473" s="1314" t="str">
        <f t="shared" si="313"/>
        <v>Actual</v>
      </c>
      <c r="G473" s="1311"/>
      <c r="H473" s="2" t="str">
        <f t="shared" si="314"/>
        <v/>
      </c>
      <c r="I473" s="1328"/>
      <c r="K473" s="1282" t="str">
        <f t="shared" si="315"/>
        <v>Actual</v>
      </c>
      <c r="L473" s="1294"/>
      <c r="M473" s="1294"/>
      <c r="N473" s="1258" t="str">
        <f t="shared" si="316"/>
        <v/>
      </c>
      <c r="O473" s="1325"/>
      <c r="Q473" s="1385" t="str">
        <f t="shared" si="317"/>
        <v>Actual</v>
      </c>
      <c r="R473" s="1329" t="str">
        <f t="shared" si="318"/>
        <v/>
      </c>
      <c r="S473" s="1309" t="str">
        <f t="shared" si="319"/>
        <v/>
      </c>
      <c r="T473" s="1309" t="str">
        <f t="shared" si="320"/>
        <v/>
      </c>
      <c r="U473" s="1265" t="str">
        <f t="shared" si="321"/>
        <v/>
      </c>
    </row>
    <row r="474" spans="3:21" x14ac:dyDescent="0.2">
      <c r="C474" s="1266" t="s">
        <v>890</v>
      </c>
      <c r="D474" s="1363">
        <f t="shared" si="312"/>
        <v>2014</v>
      </c>
      <c r="E474" s="1265"/>
      <c r="F474" s="1314" t="str">
        <f t="shared" si="313"/>
        <v>Actual</v>
      </c>
      <c r="G474" s="1311"/>
      <c r="H474" s="2" t="str">
        <f t="shared" si="314"/>
        <v/>
      </c>
      <c r="I474" s="1324"/>
      <c r="K474" s="1282" t="str">
        <f t="shared" si="315"/>
        <v>Actual</v>
      </c>
      <c r="L474" s="1294"/>
      <c r="M474" s="1294"/>
      <c r="N474" s="1258" t="str">
        <f t="shared" si="316"/>
        <v/>
      </c>
      <c r="O474" s="1324"/>
      <c r="Q474" s="1385" t="str">
        <f t="shared" si="317"/>
        <v>Actual</v>
      </c>
      <c r="R474" s="1329" t="str">
        <f t="shared" si="318"/>
        <v/>
      </c>
      <c r="S474" s="1309" t="str">
        <f t="shared" si="319"/>
        <v/>
      </c>
      <c r="T474" s="1309" t="str">
        <f t="shared" si="320"/>
        <v/>
      </c>
      <c r="U474" s="1265" t="str">
        <f t="shared" si="321"/>
        <v/>
      </c>
    </row>
    <row r="475" spans="3:21" x14ac:dyDescent="0.2">
      <c r="C475" s="1266" t="s">
        <v>890</v>
      </c>
      <c r="D475" s="1363">
        <f t="shared" si="312"/>
        <v>2015</v>
      </c>
      <c r="E475" s="1265"/>
      <c r="F475" s="1314" t="str">
        <f t="shared" si="313"/>
        <v>Actual</v>
      </c>
      <c r="G475" s="1311"/>
      <c r="H475" s="2" t="str">
        <f t="shared" si="314"/>
        <v/>
      </c>
      <c r="I475" s="1324"/>
      <c r="K475" s="1282" t="str">
        <f t="shared" si="315"/>
        <v>Actual</v>
      </c>
      <c r="L475" s="1294"/>
      <c r="M475" s="1294"/>
      <c r="N475" s="1258" t="str">
        <f t="shared" si="316"/>
        <v/>
      </c>
      <c r="O475" s="1324"/>
      <c r="Q475" s="1385" t="str">
        <f t="shared" si="317"/>
        <v>Actual</v>
      </c>
      <c r="R475" s="1329" t="str">
        <f t="shared" si="318"/>
        <v/>
      </c>
      <c r="S475" s="1309" t="str">
        <f t="shared" si="319"/>
        <v/>
      </c>
      <c r="T475" s="1309" t="str">
        <f t="shared" si="320"/>
        <v/>
      </c>
      <c r="U475" s="1265" t="str">
        <f t="shared" si="321"/>
        <v/>
      </c>
    </row>
    <row r="476" spans="3:21" x14ac:dyDescent="0.2">
      <c r="C476" s="1266" t="s">
        <v>1203</v>
      </c>
      <c r="D476" s="1363">
        <f t="shared" si="312"/>
        <v>2016</v>
      </c>
      <c r="E476" s="1265"/>
      <c r="F476" s="1314" t="str">
        <f t="shared" si="313"/>
        <v>Forecast</v>
      </c>
      <c r="G476" s="1311"/>
      <c r="H476" s="2" t="str">
        <f t="shared" si="314"/>
        <v/>
      </c>
      <c r="I476" s="1324"/>
      <c r="K476" s="1282" t="str">
        <f t="shared" si="315"/>
        <v>Forecast</v>
      </c>
      <c r="L476" s="1303"/>
      <c r="M476" s="1334"/>
      <c r="N476" s="1258" t="str">
        <f t="shared" si="316"/>
        <v/>
      </c>
      <c r="O476" s="1324"/>
      <c r="Q476" s="1385" t="str">
        <f t="shared" si="317"/>
        <v>Forecast</v>
      </c>
      <c r="R476" s="1329" t="str">
        <f t="shared" si="318"/>
        <v/>
      </c>
      <c r="S476" s="1309" t="str">
        <f t="shared" si="319"/>
        <v/>
      </c>
      <c r="T476" s="1309" t="str">
        <f t="shared" si="320"/>
        <v/>
      </c>
      <c r="U476" s="1265" t="str">
        <f t="shared" si="321"/>
        <v/>
      </c>
    </row>
    <row r="477" spans="3:21" ht="13.5" thickBot="1" x14ac:dyDescent="0.25">
      <c r="C477" s="1267" t="s">
        <v>1204</v>
      </c>
      <c r="D477" s="1364">
        <f>TestYear</f>
        <v>2017</v>
      </c>
      <c r="E477" s="1271"/>
      <c r="F477" s="1315" t="str">
        <f t="shared" si="313"/>
        <v>Forecast</v>
      </c>
      <c r="G477" s="1312"/>
      <c r="H477" s="1307" t="str">
        <f t="shared" si="314"/>
        <v/>
      </c>
      <c r="I477" s="1326"/>
      <c r="K477" s="1283" t="str">
        <f t="shared" si="315"/>
        <v>Forecast</v>
      </c>
      <c r="L477" s="1304"/>
      <c r="M477" s="1335"/>
      <c r="N477" s="1262" t="str">
        <f t="shared" si="316"/>
        <v/>
      </c>
      <c r="O477" s="1326"/>
      <c r="Q477" s="1319" t="str">
        <f t="shared" si="317"/>
        <v>Forecast</v>
      </c>
      <c r="R477" s="1310" t="str">
        <f t="shared" si="318"/>
        <v/>
      </c>
      <c r="S477" s="1310" t="str">
        <f t="shared" si="319"/>
        <v/>
      </c>
      <c r="T477" s="1310" t="str">
        <f t="shared" si="320"/>
        <v/>
      </c>
      <c r="U477" s="1271" t="str">
        <f t="shared" si="321"/>
        <v/>
      </c>
    </row>
    <row r="478" spans="3:21" ht="13.5" thickBot="1" x14ac:dyDescent="0.25">
      <c r="C478" s="1366"/>
      <c r="I478" s="1408">
        <f>SUM(I471:I476)</f>
        <v>0</v>
      </c>
      <c r="J478" s="1329"/>
      <c r="O478" s="1408">
        <f>SUM(O471:O476)</f>
        <v>0</v>
      </c>
      <c r="U478" s="1408">
        <f>SUM(U471:U476)</f>
        <v>0</v>
      </c>
    </row>
    <row r="479" spans="3:21" ht="39" thickBot="1" x14ac:dyDescent="0.25">
      <c r="C479" s="1400" t="s">
        <v>952</v>
      </c>
      <c r="D479" s="1399" t="s">
        <v>15</v>
      </c>
      <c r="E479" s="1435"/>
      <c r="F479" s="1435"/>
      <c r="G479" s="1435" t="s">
        <v>1222</v>
      </c>
      <c r="H479" s="1435"/>
      <c r="I479" s="1394" t="str">
        <f>I458</f>
        <v>Test Year Versus Board-approved</v>
      </c>
      <c r="J479" s="1407"/>
      <c r="K479" s="1395" t="s">
        <v>15</v>
      </c>
      <c r="L479" s="1874" t="s">
        <v>1222</v>
      </c>
      <c r="M479" s="1874"/>
      <c r="N479" s="1435"/>
      <c r="O479" s="1394" t="str">
        <f>I479</f>
        <v>Test Year Versus Board-approved</v>
      </c>
      <c r="P479" s="1380"/>
      <c r="Q479" s="1395" t="s">
        <v>15</v>
      </c>
      <c r="R479" s="1874" t="s">
        <v>1222</v>
      </c>
      <c r="S479" s="1874"/>
      <c r="T479" s="1435"/>
      <c r="U479" s="1394" t="str">
        <f>O479</f>
        <v>Test Year Versus Board-approved</v>
      </c>
    </row>
    <row r="480" spans="3:21" x14ac:dyDescent="0.2">
      <c r="C480" s="1265"/>
      <c r="D480" s="1402">
        <f t="shared" ref="D480:D486" si="322">D471</f>
        <v>2011</v>
      </c>
      <c r="E480" s="1345"/>
      <c r="F480" s="1329"/>
      <c r="G480" s="1372"/>
      <c r="H480" s="1329"/>
      <c r="I480" s="1378"/>
      <c r="J480" s="1265"/>
      <c r="K480" s="1363">
        <f>D480</f>
        <v>2011</v>
      </c>
      <c r="L480" s="1351"/>
      <c r="M480" s="1351"/>
      <c r="N480" s="1329"/>
      <c r="O480" s="1381"/>
      <c r="P480" s="1265"/>
      <c r="Q480" s="1363">
        <f>K480</f>
        <v>2011</v>
      </c>
      <c r="R480" s="1330"/>
      <c r="S480" s="1330"/>
      <c r="T480" s="1329"/>
      <c r="U480" s="1324"/>
    </row>
    <row r="481" spans="2:21" x14ac:dyDescent="0.2">
      <c r="C481" s="1265"/>
      <c r="D481" s="1365">
        <f t="shared" si="322"/>
        <v>2012</v>
      </c>
      <c r="E481" s="1329"/>
      <c r="F481" s="1329"/>
      <c r="G481" s="1373" t="str">
        <f t="shared" ref="G481:G486" si="323">IF(G471=0,"",G472/G471-1)</f>
        <v/>
      </c>
      <c r="H481" s="1329"/>
      <c r="I481" s="1378"/>
      <c r="J481" s="1265"/>
      <c r="K481" s="1363">
        <f t="shared" ref="K481:K487" si="324">D481</f>
        <v>2012</v>
      </c>
      <c r="L481" s="1353" t="str">
        <f t="shared" ref="L481:M484" si="325">IF(L471=0,"",L472/L471-1)</f>
        <v/>
      </c>
      <c r="M481" s="1353" t="str">
        <f t="shared" si="325"/>
        <v/>
      </c>
      <c r="N481" s="1329"/>
      <c r="O481" s="1381"/>
      <c r="P481" s="1265"/>
      <c r="Q481" s="1363">
        <f t="shared" ref="Q481:Q487" si="326">K481</f>
        <v>2012</v>
      </c>
      <c r="R481" s="1374" t="str">
        <f t="shared" ref="R481:S484" si="327">IF(R471="","",IF(R471=0,"",R472/R471-1))</f>
        <v/>
      </c>
      <c r="S481" s="1374" t="str">
        <f t="shared" si="327"/>
        <v/>
      </c>
      <c r="T481" s="1329"/>
      <c r="U481" s="1324"/>
    </row>
    <row r="482" spans="2:21" x14ac:dyDescent="0.2">
      <c r="C482" s="1265"/>
      <c r="D482" s="1401">
        <f t="shared" si="322"/>
        <v>2013</v>
      </c>
      <c r="E482" s="1329"/>
      <c r="F482" s="1329"/>
      <c r="G482" s="1373" t="str">
        <f t="shared" si="323"/>
        <v/>
      </c>
      <c r="H482" s="1329"/>
      <c r="I482" s="1378"/>
      <c r="J482" s="1265"/>
      <c r="K482" s="1363">
        <f t="shared" si="324"/>
        <v>2013</v>
      </c>
      <c r="L482" s="1353" t="str">
        <f t="shared" si="325"/>
        <v/>
      </c>
      <c r="M482" s="1353" t="str">
        <f t="shared" si="325"/>
        <v/>
      </c>
      <c r="N482" s="1329"/>
      <c r="O482" s="1381"/>
      <c r="P482" s="1265"/>
      <c r="Q482" s="1363">
        <f t="shared" si="326"/>
        <v>2013</v>
      </c>
      <c r="R482" s="1374" t="str">
        <f t="shared" si="327"/>
        <v/>
      </c>
      <c r="S482" s="1374" t="str">
        <f t="shared" si="327"/>
        <v/>
      </c>
      <c r="T482" s="1329"/>
      <c r="U482" s="1324"/>
    </row>
    <row r="483" spans="2:21" x14ac:dyDescent="0.2">
      <c r="C483" s="1265"/>
      <c r="D483" s="1365">
        <f t="shared" si="322"/>
        <v>2014</v>
      </c>
      <c r="E483" s="1329"/>
      <c r="F483" s="1329"/>
      <c r="G483" s="1373" t="str">
        <f t="shared" si="323"/>
        <v/>
      </c>
      <c r="H483" s="1329"/>
      <c r="I483" s="1378"/>
      <c r="J483" s="1265"/>
      <c r="K483" s="1363">
        <f t="shared" si="324"/>
        <v>2014</v>
      </c>
      <c r="L483" s="1353" t="str">
        <f t="shared" si="325"/>
        <v/>
      </c>
      <c r="M483" s="1353" t="str">
        <f t="shared" si="325"/>
        <v/>
      </c>
      <c r="N483" s="1329"/>
      <c r="O483" s="1381"/>
      <c r="P483" s="1265"/>
      <c r="Q483" s="1363">
        <f t="shared" si="326"/>
        <v>2014</v>
      </c>
      <c r="R483" s="1374" t="str">
        <f t="shared" si="327"/>
        <v/>
      </c>
      <c r="S483" s="1374" t="str">
        <f t="shared" si="327"/>
        <v/>
      </c>
      <c r="T483" s="1329"/>
      <c r="U483" s="1324"/>
    </row>
    <row r="484" spans="2:21" x14ac:dyDescent="0.2">
      <c r="C484" s="1265"/>
      <c r="D484" s="1365">
        <f t="shared" si="322"/>
        <v>2015</v>
      </c>
      <c r="E484" s="1329"/>
      <c r="F484" s="1329"/>
      <c r="G484" s="1373" t="str">
        <f t="shared" si="323"/>
        <v/>
      </c>
      <c r="H484" s="1329"/>
      <c r="I484" s="1378"/>
      <c r="J484" s="1265"/>
      <c r="K484" s="1363">
        <f t="shared" si="324"/>
        <v>2015</v>
      </c>
      <c r="L484" s="1353" t="str">
        <f t="shared" si="325"/>
        <v/>
      </c>
      <c r="M484" s="1353" t="str">
        <f t="shared" si="325"/>
        <v/>
      </c>
      <c r="N484" s="1329"/>
      <c r="O484" s="1381"/>
      <c r="P484" s="1265"/>
      <c r="Q484" s="1363">
        <f t="shared" si="326"/>
        <v>2015</v>
      </c>
      <c r="R484" s="1374" t="str">
        <f t="shared" si="327"/>
        <v/>
      </c>
      <c r="S484" s="1374" t="str">
        <f t="shared" si="327"/>
        <v/>
      </c>
      <c r="T484" s="1329"/>
      <c r="U484" s="1324"/>
    </row>
    <row r="485" spans="2:21" x14ac:dyDescent="0.2">
      <c r="C485" s="1265"/>
      <c r="D485" s="1365">
        <f t="shared" si="322"/>
        <v>2016</v>
      </c>
      <c r="E485" s="1329"/>
      <c r="F485" s="1329"/>
      <c r="G485" s="1373" t="str">
        <f t="shared" si="323"/>
        <v/>
      </c>
      <c r="H485" s="1329"/>
      <c r="I485" s="1378"/>
      <c r="J485" s="1265"/>
      <c r="K485" s="1363">
        <f t="shared" si="324"/>
        <v>2016</v>
      </c>
      <c r="L485" s="1353" t="str">
        <f>IF(K476="Forecast","",IF(L475=0,"",L476/L475-1))</f>
        <v/>
      </c>
      <c r="M485" s="1353" t="str">
        <f>IF(M475=0,"",M476/M475-1)</f>
        <v/>
      </c>
      <c r="N485" s="1329"/>
      <c r="O485" s="1381"/>
      <c r="P485" s="1265"/>
      <c r="Q485" s="1363">
        <f t="shared" si="326"/>
        <v>2016</v>
      </c>
      <c r="R485" s="1374" t="str">
        <f>IF(Q476="Forecast","",IF(R475=0,"",R476/R475-1))</f>
        <v/>
      </c>
      <c r="S485" s="1374" t="str">
        <f>IF(S475="","",IF(S475=0,"",S476/S475-1))</f>
        <v/>
      </c>
      <c r="T485" s="1329"/>
      <c r="U485" s="1324"/>
    </row>
    <row r="486" spans="2:21" x14ac:dyDescent="0.2">
      <c r="C486" s="1265"/>
      <c r="D486" s="1401">
        <f t="shared" si="322"/>
        <v>2017</v>
      </c>
      <c r="E486" s="1329"/>
      <c r="F486" s="1329"/>
      <c r="G486" s="1373" t="str">
        <f t="shared" si="323"/>
        <v/>
      </c>
      <c r="H486" s="1329"/>
      <c r="I486" s="1379" t="str">
        <f>IF(I478=0,"",G477/I478-1)</f>
        <v/>
      </c>
      <c r="J486" s="1265"/>
      <c r="K486" s="1363">
        <f t="shared" si="324"/>
        <v>2017</v>
      </c>
      <c r="L486" s="1353" t="str">
        <f>IF(K477="Forecast","",IF(L476=0,"",L477/L476-1))</f>
        <v/>
      </c>
      <c r="M486" s="1353" t="str">
        <f>IF(M476=0,"",M477/M476-1)</f>
        <v/>
      </c>
      <c r="N486" s="1329"/>
      <c r="O486" s="1382" t="str">
        <f>IF(O478=0,"",M477/O478-1)</f>
        <v/>
      </c>
      <c r="P486" s="1265"/>
      <c r="Q486" s="1363">
        <f t="shared" si="326"/>
        <v>2017</v>
      </c>
      <c r="R486" s="1374" t="str">
        <f>IF(Q477="Forecast","",IF(R476=0,"",R477/R476-1))</f>
        <v/>
      </c>
      <c r="S486" s="1374" t="str">
        <f>IF(S476="","",IF(S476=0,"",S477/S476-1))</f>
        <v/>
      </c>
      <c r="T486" s="1329"/>
      <c r="U486" s="1354" t="str">
        <f>IF(U478=0,"",S477/U478-1)</f>
        <v/>
      </c>
    </row>
    <row r="487" spans="2:21" ht="26.25" thickBot="1" x14ac:dyDescent="0.25">
      <c r="C487" s="1271"/>
      <c r="D487" s="1405" t="s">
        <v>1221</v>
      </c>
      <c r="E487" s="1355"/>
      <c r="F487" s="1355"/>
      <c r="G487" s="1375" t="str">
        <f>IF(G471=0,"",(G477/G471)^(1/($D477-$D471-1))-1)</f>
        <v/>
      </c>
      <c r="H487" s="1355"/>
      <c r="I487" s="1371" t="str">
        <f>IF(I478=0,"",(G477/I478)^(1/(TestYear-RebaseYear-1))-1)</f>
        <v/>
      </c>
      <c r="J487" s="1265"/>
      <c r="K487" s="1404" t="str">
        <f t="shared" si="324"/>
        <v>Geometric Mean</v>
      </c>
      <c r="L487" s="1358" t="str">
        <f>IF(L471=0,"",(L475/L471)^(1/($D475-$D471-1))-1)</f>
        <v/>
      </c>
      <c r="M487" s="1358" t="str">
        <f>IF(M471=0,"",(M477/M471)^(1/($D477-$D471-1))-1)</f>
        <v/>
      </c>
      <c r="N487" s="1355"/>
      <c r="O487" s="1371" t="str">
        <f>IF(O478=0,"",(M477/O478)^(1/(TestYear-RebaseYear-1))-1)</f>
        <v/>
      </c>
      <c r="P487" s="1271"/>
      <c r="Q487" s="1404" t="str">
        <f t="shared" si="326"/>
        <v>Geometric Mean</v>
      </c>
      <c r="R487" s="1376" t="str">
        <f>IF(R471="","",IF(R471=0,"",(R475/R471)^(1/($D475-$D471-1))-1))</f>
        <v/>
      </c>
      <c r="S487" s="1358" t="str">
        <f>IF(S471="","",IF(S471=0,"",(S477/S471)^(1/($D477-$D471-1))-1))</f>
        <v/>
      </c>
      <c r="T487" s="1355"/>
      <c r="U487" s="1371" t="str">
        <f>IF(U478=0,"",(S477/U478)^(1/(TestYear-RebaseYear-1))-1)</f>
        <v/>
      </c>
    </row>
    <row r="489" spans="2:21" x14ac:dyDescent="0.2">
      <c r="B489" s="13" t="s">
        <v>1293</v>
      </c>
    </row>
  </sheetData>
  <mergeCells count="141">
    <mergeCell ref="F212:H212"/>
    <mergeCell ref="L221:M221"/>
    <mergeCell ref="R221:S221"/>
    <mergeCell ref="F191:H191"/>
    <mergeCell ref="L200:M200"/>
    <mergeCell ref="R200:S200"/>
    <mergeCell ref="F211:I211"/>
    <mergeCell ref="K211:O211"/>
    <mergeCell ref="Q211:U211"/>
    <mergeCell ref="F168:I168"/>
    <mergeCell ref="K168:O168"/>
    <mergeCell ref="Q168:U168"/>
    <mergeCell ref="F169:H169"/>
    <mergeCell ref="L178:M178"/>
    <mergeCell ref="R178:S178"/>
    <mergeCell ref="D188:F188"/>
    <mergeCell ref="F190:I190"/>
    <mergeCell ref="K190:O190"/>
    <mergeCell ref="Q190:U190"/>
    <mergeCell ref="L135:M135"/>
    <mergeCell ref="R135:S135"/>
    <mergeCell ref="D145:F145"/>
    <mergeCell ref="F147:I147"/>
    <mergeCell ref="K147:O147"/>
    <mergeCell ref="Q147:U147"/>
    <mergeCell ref="F148:H148"/>
    <mergeCell ref="L157:M157"/>
    <mergeCell ref="R157:S157"/>
    <mergeCell ref="L92:M92"/>
    <mergeCell ref="F82:I82"/>
    <mergeCell ref="F83:H83"/>
    <mergeCell ref="R71:S71"/>
    <mergeCell ref="Q82:U82"/>
    <mergeCell ref="R92:S92"/>
    <mergeCell ref="F126:H126"/>
    <mergeCell ref="L47:M47"/>
    <mergeCell ref="D102:F102"/>
    <mergeCell ref="F104:I104"/>
    <mergeCell ref="K104:O104"/>
    <mergeCell ref="L114:M114"/>
    <mergeCell ref="R114:S114"/>
    <mergeCell ref="F125:I125"/>
    <mergeCell ref="K125:O125"/>
    <mergeCell ref="Q125:U125"/>
    <mergeCell ref="D231:F231"/>
    <mergeCell ref="F233:I233"/>
    <mergeCell ref="K233:O233"/>
    <mergeCell ref="Q233:U233"/>
    <mergeCell ref="F234:H234"/>
    <mergeCell ref="B25:V25"/>
    <mergeCell ref="B9:V9"/>
    <mergeCell ref="B10:V10"/>
    <mergeCell ref="B19:V19"/>
    <mergeCell ref="B21:V21"/>
    <mergeCell ref="B23:V23"/>
    <mergeCell ref="B27:V27"/>
    <mergeCell ref="K61:O61"/>
    <mergeCell ref="Q61:U61"/>
    <mergeCell ref="K37:O37"/>
    <mergeCell ref="F38:H38"/>
    <mergeCell ref="B29:V29"/>
    <mergeCell ref="D59:F59"/>
    <mergeCell ref="F62:H62"/>
    <mergeCell ref="F61:I61"/>
    <mergeCell ref="Q104:U104"/>
    <mergeCell ref="F105:H105"/>
    <mergeCell ref="L71:M71"/>
    <mergeCell ref="K82:O82"/>
    <mergeCell ref="F255:H255"/>
    <mergeCell ref="L264:M264"/>
    <mergeCell ref="R264:S264"/>
    <mergeCell ref="D274:F274"/>
    <mergeCell ref="F276:I276"/>
    <mergeCell ref="K276:O276"/>
    <mergeCell ref="Q276:U276"/>
    <mergeCell ref="L243:M243"/>
    <mergeCell ref="R243:S243"/>
    <mergeCell ref="F254:I254"/>
    <mergeCell ref="K254:O254"/>
    <mergeCell ref="Q254:U254"/>
    <mergeCell ref="F298:H298"/>
    <mergeCell ref="L307:M307"/>
    <mergeCell ref="R307:S307"/>
    <mergeCell ref="D317:F317"/>
    <mergeCell ref="F319:I319"/>
    <mergeCell ref="K319:O319"/>
    <mergeCell ref="Q319:U319"/>
    <mergeCell ref="F277:H277"/>
    <mergeCell ref="L286:M286"/>
    <mergeCell ref="R286:S286"/>
    <mergeCell ref="F297:I297"/>
    <mergeCell ref="K297:O297"/>
    <mergeCell ref="Q297:U297"/>
    <mergeCell ref="F341:H341"/>
    <mergeCell ref="L350:M350"/>
    <mergeCell ref="R350:S350"/>
    <mergeCell ref="D360:F360"/>
    <mergeCell ref="F362:I362"/>
    <mergeCell ref="K362:O362"/>
    <mergeCell ref="Q362:U362"/>
    <mergeCell ref="F320:H320"/>
    <mergeCell ref="L329:M329"/>
    <mergeCell ref="R329:S329"/>
    <mergeCell ref="F340:I340"/>
    <mergeCell ref="K340:O340"/>
    <mergeCell ref="Q340:U340"/>
    <mergeCell ref="F384:H384"/>
    <mergeCell ref="L393:M393"/>
    <mergeCell ref="R393:S393"/>
    <mergeCell ref="D403:F403"/>
    <mergeCell ref="F405:I405"/>
    <mergeCell ref="K405:O405"/>
    <mergeCell ref="Q405:U405"/>
    <mergeCell ref="F363:H363"/>
    <mergeCell ref="L372:M372"/>
    <mergeCell ref="R372:S372"/>
    <mergeCell ref="F383:I383"/>
    <mergeCell ref="K383:O383"/>
    <mergeCell ref="Q383:U383"/>
    <mergeCell ref="F427:H427"/>
    <mergeCell ref="L436:M436"/>
    <mergeCell ref="R436:S436"/>
    <mergeCell ref="D446:F446"/>
    <mergeCell ref="F448:I448"/>
    <mergeCell ref="K448:O448"/>
    <mergeCell ref="Q448:U448"/>
    <mergeCell ref="F406:H406"/>
    <mergeCell ref="L415:M415"/>
    <mergeCell ref="R415:S415"/>
    <mergeCell ref="F426:I426"/>
    <mergeCell ref="K426:O426"/>
    <mergeCell ref="Q426:U426"/>
    <mergeCell ref="F470:H470"/>
    <mergeCell ref="L479:M479"/>
    <mergeCell ref="R479:S479"/>
    <mergeCell ref="F449:H449"/>
    <mergeCell ref="L458:M458"/>
    <mergeCell ref="R458:S458"/>
    <mergeCell ref="F469:I469"/>
    <mergeCell ref="K469:O469"/>
    <mergeCell ref="Q469:U469"/>
  </mergeCells>
  <conditionalFormatting sqref="I63">
    <cfRule type="expression" dxfId="393" priority="670">
      <formula>$H$63="Board-approved"</formula>
    </cfRule>
  </conditionalFormatting>
  <conditionalFormatting sqref="I64">
    <cfRule type="expression" dxfId="392" priority="669">
      <formula>$H$64="Board-approved"</formula>
    </cfRule>
  </conditionalFormatting>
  <conditionalFormatting sqref="I65">
    <cfRule type="expression" dxfId="391" priority="668">
      <formula>$H$65="Board-approved"</formula>
    </cfRule>
  </conditionalFormatting>
  <conditionalFormatting sqref="I66">
    <cfRule type="expression" dxfId="390" priority="667">
      <formula>$H$66="Board-approved"</formula>
    </cfRule>
  </conditionalFormatting>
  <conditionalFormatting sqref="I67">
    <cfRule type="expression" dxfId="389" priority="666">
      <formula>$H$67="Board-approved"</formula>
    </cfRule>
  </conditionalFormatting>
  <conditionalFormatting sqref="L84">
    <cfRule type="expression" dxfId="388" priority="653">
      <formula>$K$63="Forecastl"</formula>
    </cfRule>
  </conditionalFormatting>
  <conditionalFormatting sqref="L85">
    <cfRule type="expression" dxfId="387" priority="652">
      <formula>$K$64="Forecast"</formula>
    </cfRule>
  </conditionalFormatting>
  <conditionalFormatting sqref="L86">
    <cfRule type="expression" dxfId="386" priority="651">
      <formula>$K$65="Forecast"</formula>
    </cfRule>
  </conditionalFormatting>
  <conditionalFormatting sqref="L87">
    <cfRule type="expression" dxfId="385" priority="650">
      <formula>$K$66="Forecast"</formula>
    </cfRule>
  </conditionalFormatting>
  <conditionalFormatting sqref="L88">
    <cfRule type="expression" dxfId="384" priority="649">
      <formula>$K$67="Forecast"</formula>
    </cfRule>
  </conditionalFormatting>
  <conditionalFormatting sqref="L89">
    <cfRule type="expression" dxfId="383" priority="648">
      <formula>$K$68="Forecast"</formula>
    </cfRule>
  </conditionalFormatting>
  <conditionalFormatting sqref="L90">
    <cfRule type="expression" dxfId="382" priority="647">
      <formula>$K$69="Forecast"</formula>
    </cfRule>
  </conditionalFormatting>
  <conditionalFormatting sqref="O84">
    <cfRule type="expression" dxfId="381" priority="646">
      <formula>$H$63="Board-approved"</formula>
    </cfRule>
  </conditionalFormatting>
  <conditionalFormatting sqref="O85">
    <cfRule type="expression" dxfId="380" priority="645">
      <formula>$H$64="Board-approved"</formula>
    </cfRule>
  </conditionalFormatting>
  <conditionalFormatting sqref="O86">
    <cfRule type="expression" dxfId="379" priority="644">
      <formula>$H$65="Board-approved"</formula>
    </cfRule>
  </conditionalFormatting>
  <conditionalFormatting sqref="O87">
    <cfRule type="expression" dxfId="378" priority="643">
      <formula>$H$66="Board-approved"</formula>
    </cfRule>
  </conditionalFormatting>
  <conditionalFormatting sqref="O88">
    <cfRule type="expression" dxfId="377" priority="642">
      <formula>$H$67="Board-approved"</formula>
    </cfRule>
  </conditionalFormatting>
  <conditionalFormatting sqref="I84">
    <cfRule type="expression" dxfId="376" priority="641">
      <formula>$H$63="Board-approved"</formula>
    </cfRule>
  </conditionalFormatting>
  <conditionalFormatting sqref="I86">
    <cfRule type="expression" dxfId="375" priority="639">
      <formula>$H$65="Board-approved"</formula>
    </cfRule>
  </conditionalFormatting>
  <conditionalFormatting sqref="I87">
    <cfRule type="expression" dxfId="374" priority="638">
      <formula>$H$66="Board-approved"</formula>
    </cfRule>
  </conditionalFormatting>
  <conditionalFormatting sqref="I88">
    <cfRule type="expression" dxfId="373" priority="637">
      <formula>$H$67="Board-approved"</formula>
    </cfRule>
  </conditionalFormatting>
  <conditionalFormatting sqref="K82:U100">
    <cfRule type="expression" dxfId="372" priority="636">
      <formula>$N$59="kWh"</formula>
    </cfRule>
  </conditionalFormatting>
  <conditionalFormatting sqref="L39:L43">
    <cfRule type="expression" dxfId="371" priority="630">
      <formula>$K$63="Forecastl"</formula>
    </cfRule>
  </conditionalFormatting>
  <conditionalFormatting sqref="L44">
    <cfRule type="expression" dxfId="370" priority="625">
      <formula>$K$68="Forecast"</formula>
    </cfRule>
  </conditionalFormatting>
  <conditionalFormatting sqref="L45">
    <cfRule type="expression" dxfId="369" priority="624">
      <formula>$K$69="Forecast"</formula>
    </cfRule>
  </conditionalFormatting>
  <conditionalFormatting sqref="O39">
    <cfRule type="expression" dxfId="368" priority="618">
      <formula>$H$63="Board-approved"</formula>
    </cfRule>
  </conditionalFormatting>
  <conditionalFormatting sqref="O41">
    <cfRule type="expression" dxfId="367" priority="616">
      <formula>$H$65="Board-approved"</formula>
    </cfRule>
  </conditionalFormatting>
  <conditionalFormatting sqref="O42">
    <cfRule type="expression" dxfId="366" priority="615">
      <formula>$H$66="Board-approved"</formula>
    </cfRule>
  </conditionalFormatting>
  <conditionalFormatting sqref="O43">
    <cfRule type="expression" dxfId="365" priority="614">
      <formula>$H$67="Board-approved"</formula>
    </cfRule>
  </conditionalFormatting>
  <conditionalFormatting sqref="L127">
    <cfRule type="expression" dxfId="364" priority="491">
      <formula>$K$63="Forecastl"</formula>
    </cfRule>
  </conditionalFormatting>
  <conditionalFormatting sqref="L128">
    <cfRule type="expression" dxfId="363" priority="490">
      <formula>$K$64="Forecast"</formula>
    </cfRule>
  </conditionalFormatting>
  <conditionalFormatting sqref="L129">
    <cfRule type="expression" dxfId="362" priority="489">
      <formula>$K$65="Forecast"</formula>
    </cfRule>
  </conditionalFormatting>
  <conditionalFormatting sqref="L130">
    <cfRule type="expression" dxfId="361" priority="488">
      <formula>$K$66="Forecast"</formula>
    </cfRule>
  </conditionalFormatting>
  <conditionalFormatting sqref="L131">
    <cfRule type="expression" dxfId="360" priority="487">
      <formula>$K$67="Forecast"</formula>
    </cfRule>
  </conditionalFormatting>
  <conditionalFormatting sqref="L132">
    <cfRule type="expression" dxfId="359" priority="486">
      <formula>$K$68="Forecast"</formula>
    </cfRule>
  </conditionalFormatting>
  <conditionalFormatting sqref="L133">
    <cfRule type="expression" dxfId="358" priority="485">
      <formula>$K$69="Forecast"</formula>
    </cfRule>
  </conditionalFormatting>
  <conditionalFormatting sqref="O127">
    <cfRule type="expression" dxfId="357" priority="484">
      <formula>$H$63="Board-approved"</formula>
    </cfRule>
  </conditionalFormatting>
  <conditionalFormatting sqref="O128">
    <cfRule type="expression" dxfId="356" priority="483">
      <formula>$H$64="Board-approved"</formula>
    </cfRule>
  </conditionalFormatting>
  <conditionalFormatting sqref="O129">
    <cfRule type="expression" dxfId="355" priority="482">
      <formula>$H$65="Board-approved"</formula>
    </cfRule>
  </conditionalFormatting>
  <conditionalFormatting sqref="O130">
    <cfRule type="expression" dxfId="354" priority="481">
      <formula>$H$66="Board-approved"</formula>
    </cfRule>
  </conditionalFormatting>
  <conditionalFormatting sqref="O131">
    <cfRule type="expression" dxfId="353" priority="480">
      <formula>$H$67="Board-approved"</formula>
    </cfRule>
  </conditionalFormatting>
  <conditionalFormatting sqref="K125:U143">
    <cfRule type="expression" dxfId="352" priority="474">
      <formula>$N$102="kWh"</formula>
    </cfRule>
  </conditionalFormatting>
  <conditionalFormatting sqref="L170">
    <cfRule type="expression" dxfId="351" priority="386">
      <formula>$K$63="Forecastl"</formula>
    </cfRule>
  </conditionalFormatting>
  <conditionalFormatting sqref="L171">
    <cfRule type="expression" dxfId="350" priority="385">
      <formula>$K$64="Forecast"</formula>
    </cfRule>
  </conditionalFormatting>
  <conditionalFormatting sqref="L172">
    <cfRule type="expression" dxfId="349" priority="384">
      <formula>$K$65="Forecast"</formula>
    </cfRule>
  </conditionalFormatting>
  <conditionalFormatting sqref="L173">
    <cfRule type="expression" dxfId="348" priority="383">
      <formula>$K$66="Forecast"</formula>
    </cfRule>
  </conditionalFormatting>
  <conditionalFormatting sqref="L174">
    <cfRule type="expression" dxfId="347" priority="382">
      <formula>$K$67="Forecast"</formula>
    </cfRule>
  </conditionalFormatting>
  <conditionalFormatting sqref="L175">
    <cfRule type="expression" dxfId="346" priority="381">
      <formula>$K$68="Forecast"</formula>
    </cfRule>
  </conditionalFormatting>
  <conditionalFormatting sqref="L176">
    <cfRule type="expression" dxfId="345" priority="380">
      <formula>$K$69="Forecast"</formula>
    </cfRule>
  </conditionalFormatting>
  <conditionalFormatting sqref="O170">
    <cfRule type="expression" dxfId="344" priority="379">
      <formula>$H$63="Board-approved"</formula>
    </cfRule>
  </conditionalFormatting>
  <conditionalFormatting sqref="O171">
    <cfRule type="expression" dxfId="343" priority="378">
      <formula>$H$64="Board-approved"</formula>
    </cfRule>
  </conditionalFormatting>
  <conditionalFormatting sqref="O172">
    <cfRule type="expression" dxfId="342" priority="377">
      <formula>$H$65="Board-approved"</formula>
    </cfRule>
  </conditionalFormatting>
  <conditionalFormatting sqref="O173">
    <cfRule type="expression" dxfId="341" priority="376">
      <formula>$H$66="Board-approved"</formula>
    </cfRule>
  </conditionalFormatting>
  <conditionalFormatting sqref="O174">
    <cfRule type="expression" dxfId="340" priority="375">
      <formula>$H$67="Board-approved"</formula>
    </cfRule>
  </conditionalFormatting>
  <conditionalFormatting sqref="K168:U186">
    <cfRule type="expression" dxfId="339" priority="369">
      <formula>$N$145="kWh"</formula>
    </cfRule>
  </conditionalFormatting>
  <conditionalFormatting sqref="L213:L217">
    <cfRule type="expression" dxfId="338" priority="351">
      <formula>$K$63="Forecastl"</formula>
    </cfRule>
  </conditionalFormatting>
  <conditionalFormatting sqref="L214">
    <cfRule type="expression" dxfId="337" priority="350">
      <formula>$K$64="Forecast"</formula>
    </cfRule>
  </conditionalFormatting>
  <conditionalFormatting sqref="L215">
    <cfRule type="expression" dxfId="336" priority="349">
      <formula>$K$65="Forecast"</formula>
    </cfRule>
  </conditionalFormatting>
  <conditionalFormatting sqref="L216">
    <cfRule type="expression" dxfId="335" priority="348">
      <formula>$K$66="Forecast"</formula>
    </cfRule>
  </conditionalFormatting>
  <conditionalFormatting sqref="L217">
    <cfRule type="expression" dxfId="334" priority="347">
      <formula>$K$67="Forecast"</formula>
    </cfRule>
  </conditionalFormatting>
  <conditionalFormatting sqref="L218">
    <cfRule type="expression" dxfId="333" priority="346">
      <formula>$K$68="Forecast"</formula>
    </cfRule>
  </conditionalFormatting>
  <conditionalFormatting sqref="L219">
    <cfRule type="expression" dxfId="332" priority="345">
      <formula>$K$69="Forecast"</formula>
    </cfRule>
  </conditionalFormatting>
  <conditionalFormatting sqref="O213">
    <cfRule type="expression" dxfId="331" priority="344">
      <formula>$H$63="Board-approved"</formula>
    </cfRule>
  </conditionalFormatting>
  <conditionalFormatting sqref="O214">
    <cfRule type="expression" dxfId="330" priority="343">
      <formula>$H$64="Board-approved"</formula>
    </cfRule>
  </conditionalFormatting>
  <conditionalFormatting sqref="O215">
    <cfRule type="expression" dxfId="329" priority="342">
      <formula>$H$65="Board-approved"</formula>
    </cfRule>
  </conditionalFormatting>
  <conditionalFormatting sqref="O216">
    <cfRule type="expression" dxfId="328" priority="341">
      <formula>$H$66="Board-approved"</formula>
    </cfRule>
  </conditionalFormatting>
  <conditionalFormatting sqref="O217">
    <cfRule type="expression" dxfId="327" priority="340">
      <formula>$H$67="Board-approved"</formula>
    </cfRule>
  </conditionalFormatting>
  <conditionalFormatting sqref="K220:U229 K211:P219">
    <cfRule type="expression" dxfId="326" priority="334">
      <formula>$N$188="kWh"</formula>
    </cfRule>
  </conditionalFormatting>
  <conditionalFormatting sqref="L256">
    <cfRule type="expression" dxfId="325" priority="316">
      <formula>$K$63="Forecastl"</formula>
    </cfRule>
  </conditionalFormatting>
  <conditionalFormatting sqref="L257">
    <cfRule type="expression" dxfId="324" priority="315">
      <formula>$K$64="Forecast"</formula>
    </cfRule>
  </conditionalFormatting>
  <conditionalFormatting sqref="L258">
    <cfRule type="expression" dxfId="323" priority="314">
      <formula>$K$65="Forecast"</formula>
    </cfRule>
  </conditionalFormatting>
  <conditionalFormatting sqref="L259">
    <cfRule type="expression" dxfId="322" priority="313">
      <formula>$K$66="Forecast"</formula>
    </cfRule>
  </conditionalFormatting>
  <conditionalFormatting sqref="L260">
    <cfRule type="expression" dxfId="321" priority="312">
      <formula>$K$67="Forecast"</formula>
    </cfRule>
  </conditionalFormatting>
  <conditionalFormatting sqref="L261">
    <cfRule type="expression" dxfId="320" priority="311">
      <formula>$K$68="Forecast"</formula>
    </cfRule>
  </conditionalFormatting>
  <conditionalFormatting sqref="L262">
    <cfRule type="expression" dxfId="319" priority="310">
      <formula>$K$69="Forecast"</formula>
    </cfRule>
  </conditionalFormatting>
  <conditionalFormatting sqref="O256">
    <cfRule type="expression" dxfId="318" priority="309">
      <formula>$H$63="Board-approved"</formula>
    </cfRule>
  </conditionalFormatting>
  <conditionalFormatting sqref="O257">
    <cfRule type="expression" dxfId="317" priority="308">
      <formula>$H$64="Board-approved"</formula>
    </cfRule>
  </conditionalFormatting>
  <conditionalFormatting sqref="O258">
    <cfRule type="expression" dxfId="316" priority="307">
      <formula>$H$65="Board-approved"</formula>
    </cfRule>
  </conditionalFormatting>
  <conditionalFormatting sqref="O259">
    <cfRule type="expression" dxfId="315" priority="306">
      <formula>$H$66="Board-approved"</formula>
    </cfRule>
  </conditionalFormatting>
  <conditionalFormatting sqref="O260">
    <cfRule type="expression" dxfId="314" priority="305">
      <formula>$H$67="Board-approved"</formula>
    </cfRule>
  </conditionalFormatting>
  <conditionalFormatting sqref="K254:U272">
    <cfRule type="expression" dxfId="313" priority="299">
      <formula>$N$231="kWh"</formula>
    </cfRule>
  </conditionalFormatting>
  <conditionalFormatting sqref="L299:L303">
    <cfRule type="expression" dxfId="312" priority="281">
      <formula>$K$63="Forecastl"</formula>
    </cfRule>
  </conditionalFormatting>
  <conditionalFormatting sqref="L300">
    <cfRule type="expression" dxfId="311" priority="280">
      <formula>$K$64="Forecast"</formula>
    </cfRule>
  </conditionalFormatting>
  <conditionalFormatting sqref="L301">
    <cfRule type="expression" dxfId="310" priority="279">
      <formula>$K$65="Forecast"</formula>
    </cfRule>
  </conditionalFormatting>
  <conditionalFormatting sqref="L302">
    <cfRule type="expression" dxfId="309" priority="278">
      <formula>$K$66="Forecast"</formula>
    </cfRule>
  </conditionalFormatting>
  <conditionalFormatting sqref="L303">
    <cfRule type="expression" dxfId="308" priority="277">
      <formula>$K$67="Forecast"</formula>
    </cfRule>
  </conditionalFormatting>
  <conditionalFormatting sqref="L304">
    <cfRule type="expression" dxfId="307" priority="276">
      <formula>$K$68="Forecast"</formula>
    </cfRule>
  </conditionalFormatting>
  <conditionalFormatting sqref="L305">
    <cfRule type="expression" dxfId="306" priority="275">
      <formula>$K$69="Forecast"</formula>
    </cfRule>
  </conditionalFormatting>
  <conditionalFormatting sqref="O299">
    <cfRule type="expression" dxfId="305" priority="274">
      <formula>$H$63="Board-approved"</formula>
    </cfRule>
  </conditionalFormatting>
  <conditionalFormatting sqref="O300">
    <cfRule type="expression" dxfId="304" priority="273">
      <formula>$H$64="Board-approved"</formula>
    </cfRule>
  </conditionalFormatting>
  <conditionalFormatting sqref="O301">
    <cfRule type="expression" dxfId="303" priority="272">
      <formula>$H$65="Board-approved"</formula>
    </cfRule>
  </conditionalFormatting>
  <conditionalFormatting sqref="O302">
    <cfRule type="expression" dxfId="302" priority="271">
      <formula>$H$66="Board-approved"</formula>
    </cfRule>
  </conditionalFormatting>
  <conditionalFormatting sqref="O303">
    <cfRule type="expression" dxfId="301" priority="270">
      <formula>$H$67="Board-approved"</formula>
    </cfRule>
  </conditionalFormatting>
  <conditionalFormatting sqref="K306:U315 K297:P305">
    <cfRule type="expression" dxfId="300" priority="264">
      <formula>$N$274="kWh"</formula>
    </cfRule>
  </conditionalFormatting>
  <conditionalFormatting sqref="L342:L346">
    <cfRule type="expression" dxfId="299" priority="246">
      <formula>$K$63="Forecastl"</formula>
    </cfRule>
  </conditionalFormatting>
  <conditionalFormatting sqref="L343">
    <cfRule type="expression" dxfId="298" priority="245">
      <formula>$K$64="Forecast"</formula>
    </cfRule>
  </conditionalFormatting>
  <conditionalFormatting sqref="L344">
    <cfRule type="expression" dxfId="297" priority="244">
      <formula>$K$65="Forecast"</formula>
    </cfRule>
  </conditionalFormatting>
  <conditionalFormatting sqref="L345">
    <cfRule type="expression" dxfId="296" priority="243">
      <formula>$K$66="Forecast"</formula>
    </cfRule>
  </conditionalFormatting>
  <conditionalFormatting sqref="L346">
    <cfRule type="expression" dxfId="295" priority="242">
      <formula>$K$67="Forecast"</formula>
    </cfRule>
  </conditionalFormatting>
  <conditionalFormatting sqref="L347">
    <cfRule type="expression" dxfId="294" priority="241">
      <formula>$K$68="Forecast"</formula>
    </cfRule>
  </conditionalFormatting>
  <conditionalFormatting sqref="L348">
    <cfRule type="expression" dxfId="293" priority="240">
      <formula>$K$69="Forecast"</formula>
    </cfRule>
  </conditionalFormatting>
  <conditionalFormatting sqref="O342">
    <cfRule type="expression" dxfId="292" priority="239">
      <formula>$H$63="Board-approved"</formula>
    </cfRule>
  </conditionalFormatting>
  <conditionalFormatting sqref="O343">
    <cfRule type="expression" dxfId="291" priority="238">
      <formula>$H$64="Board-approved"</formula>
    </cfRule>
  </conditionalFormatting>
  <conditionalFormatting sqref="O344">
    <cfRule type="expression" dxfId="290" priority="237">
      <formula>$H$65="Board-approved"</formula>
    </cfRule>
  </conditionalFormatting>
  <conditionalFormatting sqref="O345">
    <cfRule type="expression" dxfId="289" priority="236">
      <formula>$H$66="Board-approved"</formula>
    </cfRule>
  </conditionalFormatting>
  <conditionalFormatting sqref="O346">
    <cfRule type="expression" dxfId="288" priority="235">
      <formula>$H$67="Board-approved"</formula>
    </cfRule>
  </conditionalFormatting>
  <conditionalFormatting sqref="K349:U358 K340:P348">
    <cfRule type="expression" dxfId="287" priority="229">
      <formula>$N$317="kWh"</formula>
    </cfRule>
  </conditionalFormatting>
  <conditionalFormatting sqref="I364">
    <cfRule type="expression" dxfId="286" priority="228">
      <formula>$H$63="Board-approved"</formula>
    </cfRule>
  </conditionalFormatting>
  <conditionalFormatting sqref="I365">
    <cfRule type="expression" dxfId="285" priority="227">
      <formula>$H$64="Board-approved"</formula>
    </cfRule>
  </conditionalFormatting>
  <conditionalFormatting sqref="I366">
    <cfRule type="expression" dxfId="284" priority="226">
      <formula>$H$65="Board-approved"</formula>
    </cfRule>
  </conditionalFormatting>
  <conditionalFormatting sqref="I367">
    <cfRule type="expression" dxfId="283" priority="225">
      <formula>$H$66="Board-approved"</formula>
    </cfRule>
  </conditionalFormatting>
  <conditionalFormatting sqref="I368">
    <cfRule type="expression" dxfId="282" priority="224">
      <formula>$H$67="Board-approved"</formula>
    </cfRule>
  </conditionalFormatting>
  <conditionalFormatting sqref="L364">
    <cfRule type="expression" dxfId="281" priority="223">
      <formula>$K$63="Forecastl"</formula>
    </cfRule>
  </conditionalFormatting>
  <conditionalFormatting sqref="L365">
    <cfRule type="expression" dxfId="280" priority="222">
      <formula>$K$64="Forecast"</formula>
    </cfRule>
  </conditionalFormatting>
  <conditionalFormatting sqref="L366">
    <cfRule type="expression" dxfId="279" priority="221">
      <formula>$K$65="Forecast"</formula>
    </cfRule>
  </conditionalFormatting>
  <conditionalFormatting sqref="L367">
    <cfRule type="expression" dxfId="278" priority="220">
      <formula>$K$66="Forecast"</formula>
    </cfRule>
  </conditionalFormatting>
  <conditionalFormatting sqref="L368">
    <cfRule type="expression" dxfId="277" priority="219">
      <formula>$K$67="Forecast"</formula>
    </cfRule>
  </conditionalFormatting>
  <conditionalFormatting sqref="L369">
    <cfRule type="expression" dxfId="276" priority="218">
      <formula>$K$68="Forecast"</formula>
    </cfRule>
  </conditionalFormatting>
  <conditionalFormatting sqref="L370">
    <cfRule type="expression" dxfId="275" priority="217">
      <formula>$K$69="Forecast"</formula>
    </cfRule>
  </conditionalFormatting>
  <conditionalFormatting sqref="O364">
    <cfRule type="expression" dxfId="274" priority="216">
      <formula>$H$63="Board-approved"</formula>
    </cfRule>
  </conditionalFormatting>
  <conditionalFormatting sqref="O365">
    <cfRule type="expression" dxfId="273" priority="215">
      <formula>$H$64="Board-approved"</formula>
    </cfRule>
  </conditionalFormatting>
  <conditionalFormatting sqref="O366">
    <cfRule type="expression" dxfId="272" priority="214">
      <formula>$H$65="Board-approved"</formula>
    </cfRule>
  </conditionalFormatting>
  <conditionalFormatting sqref="O367">
    <cfRule type="expression" dxfId="271" priority="213">
      <formula>$H$66="Board-approved"</formula>
    </cfRule>
  </conditionalFormatting>
  <conditionalFormatting sqref="O368">
    <cfRule type="expression" dxfId="270" priority="212">
      <formula>$H$67="Board-approved"</formula>
    </cfRule>
  </conditionalFormatting>
  <conditionalFormatting sqref="L385">
    <cfRule type="expression" dxfId="269" priority="211">
      <formula>$K$63="Forecastl"</formula>
    </cfRule>
  </conditionalFormatting>
  <conditionalFormatting sqref="L386">
    <cfRule type="expression" dxfId="268" priority="210">
      <formula>$K$64="Forecast"</formula>
    </cfRule>
  </conditionalFormatting>
  <conditionalFormatting sqref="L387">
    <cfRule type="expression" dxfId="267" priority="209">
      <formula>$K$65="Forecast"</formula>
    </cfRule>
  </conditionalFormatting>
  <conditionalFormatting sqref="L388">
    <cfRule type="expression" dxfId="266" priority="208">
      <formula>$K$66="Forecast"</formula>
    </cfRule>
  </conditionalFormatting>
  <conditionalFormatting sqref="L389">
    <cfRule type="expression" dxfId="265" priority="207">
      <formula>$K$67="Forecast"</formula>
    </cfRule>
  </conditionalFormatting>
  <conditionalFormatting sqref="L390">
    <cfRule type="expression" dxfId="264" priority="206">
      <formula>$K$68="Forecast"</formula>
    </cfRule>
  </conditionalFormatting>
  <conditionalFormatting sqref="L391">
    <cfRule type="expression" dxfId="263" priority="205">
      <formula>$K$69="Forecast"</formula>
    </cfRule>
  </conditionalFormatting>
  <conditionalFormatting sqref="O385">
    <cfRule type="expression" dxfId="262" priority="204">
      <formula>$H$63="Board-approved"</formula>
    </cfRule>
  </conditionalFormatting>
  <conditionalFormatting sqref="O386">
    <cfRule type="expression" dxfId="261" priority="203">
      <formula>$H$64="Board-approved"</formula>
    </cfRule>
  </conditionalFormatting>
  <conditionalFormatting sqref="O387">
    <cfRule type="expression" dxfId="260" priority="202">
      <formula>$H$65="Board-approved"</formula>
    </cfRule>
  </conditionalFormatting>
  <conditionalFormatting sqref="O388">
    <cfRule type="expression" dxfId="259" priority="201">
      <formula>$H$66="Board-approved"</formula>
    </cfRule>
  </conditionalFormatting>
  <conditionalFormatting sqref="O389">
    <cfRule type="expression" dxfId="258" priority="200">
      <formula>$H$67="Board-approved"</formula>
    </cfRule>
  </conditionalFormatting>
  <conditionalFormatting sqref="I385">
    <cfRule type="expression" dxfId="257" priority="199">
      <formula>$H$63="Board-approved"</formula>
    </cfRule>
  </conditionalFormatting>
  <conditionalFormatting sqref="I386">
    <cfRule type="expression" dxfId="256" priority="198">
      <formula>$H$64="Board-approved"</formula>
    </cfRule>
  </conditionalFormatting>
  <conditionalFormatting sqref="I387">
    <cfRule type="expression" dxfId="255" priority="197">
      <formula>$H$65="Board-approved"</formula>
    </cfRule>
  </conditionalFormatting>
  <conditionalFormatting sqref="I388">
    <cfRule type="expression" dxfId="254" priority="196">
      <formula>$H$66="Board-approved"</formula>
    </cfRule>
  </conditionalFormatting>
  <conditionalFormatting sqref="I389">
    <cfRule type="expression" dxfId="253" priority="195">
      <formula>$H$67="Board-approved"</formula>
    </cfRule>
  </conditionalFormatting>
  <conditionalFormatting sqref="K383:U401">
    <cfRule type="expression" dxfId="252" priority="194">
      <formula>$N$360="kWh"</formula>
    </cfRule>
  </conditionalFormatting>
  <conditionalFormatting sqref="I407">
    <cfRule type="expression" dxfId="251" priority="193">
      <formula>$H$63="Board-approved"</formula>
    </cfRule>
  </conditionalFormatting>
  <conditionalFormatting sqref="I408">
    <cfRule type="expression" dxfId="250" priority="192">
      <formula>$H$64="Board-approved"</formula>
    </cfRule>
  </conditionalFormatting>
  <conditionalFormatting sqref="I409">
    <cfRule type="expression" dxfId="249" priority="191">
      <formula>$H$65="Board-approved"</formula>
    </cfRule>
  </conditionalFormatting>
  <conditionalFormatting sqref="I410">
    <cfRule type="expression" dxfId="248" priority="190">
      <formula>$H$66="Board-approved"</formula>
    </cfRule>
  </conditionalFormatting>
  <conditionalFormatting sqref="I411">
    <cfRule type="expression" dxfId="247" priority="189">
      <formula>$H$67="Board-approved"</formula>
    </cfRule>
  </conditionalFormatting>
  <conditionalFormatting sqref="L407">
    <cfRule type="expression" dxfId="246" priority="188">
      <formula>$K$63="Forecastl"</formula>
    </cfRule>
  </conditionalFormatting>
  <conditionalFormatting sqref="L408">
    <cfRule type="expression" dxfId="245" priority="187">
      <formula>$K$64="Forecast"</formula>
    </cfRule>
  </conditionalFormatting>
  <conditionalFormatting sqref="L409">
    <cfRule type="expression" dxfId="244" priority="186">
      <formula>$K$65="Forecast"</formula>
    </cfRule>
  </conditionalFormatting>
  <conditionalFormatting sqref="L410">
    <cfRule type="expression" dxfId="243" priority="185">
      <formula>$K$66="Forecast"</formula>
    </cfRule>
  </conditionalFormatting>
  <conditionalFormatting sqref="L411">
    <cfRule type="expression" dxfId="242" priority="184">
      <formula>$K$67="Forecast"</formula>
    </cfRule>
  </conditionalFormatting>
  <conditionalFormatting sqref="L412">
    <cfRule type="expression" dxfId="241" priority="183">
      <formula>$K$68="Forecast"</formula>
    </cfRule>
  </conditionalFormatting>
  <conditionalFormatting sqref="L413">
    <cfRule type="expression" dxfId="240" priority="182">
      <formula>$K$69="Forecast"</formula>
    </cfRule>
  </conditionalFormatting>
  <conditionalFormatting sqref="O407">
    <cfRule type="expression" dxfId="239" priority="181">
      <formula>$H$63="Board-approved"</formula>
    </cfRule>
  </conditionalFormatting>
  <conditionalFormatting sqref="O408">
    <cfRule type="expression" dxfId="238" priority="180">
      <formula>$H$64="Board-approved"</formula>
    </cfRule>
  </conditionalFormatting>
  <conditionalFormatting sqref="O409">
    <cfRule type="expression" dxfId="237" priority="179">
      <formula>$H$65="Board-approved"</formula>
    </cfRule>
  </conditionalFormatting>
  <conditionalFormatting sqref="O410">
    <cfRule type="expression" dxfId="236" priority="178">
      <formula>$H$66="Board-approved"</formula>
    </cfRule>
  </conditionalFormatting>
  <conditionalFormatting sqref="O411">
    <cfRule type="expression" dxfId="235" priority="177">
      <formula>$H$67="Board-approved"</formula>
    </cfRule>
  </conditionalFormatting>
  <conditionalFormatting sqref="L428">
    <cfRule type="expression" dxfId="234" priority="176">
      <formula>$K$63="Forecastl"</formula>
    </cfRule>
  </conditionalFormatting>
  <conditionalFormatting sqref="L429">
    <cfRule type="expression" dxfId="233" priority="175">
      <formula>$K$64="Forecast"</formula>
    </cfRule>
  </conditionalFormatting>
  <conditionalFormatting sqref="L430">
    <cfRule type="expression" dxfId="232" priority="174">
      <formula>$K$65="Forecast"</formula>
    </cfRule>
  </conditionalFormatting>
  <conditionalFormatting sqref="L431">
    <cfRule type="expression" dxfId="231" priority="173">
      <formula>$K$66="Forecast"</formula>
    </cfRule>
  </conditionalFormatting>
  <conditionalFormatting sqref="L432">
    <cfRule type="expression" dxfId="230" priority="172">
      <formula>$K$67="Forecast"</formula>
    </cfRule>
  </conditionalFormatting>
  <conditionalFormatting sqref="L433">
    <cfRule type="expression" dxfId="229" priority="171">
      <formula>$K$68="Forecast"</formula>
    </cfRule>
  </conditionalFormatting>
  <conditionalFormatting sqref="L434">
    <cfRule type="expression" dxfId="228" priority="170">
      <formula>$K$69="Forecast"</formula>
    </cfRule>
  </conditionalFormatting>
  <conditionalFormatting sqref="O428">
    <cfRule type="expression" dxfId="227" priority="169">
      <formula>$H$63="Board-approved"</formula>
    </cfRule>
  </conditionalFormatting>
  <conditionalFormatting sqref="O429">
    <cfRule type="expression" dxfId="226" priority="168">
      <formula>$H$64="Board-approved"</formula>
    </cfRule>
  </conditionalFormatting>
  <conditionalFormatting sqref="O430">
    <cfRule type="expression" dxfId="225" priority="167">
      <formula>$H$65="Board-approved"</formula>
    </cfRule>
  </conditionalFormatting>
  <conditionalFormatting sqref="O431">
    <cfRule type="expression" dxfId="224" priority="166">
      <formula>$H$66="Board-approved"</formula>
    </cfRule>
  </conditionalFormatting>
  <conditionalFormatting sqref="O432">
    <cfRule type="expression" dxfId="223" priority="165">
      <formula>$H$67="Board-approved"</formula>
    </cfRule>
  </conditionalFormatting>
  <conditionalFormatting sqref="I428">
    <cfRule type="expression" dxfId="222" priority="164">
      <formula>$H$63="Board-approved"</formula>
    </cfRule>
  </conditionalFormatting>
  <conditionalFormatting sqref="I429">
    <cfRule type="expression" dxfId="221" priority="163">
      <formula>$H$64="Board-approved"</formula>
    </cfRule>
  </conditionalFormatting>
  <conditionalFormatting sqref="I430">
    <cfRule type="expression" dxfId="220" priority="162">
      <formula>$H$65="Board-approved"</formula>
    </cfRule>
  </conditionalFormatting>
  <conditionalFormatting sqref="I431">
    <cfRule type="expression" dxfId="219" priority="161">
      <formula>$H$66="Board-approved"</formula>
    </cfRule>
  </conditionalFormatting>
  <conditionalFormatting sqref="I432">
    <cfRule type="expression" dxfId="218" priority="160">
      <formula>$H$67="Board-approved"</formula>
    </cfRule>
  </conditionalFormatting>
  <conditionalFormatting sqref="K426:U444">
    <cfRule type="expression" dxfId="217" priority="159">
      <formula>$N$403="kWh"</formula>
    </cfRule>
  </conditionalFormatting>
  <conditionalFormatting sqref="I450">
    <cfRule type="expression" dxfId="216" priority="158">
      <formula>$H$63="Board-approved"</formula>
    </cfRule>
  </conditionalFormatting>
  <conditionalFormatting sqref="I451">
    <cfRule type="expression" dxfId="215" priority="157">
      <formula>$H$64="Board-approved"</formula>
    </cfRule>
  </conditionalFormatting>
  <conditionalFormatting sqref="I452">
    <cfRule type="expression" dxfId="214" priority="156">
      <formula>$H$65="Board-approved"</formula>
    </cfRule>
  </conditionalFormatting>
  <conditionalFormatting sqref="I453">
    <cfRule type="expression" dxfId="213" priority="155">
      <formula>$H$66="Board-approved"</formula>
    </cfRule>
  </conditionalFormatting>
  <conditionalFormatting sqref="I454">
    <cfRule type="expression" dxfId="212" priority="154">
      <formula>$H$67="Board-approved"</formula>
    </cfRule>
  </conditionalFormatting>
  <conditionalFormatting sqref="L450">
    <cfRule type="expression" dxfId="211" priority="153">
      <formula>$K$63="Forecastl"</formula>
    </cfRule>
  </conditionalFormatting>
  <conditionalFormatting sqref="L451">
    <cfRule type="expression" dxfId="210" priority="152">
      <formula>$K$64="Forecast"</formula>
    </cfRule>
  </conditionalFormatting>
  <conditionalFormatting sqref="L452">
    <cfRule type="expression" dxfId="209" priority="151">
      <formula>$K$65="Forecast"</formula>
    </cfRule>
  </conditionalFormatting>
  <conditionalFormatting sqref="L453">
    <cfRule type="expression" dxfId="208" priority="150">
      <formula>$K$66="Forecast"</formula>
    </cfRule>
  </conditionalFormatting>
  <conditionalFormatting sqref="L454">
    <cfRule type="expression" dxfId="207" priority="149">
      <formula>$K$67="Forecast"</formula>
    </cfRule>
  </conditionalFormatting>
  <conditionalFormatting sqref="L455">
    <cfRule type="expression" dxfId="206" priority="148">
      <formula>$K$68="Forecast"</formula>
    </cfRule>
  </conditionalFormatting>
  <conditionalFormatting sqref="L456">
    <cfRule type="expression" dxfId="205" priority="147">
      <formula>$K$69="Forecast"</formula>
    </cfRule>
  </conditionalFormatting>
  <conditionalFormatting sqref="O450">
    <cfRule type="expression" dxfId="204" priority="146">
      <formula>$H$63="Board-approved"</formula>
    </cfRule>
  </conditionalFormatting>
  <conditionalFormatting sqref="O451">
    <cfRule type="expression" dxfId="203" priority="145">
      <formula>$H$64="Board-approved"</formula>
    </cfRule>
  </conditionalFormatting>
  <conditionalFormatting sqref="O452">
    <cfRule type="expression" dxfId="202" priority="144">
      <formula>$H$65="Board-approved"</formula>
    </cfRule>
  </conditionalFormatting>
  <conditionalFormatting sqref="O453">
    <cfRule type="expression" dxfId="201" priority="143">
      <formula>$H$66="Board-approved"</formula>
    </cfRule>
  </conditionalFormatting>
  <conditionalFormatting sqref="O454">
    <cfRule type="expression" dxfId="200" priority="142">
      <formula>$H$67="Board-approved"</formula>
    </cfRule>
  </conditionalFormatting>
  <conditionalFormatting sqref="L471">
    <cfRule type="expression" dxfId="199" priority="141">
      <formula>$K$63="Forecastl"</formula>
    </cfRule>
  </conditionalFormatting>
  <conditionalFormatting sqref="L472">
    <cfRule type="expression" dxfId="198" priority="140">
      <formula>$K$64="Forecast"</formula>
    </cfRule>
  </conditionalFormatting>
  <conditionalFormatting sqref="L473">
    <cfRule type="expression" dxfId="197" priority="139">
      <formula>$K$65="Forecast"</formula>
    </cfRule>
  </conditionalFormatting>
  <conditionalFormatting sqref="L474">
    <cfRule type="expression" dxfId="196" priority="138">
      <formula>$K$66="Forecast"</formula>
    </cfRule>
  </conditionalFormatting>
  <conditionalFormatting sqref="L475">
    <cfRule type="expression" dxfId="195" priority="137">
      <formula>$K$67="Forecast"</formula>
    </cfRule>
  </conditionalFormatting>
  <conditionalFormatting sqref="L476">
    <cfRule type="expression" dxfId="194" priority="136">
      <formula>$K$68="Forecast"</formula>
    </cfRule>
  </conditionalFormatting>
  <conditionalFormatting sqref="L477">
    <cfRule type="expression" dxfId="193" priority="135">
      <formula>$K$69="Forecast"</formula>
    </cfRule>
  </conditionalFormatting>
  <conditionalFormatting sqref="O471">
    <cfRule type="expression" dxfId="192" priority="134">
      <formula>$H$63="Board-approved"</formula>
    </cfRule>
  </conditionalFormatting>
  <conditionalFormatting sqref="O472">
    <cfRule type="expression" dxfId="191" priority="133">
      <formula>$H$64="Board-approved"</formula>
    </cfRule>
  </conditionalFormatting>
  <conditionalFormatting sqref="O473">
    <cfRule type="expression" dxfId="190" priority="132">
      <formula>$H$65="Board-approved"</formula>
    </cfRule>
  </conditionalFormatting>
  <conditionalFormatting sqref="O474">
    <cfRule type="expression" dxfId="189" priority="131">
      <formula>$H$66="Board-approved"</formula>
    </cfRule>
  </conditionalFormatting>
  <conditionalFormatting sqref="O475">
    <cfRule type="expression" dxfId="188" priority="130">
      <formula>$H$67="Board-approved"</formula>
    </cfRule>
  </conditionalFormatting>
  <conditionalFormatting sqref="I471">
    <cfRule type="expression" dxfId="187" priority="129">
      <formula>$H$63="Board-approved"</formula>
    </cfRule>
  </conditionalFormatting>
  <conditionalFormatting sqref="I472">
    <cfRule type="expression" dxfId="186" priority="128">
      <formula>$H$64="Board-approved"</formula>
    </cfRule>
  </conditionalFormatting>
  <conditionalFormatting sqref="I473">
    <cfRule type="expression" dxfId="185" priority="127">
      <formula>$H$65="Board-approved"</formula>
    </cfRule>
  </conditionalFormatting>
  <conditionalFormatting sqref="I474">
    <cfRule type="expression" dxfId="184" priority="126">
      <formula>$H$66="Board-approved"</formula>
    </cfRule>
  </conditionalFormatting>
  <conditionalFormatting sqref="I475">
    <cfRule type="expression" dxfId="183" priority="125">
      <formula>$H$67="Board-approved"</formula>
    </cfRule>
  </conditionalFormatting>
  <conditionalFormatting sqref="K469:U487">
    <cfRule type="expression" dxfId="182" priority="124">
      <formula>$N$446="kWh"</formula>
    </cfRule>
  </conditionalFormatting>
  <conditionalFormatting sqref="M39:M45">
    <cfRule type="expression" dxfId="181" priority="123">
      <formula>$K$63="Forecastl"</formula>
    </cfRule>
  </conditionalFormatting>
  <conditionalFormatting sqref="O40">
    <cfRule type="expression" dxfId="180" priority="122">
      <formula>$K$63="Forecastl"</formula>
    </cfRule>
  </conditionalFormatting>
  <conditionalFormatting sqref="I106">
    <cfRule type="expression" dxfId="179" priority="121">
      <formula>$H$63="Board-approved"</formula>
    </cfRule>
  </conditionalFormatting>
  <conditionalFormatting sqref="I107">
    <cfRule type="expression" dxfId="178" priority="120">
      <formula>$H$64="Board-approved"</formula>
    </cfRule>
  </conditionalFormatting>
  <conditionalFormatting sqref="I108">
    <cfRule type="expression" dxfId="177" priority="119">
      <formula>$H$65="Board-approved"</formula>
    </cfRule>
  </conditionalFormatting>
  <conditionalFormatting sqref="I109">
    <cfRule type="expression" dxfId="176" priority="118">
      <formula>$H$66="Board-approved"</formula>
    </cfRule>
  </conditionalFormatting>
  <conditionalFormatting sqref="I110">
    <cfRule type="expression" dxfId="175" priority="117">
      <formula>$H$67="Board-approved"</formula>
    </cfRule>
  </conditionalFormatting>
  <conditionalFormatting sqref="I149">
    <cfRule type="expression" dxfId="174" priority="116">
      <formula>$H$63="Board-approved"</formula>
    </cfRule>
  </conditionalFormatting>
  <conditionalFormatting sqref="I150">
    <cfRule type="expression" dxfId="173" priority="115">
      <formula>$H$64="Board-approved"</formula>
    </cfRule>
  </conditionalFormatting>
  <conditionalFormatting sqref="I151">
    <cfRule type="expression" dxfId="172" priority="114">
      <formula>$H$65="Board-approved"</formula>
    </cfRule>
  </conditionalFormatting>
  <conditionalFormatting sqref="I152">
    <cfRule type="expression" dxfId="171" priority="113">
      <formula>$H$66="Board-approved"</formula>
    </cfRule>
  </conditionalFormatting>
  <conditionalFormatting sqref="I153">
    <cfRule type="expression" dxfId="170" priority="112">
      <formula>$H$67="Board-approved"</formula>
    </cfRule>
  </conditionalFormatting>
  <conditionalFormatting sqref="I192">
    <cfRule type="expression" dxfId="169" priority="111">
      <formula>$H$63="Board-approved"</formula>
    </cfRule>
  </conditionalFormatting>
  <conditionalFormatting sqref="I193">
    <cfRule type="expression" dxfId="168" priority="110">
      <formula>$H$64="Board-approved"</formula>
    </cfRule>
  </conditionalFormatting>
  <conditionalFormatting sqref="I194">
    <cfRule type="expression" dxfId="167" priority="109">
      <formula>$H$65="Board-approved"</formula>
    </cfRule>
  </conditionalFormatting>
  <conditionalFormatting sqref="I195">
    <cfRule type="expression" dxfId="166" priority="108">
      <formula>$H$66="Board-approved"</formula>
    </cfRule>
  </conditionalFormatting>
  <conditionalFormatting sqref="I196">
    <cfRule type="expression" dxfId="165" priority="107">
      <formula>$H$67="Board-approved"</formula>
    </cfRule>
  </conditionalFormatting>
  <conditionalFormatting sqref="I235">
    <cfRule type="expression" dxfId="164" priority="106">
      <formula>$H$63="Board-approved"</formula>
    </cfRule>
  </conditionalFormatting>
  <conditionalFormatting sqref="I236">
    <cfRule type="expression" dxfId="163" priority="105">
      <formula>$H$64="Board-approved"</formula>
    </cfRule>
  </conditionalFormatting>
  <conditionalFormatting sqref="I237">
    <cfRule type="expression" dxfId="162" priority="104">
      <formula>$H$65="Board-approved"</formula>
    </cfRule>
  </conditionalFormatting>
  <conditionalFormatting sqref="I238">
    <cfRule type="expression" dxfId="161" priority="103">
      <formula>$H$66="Board-approved"</formula>
    </cfRule>
  </conditionalFormatting>
  <conditionalFormatting sqref="I239">
    <cfRule type="expression" dxfId="160" priority="102">
      <formula>$H$67="Board-approved"</formula>
    </cfRule>
  </conditionalFormatting>
  <conditionalFormatting sqref="I278">
    <cfRule type="expression" dxfId="159" priority="101">
      <formula>$H$63="Board-approved"</formula>
    </cfRule>
  </conditionalFormatting>
  <conditionalFormatting sqref="I279">
    <cfRule type="expression" dxfId="158" priority="100">
      <formula>$H$64="Board-approved"</formula>
    </cfRule>
  </conditionalFormatting>
  <conditionalFormatting sqref="I280">
    <cfRule type="expression" dxfId="157" priority="99">
      <formula>$H$65="Board-approved"</formula>
    </cfRule>
  </conditionalFormatting>
  <conditionalFormatting sqref="I281">
    <cfRule type="expression" dxfId="156" priority="98">
      <formula>$H$66="Board-approved"</formula>
    </cfRule>
  </conditionalFormatting>
  <conditionalFormatting sqref="I282">
    <cfRule type="expression" dxfId="155" priority="97">
      <formula>$H$67="Board-approved"</formula>
    </cfRule>
  </conditionalFormatting>
  <conditionalFormatting sqref="I321">
    <cfRule type="expression" dxfId="154" priority="96">
      <formula>$H$63="Board-approved"</formula>
    </cfRule>
  </conditionalFormatting>
  <conditionalFormatting sqref="I322">
    <cfRule type="expression" dxfId="153" priority="95">
      <formula>$H$64="Board-approved"</formula>
    </cfRule>
  </conditionalFormatting>
  <conditionalFormatting sqref="I323">
    <cfRule type="expression" dxfId="152" priority="94">
      <formula>$H$65="Board-approved"</formula>
    </cfRule>
  </conditionalFormatting>
  <conditionalFormatting sqref="I324">
    <cfRule type="expression" dxfId="151" priority="93">
      <formula>$H$66="Board-approved"</formula>
    </cfRule>
  </conditionalFormatting>
  <conditionalFormatting sqref="I325">
    <cfRule type="expression" dxfId="150" priority="92">
      <formula>$H$67="Board-approved"</formula>
    </cfRule>
  </conditionalFormatting>
  <conditionalFormatting sqref="L63:L67">
    <cfRule type="expression" dxfId="149" priority="91">
      <formula>$K$63="Forecastl"</formula>
    </cfRule>
  </conditionalFormatting>
  <conditionalFormatting sqref="L68">
    <cfRule type="expression" dxfId="148" priority="90">
      <formula>$K$68="Forecast"</formula>
    </cfRule>
  </conditionalFormatting>
  <conditionalFormatting sqref="L69">
    <cfRule type="expression" dxfId="147" priority="89">
      <formula>$K$69="Forecast"</formula>
    </cfRule>
  </conditionalFormatting>
  <conditionalFormatting sqref="O63">
    <cfRule type="expression" dxfId="146" priority="88">
      <formula>$H$63="Board-approved"</formula>
    </cfRule>
  </conditionalFormatting>
  <conditionalFormatting sqref="O65">
    <cfRule type="expression" dxfId="145" priority="87">
      <formula>$H$65="Board-approved"</formula>
    </cfRule>
  </conditionalFormatting>
  <conditionalFormatting sqref="O66">
    <cfRule type="expression" dxfId="144" priority="86">
      <formula>$H$66="Board-approved"</formula>
    </cfRule>
  </conditionalFormatting>
  <conditionalFormatting sqref="O67">
    <cfRule type="expression" dxfId="143" priority="85">
      <formula>$H$67="Board-approved"</formula>
    </cfRule>
  </conditionalFormatting>
  <conditionalFormatting sqref="M63:M69">
    <cfRule type="expression" dxfId="142" priority="84">
      <formula>$K$63="Forecastl"</formula>
    </cfRule>
  </conditionalFormatting>
  <conditionalFormatting sqref="O64">
    <cfRule type="expression" dxfId="141" priority="83">
      <formula>$K$63="Forecastl"</formula>
    </cfRule>
  </conditionalFormatting>
  <conditionalFormatting sqref="O322">
    <cfRule type="expression" dxfId="140" priority="29">
      <formula>$K$63="Forecastl"</formula>
    </cfRule>
  </conditionalFormatting>
  <conditionalFormatting sqref="L106:L110">
    <cfRule type="expression" dxfId="139" priority="82">
      <formula>$K$63="Forecastl"</formula>
    </cfRule>
  </conditionalFormatting>
  <conditionalFormatting sqref="L111">
    <cfRule type="expression" dxfId="138" priority="81">
      <formula>$K$68="Forecast"</formula>
    </cfRule>
  </conditionalFormatting>
  <conditionalFormatting sqref="L112">
    <cfRule type="expression" dxfId="137" priority="80">
      <formula>$K$69="Forecast"</formula>
    </cfRule>
  </conditionalFormatting>
  <conditionalFormatting sqref="O106">
    <cfRule type="expression" dxfId="136" priority="79">
      <formula>$H$63="Board-approved"</formula>
    </cfRule>
  </conditionalFormatting>
  <conditionalFormatting sqref="O108">
    <cfRule type="expression" dxfId="135" priority="78">
      <formula>$H$65="Board-approved"</formula>
    </cfRule>
  </conditionalFormatting>
  <conditionalFormatting sqref="O109">
    <cfRule type="expression" dxfId="134" priority="77">
      <formula>$H$66="Board-approved"</formula>
    </cfRule>
  </conditionalFormatting>
  <conditionalFormatting sqref="O110">
    <cfRule type="expression" dxfId="133" priority="76">
      <formula>$H$67="Board-approved"</formula>
    </cfRule>
  </conditionalFormatting>
  <conditionalFormatting sqref="M106:M112">
    <cfRule type="expression" dxfId="132" priority="75">
      <formula>$K$63="Forecastl"</formula>
    </cfRule>
  </conditionalFormatting>
  <conditionalFormatting sqref="O107">
    <cfRule type="expression" dxfId="131" priority="74">
      <formula>$K$63="Forecastl"</formula>
    </cfRule>
  </conditionalFormatting>
  <conditionalFormatting sqref="L149:L153">
    <cfRule type="expression" dxfId="130" priority="73">
      <formula>$K$63="Forecastl"</formula>
    </cfRule>
  </conditionalFormatting>
  <conditionalFormatting sqref="L154">
    <cfRule type="expression" dxfId="129" priority="72">
      <formula>$K$68="Forecast"</formula>
    </cfRule>
  </conditionalFormatting>
  <conditionalFormatting sqref="L155">
    <cfRule type="expression" dxfId="128" priority="71">
      <formula>$K$69="Forecast"</formula>
    </cfRule>
  </conditionalFormatting>
  <conditionalFormatting sqref="O149">
    <cfRule type="expression" dxfId="127" priority="70">
      <formula>$H$63="Board-approved"</formula>
    </cfRule>
  </conditionalFormatting>
  <conditionalFormatting sqref="O151">
    <cfRule type="expression" dxfId="126" priority="69">
      <formula>$H$65="Board-approved"</formula>
    </cfRule>
  </conditionalFormatting>
  <conditionalFormatting sqref="O152">
    <cfRule type="expression" dxfId="125" priority="68">
      <formula>$H$66="Board-approved"</formula>
    </cfRule>
  </conditionalFormatting>
  <conditionalFormatting sqref="O153">
    <cfRule type="expression" dxfId="124" priority="67">
      <formula>$H$67="Board-approved"</formula>
    </cfRule>
  </conditionalFormatting>
  <conditionalFormatting sqref="M149:M155">
    <cfRule type="expression" dxfId="123" priority="66">
      <formula>$K$63="Forecastl"</formula>
    </cfRule>
  </conditionalFormatting>
  <conditionalFormatting sqref="O150">
    <cfRule type="expression" dxfId="122" priority="65">
      <formula>$K$63="Forecastl"</formula>
    </cfRule>
  </conditionalFormatting>
  <conditionalFormatting sqref="L192:L196">
    <cfRule type="expression" dxfId="121" priority="64">
      <formula>$K$63="Forecastl"</formula>
    </cfRule>
  </conditionalFormatting>
  <conditionalFormatting sqref="L197">
    <cfRule type="expression" dxfId="120" priority="63">
      <formula>$K$68="Forecast"</formula>
    </cfRule>
  </conditionalFormatting>
  <conditionalFormatting sqref="L198">
    <cfRule type="expression" dxfId="119" priority="62">
      <formula>$K$69="Forecast"</formula>
    </cfRule>
  </conditionalFormatting>
  <conditionalFormatting sqref="O192">
    <cfRule type="expression" dxfId="118" priority="61">
      <formula>$H$63="Board-approved"</formula>
    </cfRule>
  </conditionalFormatting>
  <conditionalFormatting sqref="O194">
    <cfRule type="expression" dxfId="117" priority="60">
      <formula>$H$65="Board-approved"</formula>
    </cfRule>
  </conditionalFormatting>
  <conditionalFormatting sqref="O195">
    <cfRule type="expression" dxfId="116" priority="59">
      <formula>$H$66="Board-approved"</formula>
    </cfRule>
  </conditionalFormatting>
  <conditionalFormatting sqref="O196">
    <cfRule type="expression" dxfId="115" priority="58">
      <formula>$H$67="Board-approved"</formula>
    </cfRule>
  </conditionalFormatting>
  <conditionalFormatting sqref="M192:M198">
    <cfRule type="expression" dxfId="114" priority="57">
      <formula>$K$63="Forecastl"</formula>
    </cfRule>
  </conditionalFormatting>
  <conditionalFormatting sqref="O193">
    <cfRule type="expression" dxfId="113" priority="56">
      <formula>$K$63="Forecastl"</formula>
    </cfRule>
  </conditionalFormatting>
  <conditionalFormatting sqref="L235:L239">
    <cfRule type="expression" dxfId="112" priority="55">
      <formula>$K$63="Forecastl"</formula>
    </cfRule>
  </conditionalFormatting>
  <conditionalFormatting sqref="L240">
    <cfRule type="expression" dxfId="111" priority="54">
      <formula>$K$68="Forecast"</formula>
    </cfRule>
  </conditionalFormatting>
  <conditionalFormatting sqref="L241">
    <cfRule type="expression" dxfId="110" priority="53">
      <formula>$K$69="Forecast"</formula>
    </cfRule>
  </conditionalFormatting>
  <conditionalFormatting sqref="O235">
    <cfRule type="expression" dxfId="109" priority="52">
      <formula>$H$63="Board-approved"</formula>
    </cfRule>
  </conditionalFormatting>
  <conditionalFormatting sqref="O237">
    <cfRule type="expression" dxfId="108" priority="51">
      <formula>$H$65="Board-approved"</formula>
    </cfRule>
  </conditionalFormatting>
  <conditionalFormatting sqref="O238">
    <cfRule type="expression" dxfId="107" priority="50">
      <formula>$H$66="Board-approved"</formula>
    </cfRule>
  </conditionalFormatting>
  <conditionalFormatting sqref="O239">
    <cfRule type="expression" dxfId="106" priority="49">
      <formula>$H$67="Board-approved"</formula>
    </cfRule>
  </conditionalFormatting>
  <conditionalFormatting sqref="M235:M241">
    <cfRule type="expression" dxfId="105" priority="48">
      <formula>$K$63="Forecastl"</formula>
    </cfRule>
  </conditionalFormatting>
  <conditionalFormatting sqref="O236">
    <cfRule type="expression" dxfId="104" priority="47">
      <formula>$K$63="Forecastl"</formula>
    </cfRule>
  </conditionalFormatting>
  <conditionalFormatting sqref="L278:L282">
    <cfRule type="expression" dxfId="103" priority="46">
      <formula>$K$63="Forecastl"</formula>
    </cfRule>
  </conditionalFormatting>
  <conditionalFormatting sqref="L283">
    <cfRule type="expression" dxfId="102" priority="45">
      <formula>$K$68="Forecast"</formula>
    </cfRule>
  </conditionalFormatting>
  <conditionalFormatting sqref="L284">
    <cfRule type="expression" dxfId="101" priority="44">
      <formula>$K$69="Forecast"</formula>
    </cfRule>
  </conditionalFormatting>
  <conditionalFormatting sqref="O278">
    <cfRule type="expression" dxfId="100" priority="43">
      <formula>$H$63="Board-approved"</formula>
    </cfRule>
  </conditionalFormatting>
  <conditionalFormatting sqref="O280">
    <cfRule type="expression" dxfId="99" priority="42">
      <formula>$H$65="Board-approved"</formula>
    </cfRule>
  </conditionalFormatting>
  <conditionalFormatting sqref="O281">
    <cfRule type="expression" dxfId="98" priority="41">
      <formula>$H$66="Board-approved"</formula>
    </cfRule>
  </conditionalFormatting>
  <conditionalFormatting sqref="O282">
    <cfRule type="expression" dxfId="97" priority="40">
      <formula>$H$67="Board-approved"</formula>
    </cfRule>
  </conditionalFormatting>
  <conditionalFormatting sqref="M278:M284">
    <cfRule type="expression" dxfId="96" priority="39">
      <formula>$K$63="Forecastl"</formula>
    </cfRule>
  </conditionalFormatting>
  <conditionalFormatting sqref="O279">
    <cfRule type="expression" dxfId="95" priority="38">
      <formula>$K$63="Forecastl"</formula>
    </cfRule>
  </conditionalFormatting>
  <conditionalFormatting sqref="L321:L325">
    <cfRule type="expression" dxfId="94" priority="37">
      <formula>$K$63="Forecastl"</formula>
    </cfRule>
  </conditionalFormatting>
  <conditionalFormatting sqref="L326">
    <cfRule type="expression" dxfId="93" priority="36">
      <formula>$K$68="Forecast"</formula>
    </cfRule>
  </conditionalFormatting>
  <conditionalFormatting sqref="L327">
    <cfRule type="expression" dxfId="92" priority="35">
      <formula>$K$69="Forecast"</formula>
    </cfRule>
  </conditionalFormatting>
  <conditionalFormatting sqref="O321">
    <cfRule type="expression" dxfId="91" priority="34">
      <formula>$H$63="Board-approved"</formula>
    </cfRule>
  </conditionalFormatting>
  <conditionalFormatting sqref="O323">
    <cfRule type="expression" dxfId="90" priority="33">
      <formula>$H$65="Board-approved"</formula>
    </cfRule>
  </conditionalFormatting>
  <conditionalFormatting sqref="O324">
    <cfRule type="expression" dxfId="89" priority="32">
      <formula>$H$66="Board-approved"</formula>
    </cfRule>
  </conditionalFormatting>
  <conditionalFormatting sqref="O325">
    <cfRule type="expression" dxfId="88" priority="31">
      <formula>$H$67="Board-approved"</formula>
    </cfRule>
  </conditionalFormatting>
  <conditionalFormatting sqref="M321:M327">
    <cfRule type="expression" dxfId="87" priority="30">
      <formula>$K$63="Forecastl"</formula>
    </cfRule>
  </conditionalFormatting>
  <conditionalFormatting sqref="I127">
    <cfRule type="expression" dxfId="86" priority="28">
      <formula>$H$63="Board-approved"</formula>
    </cfRule>
  </conditionalFormatting>
  <conditionalFormatting sqref="I129">
    <cfRule type="expression" dxfId="85" priority="27">
      <formula>$H$65="Board-approved"</formula>
    </cfRule>
  </conditionalFormatting>
  <conditionalFormatting sqref="I130">
    <cfRule type="expression" dxfId="84" priority="26">
      <formula>$H$66="Board-approved"</formula>
    </cfRule>
  </conditionalFormatting>
  <conditionalFormatting sqref="I131">
    <cfRule type="expression" dxfId="83" priority="25">
      <formula>$H$67="Board-approved"</formula>
    </cfRule>
  </conditionalFormatting>
  <conditionalFormatting sqref="I170">
    <cfRule type="expression" dxfId="82" priority="24">
      <formula>$H$63="Board-approved"</formula>
    </cfRule>
  </conditionalFormatting>
  <conditionalFormatting sqref="I172">
    <cfRule type="expression" dxfId="81" priority="23">
      <formula>$H$65="Board-approved"</formula>
    </cfRule>
  </conditionalFormatting>
  <conditionalFormatting sqref="I173">
    <cfRule type="expression" dxfId="80" priority="22">
      <formula>$H$66="Board-approved"</formula>
    </cfRule>
  </conditionalFormatting>
  <conditionalFormatting sqref="I174">
    <cfRule type="expression" dxfId="79" priority="21">
      <formula>$H$67="Board-approved"</formula>
    </cfRule>
  </conditionalFormatting>
  <conditionalFormatting sqref="I213">
    <cfRule type="expression" dxfId="78" priority="20">
      <formula>$H$63="Board-approved"</formula>
    </cfRule>
  </conditionalFormatting>
  <conditionalFormatting sqref="I215">
    <cfRule type="expression" dxfId="77" priority="19">
      <formula>$H$65="Board-approved"</formula>
    </cfRule>
  </conditionalFormatting>
  <conditionalFormatting sqref="I216">
    <cfRule type="expression" dxfId="76" priority="18">
      <formula>$H$66="Board-approved"</formula>
    </cfRule>
  </conditionalFormatting>
  <conditionalFormatting sqref="I217">
    <cfRule type="expression" dxfId="75" priority="17">
      <formula>$H$67="Board-approved"</formula>
    </cfRule>
  </conditionalFormatting>
  <conditionalFormatting sqref="I256">
    <cfRule type="expression" dxfId="74" priority="16">
      <formula>$H$63="Board-approved"</formula>
    </cfRule>
  </conditionalFormatting>
  <conditionalFormatting sqref="I258">
    <cfRule type="expression" dxfId="73" priority="15">
      <formula>$H$65="Board-approved"</formula>
    </cfRule>
  </conditionalFormatting>
  <conditionalFormatting sqref="I259">
    <cfRule type="expression" dxfId="72" priority="14">
      <formula>$H$66="Board-approved"</formula>
    </cfRule>
  </conditionalFormatting>
  <conditionalFormatting sqref="I260">
    <cfRule type="expression" dxfId="71" priority="13">
      <formula>$H$67="Board-approved"</formula>
    </cfRule>
  </conditionalFormatting>
  <conditionalFormatting sqref="I299">
    <cfRule type="expression" dxfId="70" priority="12">
      <formula>$H$63="Board-approved"</formula>
    </cfRule>
  </conditionalFormatting>
  <conditionalFormatting sqref="I301">
    <cfRule type="expression" dxfId="69" priority="11">
      <formula>$H$65="Board-approved"</formula>
    </cfRule>
  </conditionalFormatting>
  <conditionalFormatting sqref="I302">
    <cfRule type="expression" dxfId="68" priority="10">
      <formula>$H$66="Board-approved"</formula>
    </cfRule>
  </conditionalFormatting>
  <conditionalFormatting sqref="I303">
    <cfRule type="expression" dxfId="67" priority="9">
      <formula>$H$67="Board-approved"</formula>
    </cfRule>
  </conditionalFormatting>
  <conditionalFormatting sqref="I342">
    <cfRule type="expression" dxfId="66" priority="8">
      <formula>$H$63="Board-approved"</formula>
    </cfRule>
  </conditionalFormatting>
  <conditionalFormatting sqref="I344">
    <cfRule type="expression" dxfId="65" priority="7">
      <formula>$H$65="Board-approved"</formula>
    </cfRule>
  </conditionalFormatting>
  <conditionalFormatting sqref="I345">
    <cfRule type="expression" dxfId="64" priority="6">
      <formula>$H$66="Board-approved"</formula>
    </cfRule>
  </conditionalFormatting>
  <conditionalFormatting sqref="I346">
    <cfRule type="expression" dxfId="63" priority="5">
      <formula>$H$67="Board-approved"</formula>
    </cfRule>
  </conditionalFormatting>
  <conditionalFormatting sqref="Q211:U219">
    <cfRule type="expression" dxfId="62" priority="3">
      <formula>$N$145="kWh"</formula>
    </cfRule>
  </conditionalFormatting>
  <conditionalFormatting sqref="Q297:U305">
    <cfRule type="expression" dxfId="61" priority="2">
      <formula>$N$145="kWh"</formula>
    </cfRule>
  </conditionalFormatting>
  <conditionalFormatting sqref="Q340:U348">
    <cfRule type="expression" dxfId="60" priority="1">
      <formula>$N$145="kWh"</formula>
    </cfRule>
  </conditionalFormatting>
  <dataValidations count="3">
    <dataValidation type="list" allowBlank="1" showInputMessage="1" showErrorMessage="1" sqref="K39:K45">
      <formula1>"Actual, Forecast"</formula1>
    </dataValidation>
    <dataValidation type="list" allowBlank="1" showInputMessage="1" showErrorMessage="1" sqref="F61:I61 F147:I147 F104:I104 F190:I190 F233:I233 F276:I276 F319:I319 F362:I362 F405:I405 F448:I448">
      <formula1>"Customers, Connections"</formula1>
    </dataValidation>
    <dataValidation type="list" allowBlank="1" showInputMessage="1" showErrorMessage="1" sqref="N59 N102 N145 N188 N231 N274 N317 N360 N403 N446">
      <formula1>"kWh, kW, kVA"</formula1>
    </dataValidation>
  </dataValidations>
  <pageMargins left="0.7" right="0.7" top="0.75" bottom="0.75" header="0.3" footer="0.3"/>
  <pageSetup scale="53" fitToHeight="0" orientation="landscape" r:id="rId1"/>
  <rowBreaks count="5" manualBreakCount="5">
    <brk id="56" max="16383" man="1"/>
    <brk id="100" max="16383" man="1"/>
    <brk id="143" max="16383" man="1"/>
    <brk id="186" max="16383" man="1"/>
    <brk id="229"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7" tint="0.39997558519241921"/>
    <pageSetUpPr fitToPage="1"/>
  </sheetPr>
  <dimension ref="A1:M134"/>
  <sheetViews>
    <sheetView showGridLines="0" zoomScaleNormal="100" workbookViewId="0">
      <selection activeCell="A40" sqref="A40:M54"/>
    </sheetView>
  </sheetViews>
  <sheetFormatPr defaultRowHeight="12.75" x14ac:dyDescent="0.2"/>
  <cols>
    <col min="1" max="1" width="29" style="43" customWidth="1"/>
    <col min="2" max="2" width="17.28515625" style="43" customWidth="1"/>
    <col min="3" max="4" width="15" style="43" customWidth="1"/>
    <col min="5" max="5" width="13.28515625" style="43" bestFit="1" customWidth="1"/>
    <col min="6" max="6" width="12.7109375" style="43" bestFit="1" customWidth="1"/>
    <col min="7" max="8" width="12.7109375" style="43" customWidth="1"/>
    <col min="9" max="9" width="13.28515625" style="43" bestFit="1" customWidth="1"/>
    <col min="10" max="10" width="11.140625" style="43" bestFit="1" customWidth="1"/>
    <col min="11" max="11" width="13.28515625" style="43" bestFit="1" customWidth="1"/>
    <col min="12" max="12" width="12.7109375" style="43" bestFit="1" customWidth="1"/>
    <col min="13" max="13" width="10.85546875" style="43" bestFit="1" customWidth="1"/>
    <col min="14" max="16384" width="9.140625" style="43"/>
  </cols>
  <sheetData>
    <row r="1" spans="1:13" x14ac:dyDescent="0.2">
      <c r="L1" s="562" t="s">
        <v>301</v>
      </c>
      <c r="M1" s="61" t="str">
        <f>EBNUMBER</f>
        <v>EB-2016-0066</v>
      </c>
    </row>
    <row r="2" spans="1:13" x14ac:dyDescent="0.2">
      <c r="L2" s="562" t="s">
        <v>302</v>
      </c>
      <c r="M2" s="62"/>
    </row>
    <row r="3" spans="1:13" x14ac:dyDescent="0.2">
      <c r="L3" s="562" t="s">
        <v>303</v>
      </c>
      <c r="M3" s="62"/>
    </row>
    <row r="4" spans="1:13" x14ac:dyDescent="0.2">
      <c r="L4" s="562" t="s">
        <v>304</v>
      </c>
      <c r="M4" s="62"/>
    </row>
    <row r="5" spans="1:13" x14ac:dyDescent="0.2">
      <c r="L5" s="562" t="s">
        <v>305</v>
      </c>
      <c r="M5" s="63"/>
    </row>
    <row r="6" spans="1:13" x14ac:dyDescent="0.2">
      <c r="L6" s="562"/>
      <c r="M6" s="61"/>
    </row>
    <row r="7" spans="1:13" x14ac:dyDescent="0.2">
      <c r="L7" s="562" t="s">
        <v>306</v>
      </c>
      <c r="M7" s="63"/>
    </row>
    <row r="9" spans="1:13" ht="18" x14ac:dyDescent="0.2">
      <c r="A9" s="1547" t="s">
        <v>870</v>
      </c>
      <c r="B9" s="1547"/>
      <c r="C9" s="1547"/>
      <c r="D9" s="1547"/>
      <c r="E9" s="1547"/>
      <c r="F9" s="1547"/>
      <c r="G9" s="1547"/>
      <c r="H9" s="1547"/>
    </row>
    <row r="10" spans="1:13" ht="18" x14ac:dyDescent="0.2">
      <c r="A10" s="1547" t="s">
        <v>80</v>
      </c>
      <c r="B10" s="1547"/>
      <c r="C10" s="1547"/>
      <c r="D10" s="1547"/>
      <c r="E10" s="1547"/>
      <c r="F10" s="1547"/>
      <c r="G10" s="1547"/>
      <c r="H10" s="1547"/>
    </row>
    <row r="12" spans="1:13" ht="13.5" thickBot="1" x14ac:dyDescent="0.25">
      <c r="I12" s="121"/>
      <c r="J12" s="121"/>
    </row>
    <row r="13" spans="1:13" ht="39" thickBot="1" x14ac:dyDescent="0.25">
      <c r="A13" s="683"/>
      <c r="B13" s="684" t="str">
        <f>"Last Rebasing Year (" &amp; RebaseYear &amp; " Board-Approved)"</f>
        <v>Last Rebasing Year (2012 Board-Approved)</v>
      </c>
      <c r="C13" s="684" t="str">
        <f>"Last Rebasing Year (" &amp; RebaseYear &amp; " Actuals)"</f>
        <v>Last Rebasing Year (2012 Actuals)</v>
      </c>
      <c r="D13" s="684" t="s">
        <v>1306</v>
      </c>
      <c r="E13" s="684" t="str">
        <f>BridgeYear -2 &amp; " Actuals"</f>
        <v>2014 Actuals</v>
      </c>
      <c r="F13" s="684" t="str">
        <f>BridgeYear -1 &amp; " Actuals"</f>
        <v>2015 Actuals</v>
      </c>
      <c r="G13" s="684" t="str">
        <f>BridgeYear &amp; " Bridge Year"</f>
        <v>2016 Bridge Year</v>
      </c>
      <c r="H13" s="685" t="str">
        <f>TestYear &amp; " Test Year"</f>
        <v>2017 Test Year</v>
      </c>
      <c r="I13" s="1890"/>
      <c r="J13" s="1890"/>
      <c r="K13" s="686"/>
      <c r="L13" s="686"/>
    </row>
    <row r="14" spans="1:13" ht="13.5" thickBot="1" x14ac:dyDescent="0.25">
      <c r="A14" s="687" t="s">
        <v>103</v>
      </c>
      <c r="B14" s="688" t="s">
        <v>104</v>
      </c>
      <c r="C14" s="688" t="s">
        <v>104</v>
      </c>
      <c r="D14" s="688" t="s">
        <v>104</v>
      </c>
      <c r="E14" s="688" t="s">
        <v>104</v>
      </c>
      <c r="F14" s="688" t="s">
        <v>105</v>
      </c>
      <c r="G14" s="688" t="s">
        <v>105</v>
      </c>
      <c r="H14" s="689" t="s">
        <v>105</v>
      </c>
      <c r="I14" s="1079"/>
      <c r="J14" s="1079"/>
      <c r="K14" s="686"/>
      <c r="L14" s="686"/>
    </row>
    <row r="15" spans="1:13" x14ac:dyDescent="0.2">
      <c r="A15" s="690" t="s">
        <v>114</v>
      </c>
      <c r="B15" s="691">
        <v>291000</v>
      </c>
      <c r="C15" s="691">
        <v>272543</v>
      </c>
      <c r="D15" s="691">
        <v>233391</v>
      </c>
      <c r="E15" s="691">
        <v>260055</v>
      </c>
      <c r="F15" s="691">
        <v>263090</v>
      </c>
      <c r="G15" s="691">
        <v>365280</v>
      </c>
      <c r="H15" s="692">
        <v>642274</v>
      </c>
      <c r="I15" s="693"/>
      <c r="J15" s="693"/>
      <c r="K15" s="686"/>
      <c r="L15" s="686"/>
    </row>
    <row r="16" spans="1:13" x14ac:dyDescent="0.2">
      <c r="A16" s="694" t="s">
        <v>115</v>
      </c>
      <c r="B16" s="695">
        <v>455000</v>
      </c>
      <c r="C16" s="695">
        <v>604288</v>
      </c>
      <c r="D16" s="695">
        <v>491922</v>
      </c>
      <c r="E16" s="695">
        <v>546411</v>
      </c>
      <c r="F16" s="695">
        <v>939207</v>
      </c>
      <c r="G16" s="695">
        <v>918809</v>
      </c>
      <c r="H16" s="696">
        <v>900026</v>
      </c>
      <c r="I16" s="693"/>
      <c r="J16" s="693"/>
      <c r="K16" s="686"/>
      <c r="L16" s="686"/>
    </row>
    <row r="17" spans="1:12" x14ac:dyDescent="0.2">
      <c r="A17" s="697" t="s">
        <v>428</v>
      </c>
      <c r="B17" s="698">
        <f>SUM(B15:B16)</f>
        <v>746000</v>
      </c>
      <c r="C17" s="698">
        <f t="shared" ref="C17:H17" si="0">SUM(C15:C16)</f>
        <v>876831</v>
      </c>
      <c r="D17" s="698">
        <f t="shared" si="0"/>
        <v>725313</v>
      </c>
      <c r="E17" s="698">
        <f>SUM(E15:E16)</f>
        <v>806466</v>
      </c>
      <c r="F17" s="698">
        <f t="shared" si="0"/>
        <v>1202297</v>
      </c>
      <c r="G17" s="698">
        <f t="shared" si="0"/>
        <v>1284089</v>
      </c>
      <c r="H17" s="699">
        <f t="shared" si="0"/>
        <v>1542300</v>
      </c>
      <c r="I17" s="700"/>
      <c r="J17" s="700"/>
      <c r="K17" s="686"/>
      <c r="L17" s="686"/>
    </row>
    <row r="18" spans="1:12" x14ac:dyDescent="0.2">
      <c r="A18" s="694" t="s">
        <v>429</v>
      </c>
      <c r="B18" s="701"/>
      <c r="C18" s="701"/>
      <c r="D18" s="701"/>
      <c r="E18" s="702">
        <f>IF(ISERROR((E17-C17)/C17), "", (E17-C17)/C17)</f>
        <v>-8.0249215641326546E-2</v>
      </c>
      <c r="F18" s="702">
        <f>IF(ISERROR((F17-E17)/E17), "", (F17-E17)/E17)</f>
        <v>0.49082168374116208</v>
      </c>
      <c r="G18" s="702">
        <f>IF(ISERROR((G17-F17)/F17), "", (G17-F17)/F17)</f>
        <v>6.8029779663427589E-2</v>
      </c>
      <c r="H18" s="703">
        <f>IF(ISERROR((H17-G17)/G17), "", (H17-G17)/G17)</f>
        <v>0.20108497152455942</v>
      </c>
      <c r="I18" s="704"/>
      <c r="J18" s="704"/>
      <c r="K18" s="686"/>
      <c r="L18" s="686"/>
    </row>
    <row r="19" spans="1:12" ht="24" x14ac:dyDescent="0.2">
      <c r="A19" s="694" t="s">
        <v>430</v>
      </c>
      <c r="B19" s="705"/>
      <c r="C19" s="706"/>
      <c r="D19" s="706"/>
      <c r="E19" s="706"/>
      <c r="F19" s="706"/>
      <c r="G19" s="707"/>
      <c r="H19" s="703">
        <f>IF(ISERROR((H17-C17)/C17), "", (H17-C17)/C17)</f>
        <v>0.75894784741871579</v>
      </c>
      <c r="I19" s="704"/>
      <c r="J19" s="704"/>
      <c r="K19" s="686"/>
      <c r="L19" s="686"/>
    </row>
    <row r="20" spans="1:12" x14ac:dyDescent="0.2">
      <c r="A20" s="694" t="s">
        <v>100</v>
      </c>
      <c r="B20" s="695">
        <v>775064</v>
      </c>
      <c r="C20" s="695">
        <v>564380</v>
      </c>
      <c r="D20" s="695">
        <v>582646</v>
      </c>
      <c r="E20" s="695">
        <v>587255</v>
      </c>
      <c r="F20" s="695">
        <v>527861</v>
      </c>
      <c r="G20" s="695">
        <v>554193</v>
      </c>
      <c r="H20" s="696">
        <v>598394</v>
      </c>
      <c r="I20" s="693"/>
      <c r="J20" s="693"/>
      <c r="K20" s="686"/>
      <c r="L20" s="686"/>
    </row>
    <row r="21" spans="1:12" x14ac:dyDescent="0.2">
      <c r="A21" s="694" t="s">
        <v>116</v>
      </c>
      <c r="B21" s="695">
        <v>10000</v>
      </c>
      <c r="C21" s="695">
        <v>20659</v>
      </c>
      <c r="D21" s="695">
        <v>10391</v>
      </c>
      <c r="E21" s="695">
        <v>5499</v>
      </c>
      <c r="F21" s="695">
        <v>-12807</v>
      </c>
      <c r="G21" s="695">
        <v>-3654</v>
      </c>
      <c r="H21" s="696">
        <v>11822</v>
      </c>
      <c r="I21" s="693"/>
      <c r="J21" s="693"/>
      <c r="K21" s="686"/>
      <c r="L21" s="686"/>
    </row>
    <row r="22" spans="1:12" x14ac:dyDescent="0.2">
      <c r="A22" s="694" t="s">
        <v>168</v>
      </c>
      <c r="B22" s="695">
        <v>917946</v>
      </c>
      <c r="C22" s="695">
        <v>724931</v>
      </c>
      <c r="D22" s="695">
        <v>836495</v>
      </c>
      <c r="E22" s="695">
        <v>823367</v>
      </c>
      <c r="F22" s="695">
        <v>876245</v>
      </c>
      <c r="G22" s="695">
        <v>1126226</v>
      </c>
      <c r="H22" s="696">
        <v>1356881</v>
      </c>
      <c r="I22" s="693"/>
      <c r="J22" s="693"/>
      <c r="K22" s="686"/>
      <c r="L22" s="686"/>
    </row>
    <row r="23" spans="1:12" x14ac:dyDescent="0.2">
      <c r="A23" s="697" t="s">
        <v>428</v>
      </c>
      <c r="B23" s="698">
        <f>SUM(B20:B22)</f>
        <v>1703010</v>
      </c>
      <c r="C23" s="698">
        <f t="shared" ref="C23:H23" si="1">SUM(C20:C22)</f>
        <v>1309970</v>
      </c>
      <c r="D23" s="698">
        <f t="shared" si="1"/>
        <v>1429532</v>
      </c>
      <c r="E23" s="698">
        <f>SUM(E20:E22)</f>
        <v>1416121</v>
      </c>
      <c r="F23" s="698">
        <f>SUM(F20:F22)</f>
        <v>1391299</v>
      </c>
      <c r="G23" s="698">
        <f t="shared" si="1"/>
        <v>1676765</v>
      </c>
      <c r="H23" s="699">
        <f t="shared" si="1"/>
        <v>1967097</v>
      </c>
      <c r="I23" s="700"/>
      <c r="J23" s="700"/>
      <c r="K23" s="686"/>
      <c r="L23" s="686"/>
    </row>
    <row r="24" spans="1:12" x14ac:dyDescent="0.2">
      <c r="A24" s="694" t="s">
        <v>429</v>
      </c>
      <c r="B24" s="701"/>
      <c r="C24" s="701"/>
      <c r="D24" s="701"/>
      <c r="E24" s="702">
        <f>IF(ISERROR((E23-C23)/C23), "", (E23-C23)/C23)</f>
        <v>8.1033153430994598E-2</v>
      </c>
      <c r="F24" s="702">
        <f>IF(ISERROR((F23-E23)/E23), "", (F23-E23)/E23)</f>
        <v>-1.7528163200743439E-2</v>
      </c>
      <c r="G24" s="702">
        <f>IF(ISERROR((G23-F23)/F23), "", (G23-F23)/F23)</f>
        <v>0.20517947615861148</v>
      </c>
      <c r="H24" s="703">
        <f>IF(ISERROR((H23-G23)/G23), "", (H23-G23)/G23)</f>
        <v>0.1731500836432058</v>
      </c>
      <c r="I24" s="704"/>
      <c r="J24" s="704"/>
      <c r="K24" s="686"/>
      <c r="L24" s="686"/>
    </row>
    <row r="25" spans="1:12" ht="24" x14ac:dyDescent="0.2">
      <c r="A25" s="694" t="s">
        <v>430</v>
      </c>
      <c r="B25" s="705"/>
      <c r="C25" s="706"/>
      <c r="D25" s="706"/>
      <c r="E25" s="706"/>
      <c r="F25" s="706"/>
      <c r="G25" s="707"/>
      <c r="H25" s="703">
        <f>IF(ISERROR((H23-C23)/C23), "", (H23-C23)/C23)</f>
        <v>0.50163515195004471</v>
      </c>
      <c r="I25" s="704"/>
      <c r="J25" s="704"/>
      <c r="K25" s="686"/>
      <c r="L25" s="686"/>
    </row>
    <row r="26" spans="1:12" x14ac:dyDescent="0.2">
      <c r="A26" s="697" t="s">
        <v>295</v>
      </c>
      <c r="B26" s="698">
        <f>SUM(B23,B17)</f>
        <v>2449010</v>
      </c>
      <c r="C26" s="698">
        <f t="shared" ref="C26:H26" si="2">SUM(C23,C17)</f>
        <v>2186801</v>
      </c>
      <c r="D26" s="698">
        <f t="shared" si="2"/>
        <v>2154845</v>
      </c>
      <c r="E26" s="698">
        <f t="shared" si="2"/>
        <v>2222587</v>
      </c>
      <c r="F26" s="698">
        <f t="shared" si="2"/>
        <v>2593596</v>
      </c>
      <c r="G26" s="698">
        <f t="shared" si="2"/>
        <v>2960854</v>
      </c>
      <c r="H26" s="699">
        <f t="shared" si="2"/>
        <v>3509397</v>
      </c>
      <c r="I26" s="700"/>
      <c r="J26" s="700"/>
      <c r="K26" s="686"/>
      <c r="L26" s="686"/>
    </row>
    <row r="27" spans="1:12" ht="13.5" thickBot="1" x14ac:dyDescent="0.25">
      <c r="A27" s="708" t="s">
        <v>429</v>
      </c>
      <c r="B27" s="709"/>
      <c r="C27" s="710"/>
      <c r="D27" s="710"/>
      <c r="E27" s="711">
        <f>IF(ISERROR((E26-C26)/C26), "", (E26-C26)/C26)</f>
        <v>1.6364543458686914E-2</v>
      </c>
      <c r="F27" s="711">
        <f>IF(ISERROR((F26-E26)/E26), "", (F26-E26)/E26)</f>
        <v>0.16692664899056819</v>
      </c>
      <c r="G27" s="711">
        <f>IF(ISERROR((G26-F26)/F26), "", (G26-F26)/F26)</f>
        <v>0.14160185317990928</v>
      </c>
      <c r="H27" s="712">
        <f>IF(ISERROR((H26-G26)/G26), "", (H26-G26)/G26)</f>
        <v>0.18526512958761221</v>
      </c>
      <c r="I27" s="704"/>
      <c r="J27" s="704"/>
      <c r="K27" s="686"/>
      <c r="L27" s="686"/>
    </row>
    <row r="28" spans="1:12" x14ac:dyDescent="0.2">
      <c r="A28" s="58"/>
      <c r="B28" s="713"/>
      <c r="C28" s="713"/>
      <c r="D28" s="713"/>
      <c r="E28" s="714"/>
      <c r="F28" s="714"/>
      <c r="G28" s="714"/>
      <c r="H28" s="713"/>
      <c r="I28" s="715"/>
      <c r="J28" s="715"/>
      <c r="K28" s="686"/>
      <c r="L28" s="686"/>
    </row>
    <row r="29" spans="1:12" ht="13.5" thickBot="1" x14ac:dyDescent="0.25">
      <c r="A29" s="58"/>
      <c r="B29" s="58"/>
      <c r="C29" s="58"/>
      <c r="D29" s="58"/>
      <c r="E29" s="58"/>
      <c r="F29" s="58"/>
      <c r="G29" s="58"/>
      <c r="H29" s="58"/>
      <c r="I29" s="686"/>
      <c r="J29" s="686"/>
      <c r="K29" s="686"/>
      <c r="L29" s="686"/>
    </row>
    <row r="30" spans="1:12" ht="36" x14ac:dyDescent="0.2">
      <c r="A30" s="716"/>
      <c r="B30" s="717" t="str">
        <f>B13</f>
        <v>Last Rebasing Year (2012 Board-Approved)</v>
      </c>
      <c r="C30" s="717" t="str">
        <f t="shared" ref="C30:H30" si="3">C13</f>
        <v>Last Rebasing Year (2012 Actuals)</v>
      </c>
      <c r="D30" s="717"/>
      <c r="E30" s="717" t="str">
        <f t="shared" si="3"/>
        <v>2014 Actuals</v>
      </c>
      <c r="F30" s="717" t="str">
        <f t="shared" si="3"/>
        <v>2015 Actuals</v>
      </c>
      <c r="G30" s="717" t="str">
        <f t="shared" si="3"/>
        <v>2016 Bridge Year</v>
      </c>
      <c r="H30" s="718" t="str">
        <f t="shared" si="3"/>
        <v>2017 Test Year</v>
      </c>
      <c r="I30" s="686"/>
      <c r="J30" s="686"/>
      <c r="K30" s="686"/>
      <c r="L30" s="686"/>
    </row>
    <row r="31" spans="1:12" x14ac:dyDescent="0.2">
      <c r="A31" s="694" t="s">
        <v>114</v>
      </c>
      <c r="B31" s="719">
        <f>B15</f>
        <v>291000</v>
      </c>
      <c r="C31" s="719">
        <f t="shared" ref="C31:H31" si="4">C15</f>
        <v>272543</v>
      </c>
      <c r="D31" s="719"/>
      <c r="E31" s="719">
        <f t="shared" si="4"/>
        <v>260055</v>
      </c>
      <c r="F31" s="719">
        <f t="shared" si="4"/>
        <v>263090</v>
      </c>
      <c r="G31" s="719">
        <f t="shared" si="4"/>
        <v>365280</v>
      </c>
      <c r="H31" s="720">
        <f t="shared" si="4"/>
        <v>642274</v>
      </c>
      <c r="I31" s="686"/>
      <c r="J31" s="686"/>
      <c r="K31" s="686"/>
      <c r="L31" s="686"/>
    </row>
    <row r="32" spans="1:12" x14ac:dyDescent="0.2">
      <c r="A32" s="694" t="s">
        <v>115</v>
      </c>
      <c r="B32" s="719">
        <f>B16</f>
        <v>455000</v>
      </c>
      <c r="C32" s="719">
        <f t="shared" ref="C32:H32" si="5">C16</f>
        <v>604288</v>
      </c>
      <c r="D32" s="719"/>
      <c r="E32" s="719">
        <f t="shared" si="5"/>
        <v>546411</v>
      </c>
      <c r="F32" s="719">
        <f t="shared" si="5"/>
        <v>939207</v>
      </c>
      <c r="G32" s="719">
        <f t="shared" si="5"/>
        <v>918809</v>
      </c>
      <c r="H32" s="720">
        <f t="shared" si="5"/>
        <v>900026</v>
      </c>
      <c r="I32" s="686"/>
      <c r="J32" s="686"/>
      <c r="K32" s="686"/>
      <c r="L32" s="686"/>
    </row>
    <row r="33" spans="1:13" x14ac:dyDescent="0.2">
      <c r="A33" s="694" t="s">
        <v>100</v>
      </c>
      <c r="B33" s="719">
        <f>B20</f>
        <v>775064</v>
      </c>
      <c r="C33" s="719">
        <f t="shared" ref="C33:H33" si="6">C20</f>
        <v>564380</v>
      </c>
      <c r="D33" s="719"/>
      <c r="E33" s="719">
        <f t="shared" si="6"/>
        <v>587255</v>
      </c>
      <c r="F33" s="719">
        <f t="shared" si="6"/>
        <v>527861</v>
      </c>
      <c r="G33" s="719">
        <f t="shared" si="6"/>
        <v>554193</v>
      </c>
      <c r="H33" s="720">
        <f t="shared" si="6"/>
        <v>598394</v>
      </c>
      <c r="I33" s="686"/>
      <c r="J33" s="686"/>
      <c r="K33" s="686"/>
      <c r="L33" s="686"/>
    </row>
    <row r="34" spans="1:13" x14ac:dyDescent="0.2">
      <c r="A34" s="694" t="s">
        <v>116</v>
      </c>
      <c r="B34" s="719">
        <f>B21</f>
        <v>10000</v>
      </c>
      <c r="C34" s="719">
        <f t="shared" ref="C34:H34" si="7">C21</f>
        <v>20659</v>
      </c>
      <c r="D34" s="719"/>
      <c r="E34" s="719">
        <f t="shared" si="7"/>
        <v>5499</v>
      </c>
      <c r="F34" s="719">
        <f t="shared" si="7"/>
        <v>-12807</v>
      </c>
      <c r="G34" s="719">
        <f t="shared" si="7"/>
        <v>-3654</v>
      </c>
      <c r="H34" s="720">
        <f t="shared" si="7"/>
        <v>11822</v>
      </c>
      <c r="I34" s="686"/>
      <c r="J34" s="686"/>
      <c r="K34" s="686"/>
      <c r="L34" s="686"/>
    </row>
    <row r="35" spans="1:13" x14ac:dyDescent="0.2">
      <c r="A35" s="694" t="s">
        <v>168</v>
      </c>
      <c r="B35" s="719">
        <f>B22</f>
        <v>917946</v>
      </c>
      <c r="C35" s="719">
        <f t="shared" ref="C35:H35" si="8">C22</f>
        <v>724931</v>
      </c>
      <c r="D35" s="719"/>
      <c r="E35" s="719">
        <f t="shared" si="8"/>
        <v>823367</v>
      </c>
      <c r="F35" s="719">
        <f t="shared" si="8"/>
        <v>876245</v>
      </c>
      <c r="G35" s="719">
        <f t="shared" si="8"/>
        <v>1126226</v>
      </c>
      <c r="H35" s="720">
        <f t="shared" si="8"/>
        <v>1356881</v>
      </c>
      <c r="I35" s="686"/>
      <c r="J35" s="686"/>
      <c r="K35" s="686"/>
      <c r="L35" s="686"/>
    </row>
    <row r="36" spans="1:13" x14ac:dyDescent="0.2">
      <c r="A36" s="697" t="s">
        <v>295</v>
      </c>
      <c r="B36" s="698">
        <f>SUM(B31:B35)</f>
        <v>2449010</v>
      </c>
      <c r="C36" s="698">
        <f t="shared" ref="C36:H36" si="9">SUM(C31:C35)</f>
        <v>2186801</v>
      </c>
      <c r="D36" s="698"/>
      <c r="E36" s="698">
        <f t="shared" si="9"/>
        <v>2222587</v>
      </c>
      <c r="F36" s="698">
        <f t="shared" si="9"/>
        <v>2593596</v>
      </c>
      <c r="G36" s="698">
        <f t="shared" si="9"/>
        <v>2960854</v>
      </c>
      <c r="H36" s="699">
        <f t="shared" si="9"/>
        <v>3509397</v>
      </c>
      <c r="I36" s="686"/>
      <c r="J36" s="686"/>
      <c r="K36" s="686"/>
      <c r="L36" s="686"/>
    </row>
    <row r="37" spans="1:13" ht="13.5" thickBot="1" x14ac:dyDescent="0.25">
      <c r="A37" s="708" t="s">
        <v>429</v>
      </c>
      <c r="B37" s="709"/>
      <c r="C37" s="710"/>
      <c r="D37" s="710"/>
      <c r="E37" s="711">
        <f>IF(ISERROR((E36-C36)/C36), "", (E36-C36)/C36)</f>
        <v>1.6364543458686914E-2</v>
      </c>
      <c r="F37" s="711">
        <f>IF(ISERROR((F36-E36)/E36), "", (F36-E36)/E36)</f>
        <v>0.16692664899056819</v>
      </c>
      <c r="G37" s="711">
        <f>IF(ISERROR((G36-F36)/F36), "", (G36-F36)/F36)</f>
        <v>0.14160185317990928</v>
      </c>
      <c r="H37" s="712">
        <f>IF(ISERROR((H36-G36)/G36), "", (H36-G36)/G36)</f>
        <v>0.18526512958761221</v>
      </c>
      <c r="I37" s="686"/>
      <c r="J37" s="686"/>
      <c r="K37" s="686"/>
      <c r="L37" s="686"/>
    </row>
    <row r="38" spans="1:13" x14ac:dyDescent="0.2">
      <c r="A38" s="686"/>
      <c r="B38" s="686"/>
      <c r="C38" s="686"/>
      <c r="D38" s="686"/>
      <c r="E38" s="686"/>
      <c r="F38" s="686"/>
      <c r="G38" s="686"/>
      <c r="H38" s="686"/>
      <c r="I38" s="686"/>
      <c r="J38" s="686"/>
      <c r="K38" s="686"/>
      <c r="L38" s="686"/>
    </row>
    <row r="39" spans="1:13" ht="13.5" thickBot="1" x14ac:dyDescent="0.25">
      <c r="A39" s="686"/>
      <c r="B39" s="686"/>
      <c r="C39" s="686"/>
      <c r="D39" s="686"/>
      <c r="E39" s="686"/>
      <c r="F39" s="686"/>
      <c r="G39" s="686"/>
      <c r="H39" s="686"/>
      <c r="I39" s="686"/>
      <c r="J39" s="686"/>
      <c r="K39" s="686"/>
      <c r="L39" s="686"/>
    </row>
    <row r="40" spans="1:13" ht="48.75" thickBot="1" x14ac:dyDescent="0.25">
      <c r="A40" s="721"/>
      <c r="B40" s="722" t="str">
        <f>B13</f>
        <v>Last Rebasing Year (2012 Board-Approved)</v>
      </c>
      <c r="C40" s="722" t="str">
        <f>C13</f>
        <v>Last Rebasing Year (2012 Actuals)</v>
      </c>
      <c r="D40" s="722"/>
      <c r="E40" s="722" t="str">
        <f>"Variance " &amp; 'LDC Info'!E28 &amp; "  BA – " &amp; 'LDC Info'!E28 &amp; " Actuals"</f>
        <v>Variance 2012  BA – 2012 Actuals</v>
      </c>
      <c r="F40" s="722" t="str">
        <f>E13</f>
        <v>2014 Actuals</v>
      </c>
      <c r="G40" s="722" t="str">
        <f>"Variance " &amp; 'LDC Info'!E26 -2 &amp; " Actuals vs. " &amp;  'LDC Info'!E28 &amp; " Actuals"</f>
        <v>Variance 2014 Actuals vs. 2012 Actuals</v>
      </c>
      <c r="H40" s="722" t="str">
        <f>F13</f>
        <v>2015 Actuals</v>
      </c>
      <c r="I40" s="722" t="str">
        <f>"Variance " &amp; 'LDC Info'!E26 -1 &amp; " Actuals vs. " &amp;  'LDC Info'!E26-2 &amp; " Actuals"</f>
        <v>Variance 2015 Actuals vs. 2014 Actuals</v>
      </c>
      <c r="J40" s="722" t="str">
        <f>G13</f>
        <v>2016 Bridge Year</v>
      </c>
      <c r="K40" s="722" t="str">
        <f>"Variance " &amp; 'LDC Info'!E26 &amp; " Bridge vs. " &amp; 'LDC Info'!E26 -1 &amp; " Actuals"</f>
        <v>Variance 2016 Bridge vs. 2015 Actuals</v>
      </c>
      <c r="L40" s="722" t="str">
        <f>H13</f>
        <v>2017 Test Year</v>
      </c>
      <c r="M40" s="723" t="str">
        <f>"Variance " &amp; TestYear &amp; " Test vs. " &amp; BridgeYear &amp; " Bridge"</f>
        <v>Variance 2017 Test vs. 2016 Bridge</v>
      </c>
    </row>
    <row r="41" spans="1:13" x14ac:dyDescent="0.2">
      <c r="A41" s="724" t="s">
        <v>114</v>
      </c>
      <c r="B41" s="725">
        <f>B15</f>
        <v>291000</v>
      </c>
      <c r="C41" s="725">
        <f>C15</f>
        <v>272543</v>
      </c>
      <c r="D41" s="725"/>
      <c r="E41" s="726">
        <f>B41-C41</f>
        <v>18457</v>
      </c>
      <c r="F41" s="726">
        <f>E15</f>
        <v>260055</v>
      </c>
      <c r="G41" s="726">
        <f>F41-C41</f>
        <v>-12488</v>
      </c>
      <c r="H41" s="726">
        <f>F15</f>
        <v>263090</v>
      </c>
      <c r="I41" s="726">
        <f>H41-F41</f>
        <v>3035</v>
      </c>
      <c r="J41" s="726">
        <f>G15</f>
        <v>365280</v>
      </c>
      <c r="K41" s="726">
        <f>J41-H41</f>
        <v>102190</v>
      </c>
      <c r="L41" s="726">
        <f>H15</f>
        <v>642274</v>
      </c>
      <c r="M41" s="727">
        <f>L41-J41</f>
        <v>276994</v>
      </c>
    </row>
    <row r="42" spans="1:13" x14ac:dyDescent="0.2">
      <c r="A42" s="728" t="s">
        <v>431</v>
      </c>
      <c r="B42" s="719">
        <f>B16</f>
        <v>455000</v>
      </c>
      <c r="C42" s="719">
        <f>C16</f>
        <v>604288</v>
      </c>
      <c r="D42" s="719"/>
      <c r="E42" s="729">
        <f>B42-C42</f>
        <v>-149288</v>
      </c>
      <c r="F42" s="729">
        <f>E16</f>
        <v>546411</v>
      </c>
      <c r="G42" s="729">
        <f>F42-C42</f>
        <v>-57877</v>
      </c>
      <c r="H42" s="729">
        <f>F16</f>
        <v>939207</v>
      </c>
      <c r="I42" s="729">
        <f t="shared" ref="I42:M45" si="10">H42-F42</f>
        <v>392796</v>
      </c>
      <c r="J42" s="729">
        <f>G16</f>
        <v>918809</v>
      </c>
      <c r="K42" s="729">
        <f t="shared" si="10"/>
        <v>-20398</v>
      </c>
      <c r="L42" s="729">
        <f>H16</f>
        <v>900026</v>
      </c>
      <c r="M42" s="730">
        <f t="shared" si="10"/>
        <v>-18783</v>
      </c>
    </row>
    <row r="43" spans="1:13" x14ac:dyDescent="0.2">
      <c r="A43" s="728" t="s">
        <v>432</v>
      </c>
      <c r="B43" s="719">
        <f t="shared" ref="B43:C45" si="11">B20</f>
        <v>775064</v>
      </c>
      <c r="C43" s="719">
        <f t="shared" si="11"/>
        <v>564380</v>
      </c>
      <c r="D43" s="719"/>
      <c r="E43" s="729">
        <f>B43-C43</f>
        <v>210684</v>
      </c>
      <c r="F43" s="729">
        <f>E20</f>
        <v>587255</v>
      </c>
      <c r="G43" s="729">
        <f>F43-C43</f>
        <v>22875</v>
      </c>
      <c r="H43" s="729">
        <f>F20</f>
        <v>527861</v>
      </c>
      <c r="I43" s="729">
        <f t="shared" si="10"/>
        <v>-59394</v>
      </c>
      <c r="J43" s="729">
        <f>G20</f>
        <v>554193</v>
      </c>
      <c r="K43" s="729">
        <f t="shared" si="10"/>
        <v>26332</v>
      </c>
      <c r="L43" s="729">
        <f>H20</f>
        <v>598394</v>
      </c>
      <c r="M43" s="730">
        <f t="shared" si="10"/>
        <v>44201</v>
      </c>
    </row>
    <row r="44" spans="1:13" x14ac:dyDescent="0.2">
      <c r="A44" s="728" t="s">
        <v>433</v>
      </c>
      <c r="B44" s="719">
        <f t="shared" si="11"/>
        <v>10000</v>
      </c>
      <c r="C44" s="719">
        <f t="shared" si="11"/>
        <v>20659</v>
      </c>
      <c r="D44" s="719"/>
      <c r="E44" s="729">
        <f>B44-C44</f>
        <v>-10659</v>
      </c>
      <c r="F44" s="729">
        <f>E21</f>
        <v>5499</v>
      </c>
      <c r="G44" s="729">
        <f>F44-C44</f>
        <v>-15160</v>
      </c>
      <c r="H44" s="729">
        <f>F21</f>
        <v>-12807</v>
      </c>
      <c r="I44" s="729">
        <f t="shared" si="10"/>
        <v>-18306</v>
      </c>
      <c r="J44" s="729">
        <f>G21</f>
        <v>-3654</v>
      </c>
      <c r="K44" s="729">
        <f t="shared" si="10"/>
        <v>9153</v>
      </c>
      <c r="L44" s="729">
        <f>H21</f>
        <v>11822</v>
      </c>
      <c r="M44" s="730">
        <f t="shared" si="10"/>
        <v>15476</v>
      </c>
    </row>
    <row r="45" spans="1:13" x14ac:dyDescent="0.2">
      <c r="A45" s="728" t="s">
        <v>434</v>
      </c>
      <c r="B45" s="719">
        <f t="shared" si="11"/>
        <v>917946</v>
      </c>
      <c r="C45" s="719">
        <f t="shared" si="11"/>
        <v>724931</v>
      </c>
      <c r="D45" s="719"/>
      <c r="E45" s="729">
        <f>B45-C45</f>
        <v>193015</v>
      </c>
      <c r="F45" s="729">
        <f>E22</f>
        <v>823367</v>
      </c>
      <c r="G45" s="729">
        <f>F45-C45</f>
        <v>98436</v>
      </c>
      <c r="H45" s="729">
        <f>F22</f>
        <v>876245</v>
      </c>
      <c r="I45" s="729">
        <f t="shared" si="10"/>
        <v>52878</v>
      </c>
      <c r="J45" s="729">
        <f>G22</f>
        <v>1126226</v>
      </c>
      <c r="K45" s="729">
        <f t="shared" si="10"/>
        <v>249981</v>
      </c>
      <c r="L45" s="729">
        <f>H22</f>
        <v>1356881</v>
      </c>
      <c r="M45" s="730">
        <f t="shared" si="10"/>
        <v>230655</v>
      </c>
    </row>
    <row r="46" spans="1:13" x14ac:dyDescent="0.2">
      <c r="A46" s="728" t="s">
        <v>633</v>
      </c>
      <c r="B46" s="729">
        <f>SUM(B41:B45)</f>
        <v>2449010</v>
      </c>
      <c r="C46" s="729">
        <f t="shared" ref="C46:M46" si="12">SUM(C41:C45)</f>
        <v>2186801</v>
      </c>
      <c r="D46" s="729"/>
      <c r="E46" s="729">
        <f t="shared" si="12"/>
        <v>262209</v>
      </c>
      <c r="F46" s="729">
        <f t="shared" si="12"/>
        <v>2222587</v>
      </c>
      <c r="G46" s="729">
        <f t="shared" si="12"/>
        <v>35786</v>
      </c>
      <c r="H46" s="729">
        <f t="shared" si="12"/>
        <v>2593596</v>
      </c>
      <c r="I46" s="729">
        <f t="shared" si="12"/>
        <v>371009</v>
      </c>
      <c r="J46" s="729">
        <f t="shared" si="12"/>
        <v>2960854</v>
      </c>
      <c r="K46" s="729">
        <f t="shared" si="12"/>
        <v>367258</v>
      </c>
      <c r="L46" s="729">
        <f t="shared" si="12"/>
        <v>3509397</v>
      </c>
      <c r="M46" s="730">
        <f t="shared" si="12"/>
        <v>548543</v>
      </c>
    </row>
    <row r="47" spans="1:13" ht="36" x14ac:dyDescent="0.2">
      <c r="A47" s="728" t="s">
        <v>632</v>
      </c>
      <c r="B47" s="729"/>
      <c r="C47" s="729"/>
      <c r="D47" s="729"/>
      <c r="E47" s="729"/>
      <c r="F47" s="729"/>
      <c r="G47" s="729"/>
      <c r="H47" s="729"/>
      <c r="I47" s="729"/>
      <c r="J47" s="729"/>
      <c r="K47" s="729"/>
      <c r="L47" s="729"/>
      <c r="M47" s="729"/>
    </row>
    <row r="48" spans="1:13" ht="24" x14ac:dyDescent="0.2">
      <c r="A48" s="728" t="s">
        <v>598</v>
      </c>
      <c r="B48" s="729">
        <f>B46-B47</f>
        <v>2449010</v>
      </c>
      <c r="C48" s="729">
        <f t="shared" ref="C48:M48" si="13">C46-C47</f>
        <v>2186801</v>
      </c>
      <c r="D48" s="729"/>
      <c r="E48" s="729">
        <f t="shared" si="13"/>
        <v>262209</v>
      </c>
      <c r="F48" s="729">
        <f t="shared" si="13"/>
        <v>2222587</v>
      </c>
      <c r="G48" s="729">
        <f t="shared" si="13"/>
        <v>35786</v>
      </c>
      <c r="H48" s="729">
        <f t="shared" si="13"/>
        <v>2593596</v>
      </c>
      <c r="I48" s="729">
        <f t="shared" si="13"/>
        <v>371009</v>
      </c>
      <c r="J48" s="729">
        <f t="shared" si="13"/>
        <v>2960854</v>
      </c>
      <c r="K48" s="729">
        <f t="shared" si="13"/>
        <v>367258</v>
      </c>
      <c r="L48" s="729">
        <f t="shared" si="13"/>
        <v>3509397</v>
      </c>
      <c r="M48" s="729">
        <f t="shared" si="13"/>
        <v>548543</v>
      </c>
    </row>
    <row r="49" spans="1:13" x14ac:dyDescent="0.2">
      <c r="A49" s="728" t="s">
        <v>435</v>
      </c>
      <c r="B49" s="731"/>
      <c r="C49" s="732"/>
      <c r="D49" s="732"/>
      <c r="E49" s="732"/>
      <c r="F49" s="729">
        <f>F48-C48</f>
        <v>35786</v>
      </c>
      <c r="G49" s="733"/>
      <c r="H49" s="729">
        <f>H48-F48</f>
        <v>371009</v>
      </c>
      <c r="I49" s="734"/>
      <c r="J49" s="729">
        <f>J48-H48</f>
        <v>367258</v>
      </c>
      <c r="K49" s="735"/>
      <c r="L49" s="729">
        <f>L48-J48</f>
        <v>548543</v>
      </c>
      <c r="M49" s="736"/>
    </row>
    <row r="50" spans="1:13" x14ac:dyDescent="0.2">
      <c r="A50" s="728" t="s">
        <v>436</v>
      </c>
      <c r="B50" s="737"/>
      <c r="C50" s="738"/>
      <c r="D50" s="738"/>
      <c r="E50" s="738"/>
      <c r="F50" s="739">
        <f>IF(ISERROR(F49/C48), "", F49/C48)</f>
        <v>1.6364543458686914E-2</v>
      </c>
      <c r="G50" s="740"/>
      <c r="H50" s="739">
        <f>IF(ISERROR(H49/F48), "", H49/F48)</f>
        <v>0.16692664899056819</v>
      </c>
      <c r="I50" s="741"/>
      <c r="J50" s="739">
        <f>IF(ISERROR(J49/H48), "", J49/H48)</f>
        <v>0.14160185317990928</v>
      </c>
      <c r="K50" s="742"/>
      <c r="L50" s="739">
        <f>IF(ISERROR(L49/J48), "", L49/J48)</f>
        <v>0.18526512958761221</v>
      </c>
      <c r="M50" s="743"/>
    </row>
    <row r="51" spans="1:13" ht="24" x14ac:dyDescent="0.2">
      <c r="A51" s="728" t="s">
        <v>437</v>
      </c>
      <c r="B51" s="744"/>
      <c r="C51" s="745"/>
      <c r="D51" s="745"/>
      <c r="E51" s="745"/>
      <c r="F51" s="746"/>
      <c r="G51" s="747"/>
      <c r="H51" s="748">
        <f>IF(ISERROR((L48-H48)/H48), "", (L48-H48)/H48)</f>
        <v>0.35310086844674343</v>
      </c>
      <c r="I51" s="749"/>
      <c r="J51" s="746"/>
      <c r="K51" s="750"/>
      <c r="L51" s="746"/>
      <c r="M51" s="751"/>
    </row>
    <row r="52" spans="1:13" ht="24" x14ac:dyDescent="0.2">
      <c r="A52" s="728" t="s">
        <v>169</v>
      </c>
      <c r="B52" s="744"/>
      <c r="C52" s="745"/>
      <c r="D52" s="745"/>
      <c r="E52" s="745"/>
      <c r="F52" s="750"/>
      <c r="G52" s="750"/>
      <c r="H52" s="752">
        <f>IF(ISERROR((L46-C46)/C46), "", (L46-C46)/C46)</f>
        <v>0.60480857654628839</v>
      </c>
      <c r="I52" s="750"/>
      <c r="J52" s="750"/>
      <c r="K52" s="750"/>
      <c r="L52" s="750"/>
      <c r="M52" s="753">
        <f>IF(ISERROR(AVERAGE(F50,H50,J50,L50)), "", AVERAGE(F50,H50,J50,L50))</f>
        <v>0.12753954380419413</v>
      </c>
    </row>
    <row r="53" spans="1:13" ht="24" x14ac:dyDescent="0.2">
      <c r="A53" s="728" t="s">
        <v>455</v>
      </c>
      <c r="B53" s="744"/>
      <c r="C53" s="745"/>
      <c r="D53" s="745"/>
      <c r="E53" s="745"/>
      <c r="F53" s="750"/>
      <c r="G53" s="750"/>
      <c r="H53" s="752" t="str">
        <f>IF(ISERROR((L49-C49)/C49), "", (L49-C49)/C49)</f>
        <v/>
      </c>
      <c r="I53" s="750"/>
      <c r="J53" s="750"/>
      <c r="K53" s="750"/>
      <c r="L53" s="750"/>
      <c r="M53" s="754">
        <f>IF((L48-C48)=0, "", (L48/C48)^(1/5)-1)</f>
        <v>9.9220064999722579E-2</v>
      </c>
    </row>
    <row r="54" spans="1:13" ht="24.75" thickBot="1" x14ac:dyDescent="0.25">
      <c r="A54" s="755" t="str">
        <f>"Compound Growth Rate                                                            (" &amp; F13 &amp; " vs. " &amp; 'LDC Info'!E28 &amp; " Actuals)"</f>
        <v>Compound Growth Rate                                                            (2015 Actuals vs. 2012 Actuals)</v>
      </c>
      <c r="B54" s="756"/>
      <c r="C54" s="757"/>
      <c r="D54" s="757"/>
      <c r="E54" s="757"/>
      <c r="F54" s="758"/>
      <c r="G54" s="759"/>
      <c r="H54" s="760">
        <f>IF(ISERROR((H48/C48)^(1/(3)) - 1), "", (H48/C48)^(1/(3)) - 1)</f>
        <v>5.8516636093288277E-2</v>
      </c>
      <c r="I54" s="761"/>
      <c r="J54" s="758"/>
      <c r="K54" s="758"/>
      <c r="L54" s="758"/>
      <c r="M54" s="762"/>
    </row>
    <row r="55" spans="1:13" x14ac:dyDescent="0.2">
      <c r="A55" s="686"/>
      <c r="B55" s="686"/>
      <c r="C55" s="686"/>
      <c r="D55" s="686"/>
      <c r="E55" s="686"/>
      <c r="F55" s="686"/>
      <c r="G55" s="686"/>
      <c r="H55" s="686"/>
      <c r="I55" s="686"/>
      <c r="J55" s="686"/>
      <c r="K55" s="686"/>
      <c r="L55" s="686"/>
    </row>
    <row r="56" spans="1:13" x14ac:dyDescent="0.2">
      <c r="A56" s="763" t="s">
        <v>117</v>
      </c>
      <c r="B56" s="686"/>
      <c r="C56" s="686"/>
      <c r="D56" s="686"/>
      <c r="E56" s="686"/>
      <c r="F56" s="686"/>
      <c r="G56" s="686"/>
      <c r="H56" s="686"/>
      <c r="I56" s="686"/>
      <c r="J56" s="686"/>
      <c r="K56" s="686"/>
      <c r="L56" s="686"/>
    </row>
    <row r="57" spans="1:13" x14ac:dyDescent="0.2">
      <c r="A57" s="763"/>
      <c r="B57" s="686"/>
      <c r="C57" s="686"/>
      <c r="D57" s="686"/>
      <c r="E57" s="686"/>
      <c r="F57" s="686"/>
      <c r="G57" s="686"/>
      <c r="H57" s="686"/>
      <c r="I57" s="686"/>
      <c r="J57" s="686"/>
      <c r="K57" s="686"/>
      <c r="L57" s="686"/>
    </row>
    <row r="58" spans="1:13" x14ac:dyDescent="0.2">
      <c r="A58" s="764" t="s">
        <v>438</v>
      </c>
      <c r="B58" s="686"/>
      <c r="C58" s="686"/>
      <c r="D58" s="686"/>
      <c r="E58" s="686"/>
      <c r="F58" s="686"/>
      <c r="G58" s="686"/>
      <c r="H58" s="686"/>
      <c r="I58" s="686"/>
      <c r="J58" s="686"/>
      <c r="K58" s="686"/>
      <c r="L58" s="686"/>
    </row>
    <row r="59" spans="1:13" ht="12.75" customHeight="1" x14ac:dyDescent="0.2">
      <c r="A59" s="1556" t="s">
        <v>439</v>
      </c>
      <c r="B59" s="1556"/>
      <c r="C59" s="1556"/>
      <c r="D59" s="1556"/>
      <c r="E59" s="1556"/>
      <c r="F59" s="1556"/>
      <c r="G59" s="1556"/>
      <c r="H59" s="1556"/>
      <c r="I59" s="1556"/>
      <c r="J59" s="1556"/>
      <c r="K59" s="1556"/>
      <c r="L59" s="1556"/>
      <c r="M59" s="1556"/>
    </row>
    <row r="60" spans="1:13" x14ac:dyDescent="0.2">
      <c r="A60" s="1556"/>
      <c r="B60" s="1556"/>
      <c r="C60" s="1556"/>
      <c r="D60" s="1556"/>
      <c r="E60" s="1556"/>
      <c r="F60" s="1556"/>
      <c r="G60" s="1556"/>
      <c r="H60" s="1556"/>
      <c r="I60" s="1556"/>
      <c r="J60" s="1556"/>
      <c r="K60" s="1556"/>
      <c r="L60" s="1556"/>
      <c r="M60" s="1556"/>
    </row>
    <row r="61" spans="1:13" x14ac:dyDescent="0.2">
      <c r="A61" s="1073" t="s">
        <v>599</v>
      </c>
      <c r="B61" s="1088"/>
      <c r="C61" s="1088"/>
      <c r="D61" s="1447"/>
      <c r="E61" s="1088"/>
      <c r="F61" s="1088"/>
      <c r="G61" s="1088"/>
      <c r="H61" s="1088"/>
      <c r="I61" s="1088"/>
      <c r="J61" s="1088"/>
      <c r="K61" s="1088"/>
      <c r="L61" s="1088"/>
      <c r="M61" s="1088"/>
    </row>
    <row r="62" spans="1:13" x14ac:dyDescent="0.2">
      <c r="A62" s="1088"/>
      <c r="B62" s="1088"/>
      <c r="C62" s="1088"/>
      <c r="D62" s="1447"/>
      <c r="E62" s="1088"/>
      <c r="F62" s="1088"/>
      <c r="G62" s="1088"/>
      <c r="H62" s="1088"/>
      <c r="I62" s="1088"/>
      <c r="J62" s="1088"/>
      <c r="K62" s="1088"/>
      <c r="L62" s="1088"/>
      <c r="M62" s="1088"/>
    </row>
    <row r="63" spans="1:13" x14ac:dyDescent="0.2">
      <c r="A63" s="1073"/>
      <c r="B63" s="1088"/>
      <c r="C63" s="1088"/>
      <c r="D63" s="1447"/>
      <c r="E63" s="1088"/>
      <c r="F63" s="1088"/>
      <c r="G63" s="1088"/>
      <c r="H63" s="686"/>
      <c r="I63" s="686"/>
      <c r="J63" s="686"/>
      <c r="K63" s="686"/>
      <c r="L63" s="686"/>
    </row>
    <row r="64" spans="1:13" x14ac:dyDescent="0.2">
      <c r="B64" s="1556"/>
      <c r="C64" s="1556"/>
      <c r="D64" s="1556"/>
      <c r="E64" s="1556"/>
      <c r="F64" s="1556"/>
      <c r="G64" s="1556"/>
      <c r="H64" s="686"/>
      <c r="I64" s="686"/>
      <c r="J64" s="686"/>
      <c r="K64" s="686"/>
      <c r="L64" s="686"/>
    </row>
    <row r="65" spans="1:12" x14ac:dyDescent="0.2">
      <c r="A65" s="83"/>
      <c r="B65" s="1556"/>
      <c r="C65" s="1556"/>
      <c r="D65" s="1556"/>
      <c r="E65" s="1556"/>
      <c r="F65" s="1556"/>
      <c r="G65" s="1556"/>
      <c r="H65" s="686"/>
      <c r="I65" s="686"/>
      <c r="J65" s="686"/>
      <c r="K65" s="686"/>
      <c r="L65" s="686"/>
    </row>
    <row r="66" spans="1:12" x14ac:dyDescent="0.2">
      <c r="A66" s="686"/>
      <c r="B66" s="686"/>
      <c r="C66" s="686"/>
      <c r="D66" s="686"/>
      <c r="E66" s="686"/>
      <c r="F66" s="686"/>
      <c r="G66" s="686"/>
      <c r="H66" s="686"/>
      <c r="I66" s="686"/>
      <c r="J66" s="686"/>
      <c r="K66" s="686"/>
      <c r="L66" s="686"/>
    </row>
    <row r="67" spans="1:12" x14ac:dyDescent="0.2">
      <c r="A67" s="686"/>
      <c r="B67" s="686"/>
      <c r="C67" s="686"/>
      <c r="D67" s="686"/>
      <c r="E67" s="686"/>
      <c r="F67" s="686"/>
      <c r="G67" s="686"/>
      <c r="H67" s="686"/>
      <c r="I67" s="686"/>
      <c r="J67" s="686"/>
      <c r="K67" s="686"/>
      <c r="L67" s="686"/>
    </row>
    <row r="68" spans="1:12" x14ac:dyDescent="0.2">
      <c r="A68" s="686"/>
      <c r="B68" s="686"/>
      <c r="C68" s="686"/>
      <c r="D68" s="686"/>
      <c r="E68" s="686"/>
      <c r="F68" s="686"/>
      <c r="G68" s="686"/>
      <c r="H68" s="686"/>
      <c r="I68" s="686"/>
      <c r="J68" s="686"/>
      <c r="K68" s="686"/>
      <c r="L68" s="686"/>
    </row>
    <row r="69" spans="1:12" x14ac:dyDescent="0.2">
      <c r="A69" s="686"/>
      <c r="B69" s="686"/>
      <c r="C69" s="686"/>
      <c r="D69" s="686"/>
      <c r="E69" s="686"/>
      <c r="F69" s="686"/>
      <c r="G69" s="686"/>
      <c r="H69" s="686"/>
      <c r="I69" s="686"/>
      <c r="J69" s="686"/>
      <c r="K69" s="686"/>
      <c r="L69" s="686"/>
    </row>
    <row r="70" spans="1:12" x14ac:dyDescent="0.2">
      <c r="A70" s="686"/>
      <c r="B70" s="686"/>
      <c r="C70" s="686"/>
      <c r="D70" s="686"/>
      <c r="E70" s="686"/>
      <c r="F70" s="686"/>
      <c r="G70" s="686"/>
      <c r="H70" s="686"/>
      <c r="I70" s="686"/>
      <c r="J70" s="686"/>
      <c r="K70" s="686"/>
      <c r="L70" s="686"/>
    </row>
    <row r="71" spans="1:12" x14ac:dyDescent="0.2">
      <c r="A71" s="686"/>
      <c r="B71" s="686"/>
      <c r="C71" s="686"/>
      <c r="D71" s="686"/>
      <c r="E71" s="686"/>
      <c r="F71" s="686"/>
      <c r="G71" s="686"/>
      <c r="H71" s="686"/>
      <c r="I71" s="686"/>
      <c r="J71" s="686"/>
      <c r="K71" s="686"/>
      <c r="L71" s="686"/>
    </row>
    <row r="72" spans="1:12" x14ac:dyDescent="0.2">
      <c r="A72" s="686"/>
      <c r="B72" s="686"/>
      <c r="C72" s="686"/>
      <c r="D72" s="686"/>
      <c r="E72" s="686"/>
      <c r="F72" s="686"/>
      <c r="G72" s="686"/>
      <c r="H72" s="686"/>
      <c r="I72" s="686"/>
      <c r="J72" s="686"/>
      <c r="K72" s="686"/>
      <c r="L72" s="686"/>
    </row>
    <row r="73" spans="1:12" x14ac:dyDescent="0.2">
      <c r="A73" s="686"/>
      <c r="B73" s="686"/>
      <c r="C73" s="686"/>
      <c r="D73" s="686"/>
      <c r="E73" s="686"/>
      <c r="F73" s="686"/>
      <c r="G73" s="686"/>
      <c r="H73" s="686"/>
      <c r="I73" s="686"/>
      <c r="J73" s="686"/>
      <c r="K73" s="686"/>
      <c r="L73" s="686"/>
    </row>
    <row r="74" spans="1:12" x14ac:dyDescent="0.2">
      <c r="A74" s="686"/>
      <c r="B74" s="686"/>
      <c r="C74" s="686"/>
      <c r="D74" s="686"/>
      <c r="E74" s="686"/>
      <c r="F74" s="686"/>
      <c r="G74" s="686"/>
      <c r="H74" s="686"/>
      <c r="I74" s="686"/>
      <c r="J74" s="686"/>
      <c r="K74" s="686"/>
      <c r="L74" s="686"/>
    </row>
    <row r="75" spans="1:12" x14ac:dyDescent="0.2">
      <c r="A75" s="686"/>
      <c r="B75" s="686"/>
      <c r="C75" s="686"/>
      <c r="D75" s="686"/>
      <c r="E75" s="686"/>
      <c r="F75" s="686"/>
      <c r="G75" s="686"/>
      <c r="H75" s="686"/>
      <c r="I75" s="686"/>
      <c r="J75" s="686"/>
      <c r="K75" s="686"/>
      <c r="L75" s="686"/>
    </row>
    <row r="76" spans="1:12" x14ac:dyDescent="0.2">
      <c r="A76" s="686"/>
      <c r="B76" s="686"/>
      <c r="C76" s="686"/>
      <c r="D76" s="686"/>
      <c r="E76" s="686"/>
      <c r="F76" s="686"/>
      <c r="G76" s="686"/>
      <c r="H76" s="686"/>
      <c r="I76" s="686"/>
      <c r="J76" s="686"/>
      <c r="K76" s="686"/>
      <c r="L76" s="686"/>
    </row>
    <row r="77" spans="1:12" x14ac:dyDescent="0.2">
      <c r="A77" s="686"/>
      <c r="B77" s="686"/>
      <c r="C77" s="686"/>
      <c r="D77" s="686"/>
      <c r="E77" s="686"/>
      <c r="F77" s="686"/>
      <c r="G77" s="686"/>
      <c r="H77" s="686"/>
      <c r="I77" s="686"/>
      <c r="J77" s="686"/>
      <c r="K77" s="686"/>
      <c r="L77" s="686"/>
    </row>
    <row r="78" spans="1:12" x14ac:dyDescent="0.2">
      <c r="A78" s="686"/>
      <c r="B78" s="686"/>
      <c r="C78" s="686"/>
      <c r="D78" s="686"/>
      <c r="E78" s="686"/>
      <c r="F78" s="686"/>
      <c r="G78" s="686"/>
      <c r="H78" s="686"/>
      <c r="I78" s="686"/>
      <c r="J78" s="686"/>
      <c r="K78" s="686"/>
      <c r="L78" s="686"/>
    </row>
    <row r="79" spans="1:12" x14ac:dyDescent="0.2">
      <c r="A79" s="686"/>
      <c r="B79" s="686"/>
      <c r="C79" s="686"/>
      <c r="D79" s="686"/>
      <c r="E79" s="686"/>
      <c r="F79" s="686"/>
      <c r="G79" s="686"/>
      <c r="H79" s="686"/>
      <c r="I79" s="686"/>
      <c r="J79" s="686"/>
      <c r="K79" s="686"/>
      <c r="L79" s="686"/>
    </row>
    <row r="80" spans="1:12" x14ac:dyDescent="0.2">
      <c r="A80" s="686"/>
      <c r="B80" s="686"/>
      <c r="C80" s="686"/>
      <c r="D80" s="686"/>
      <c r="E80" s="686"/>
      <c r="F80" s="686"/>
      <c r="G80" s="686"/>
      <c r="H80" s="686"/>
      <c r="I80" s="686"/>
      <c r="J80" s="686"/>
      <c r="K80" s="686"/>
      <c r="L80" s="686"/>
    </row>
    <row r="81" spans="1:12" x14ac:dyDescent="0.2">
      <c r="A81" s="686"/>
      <c r="B81" s="686"/>
      <c r="C81" s="686"/>
      <c r="D81" s="686"/>
      <c r="E81" s="686"/>
      <c r="F81" s="686"/>
      <c r="G81" s="686"/>
      <c r="H81" s="686"/>
      <c r="I81" s="686"/>
      <c r="J81" s="686"/>
      <c r="K81" s="686"/>
      <c r="L81" s="686"/>
    </row>
    <row r="82" spans="1:12" x14ac:dyDescent="0.2">
      <c r="A82" s="686"/>
      <c r="B82" s="686"/>
      <c r="C82" s="686"/>
      <c r="D82" s="686"/>
      <c r="E82" s="686"/>
      <c r="F82" s="686"/>
      <c r="G82" s="686"/>
      <c r="H82" s="686"/>
      <c r="I82" s="686"/>
      <c r="J82" s="686"/>
      <c r="K82" s="686"/>
      <c r="L82" s="686"/>
    </row>
    <row r="83" spans="1:12" x14ac:dyDescent="0.2">
      <c r="A83" s="686"/>
      <c r="B83" s="686"/>
      <c r="C83" s="686"/>
      <c r="D83" s="686"/>
      <c r="E83" s="686"/>
      <c r="F83" s="686"/>
      <c r="G83" s="686"/>
      <c r="H83" s="686"/>
      <c r="I83" s="686"/>
      <c r="J83" s="686"/>
      <c r="K83" s="686"/>
      <c r="L83" s="686"/>
    </row>
    <row r="84" spans="1:12" x14ac:dyDescent="0.2">
      <c r="A84" s="686"/>
      <c r="B84" s="686"/>
      <c r="C84" s="686"/>
      <c r="D84" s="686"/>
      <c r="E84" s="686"/>
      <c r="F84" s="686"/>
      <c r="G84" s="686"/>
      <c r="H84" s="686"/>
      <c r="I84" s="686"/>
      <c r="J84" s="686"/>
      <c r="K84" s="686"/>
      <c r="L84" s="686"/>
    </row>
    <row r="85" spans="1:12" x14ac:dyDescent="0.2">
      <c r="A85" s="686"/>
      <c r="B85" s="686"/>
      <c r="C85" s="686"/>
      <c r="D85" s="686"/>
      <c r="E85" s="686"/>
      <c r="F85" s="686"/>
      <c r="G85" s="686"/>
      <c r="H85" s="686"/>
      <c r="I85" s="686"/>
      <c r="J85" s="686"/>
      <c r="K85" s="686"/>
      <c r="L85" s="686"/>
    </row>
    <row r="86" spans="1:12" x14ac:dyDescent="0.2">
      <c r="A86" s="686"/>
      <c r="B86" s="686"/>
      <c r="C86" s="686"/>
      <c r="D86" s="686"/>
      <c r="E86" s="686"/>
      <c r="F86" s="686"/>
      <c r="G86" s="686"/>
      <c r="H86" s="686"/>
      <c r="I86" s="686"/>
      <c r="J86" s="686"/>
      <c r="K86" s="686"/>
      <c r="L86" s="686"/>
    </row>
    <row r="87" spans="1:12" x14ac:dyDescent="0.2">
      <c r="A87" s="686"/>
      <c r="B87" s="686"/>
      <c r="C87" s="686"/>
      <c r="D87" s="686"/>
      <c r="E87" s="686"/>
      <c r="F87" s="686"/>
      <c r="G87" s="686"/>
      <c r="H87" s="686"/>
      <c r="I87" s="686"/>
      <c r="J87" s="686"/>
      <c r="K87" s="686"/>
      <c r="L87" s="686"/>
    </row>
    <row r="88" spans="1:12" x14ac:dyDescent="0.2">
      <c r="A88" s="686"/>
      <c r="B88" s="686"/>
      <c r="C88" s="686"/>
      <c r="D88" s="686"/>
      <c r="E88" s="686"/>
      <c r="F88" s="686"/>
      <c r="G88" s="686"/>
      <c r="H88" s="686"/>
      <c r="I88" s="686"/>
      <c r="J88" s="686"/>
      <c r="K88" s="686"/>
      <c r="L88" s="686"/>
    </row>
    <row r="89" spans="1:12" x14ac:dyDescent="0.2">
      <c r="A89" s="686"/>
      <c r="B89" s="686"/>
      <c r="C89" s="686"/>
      <c r="D89" s="686"/>
      <c r="E89" s="686"/>
      <c r="F89" s="686"/>
      <c r="G89" s="686"/>
      <c r="H89" s="686"/>
      <c r="I89" s="686"/>
      <c r="J89" s="686"/>
      <c r="K89" s="686"/>
      <c r="L89" s="686"/>
    </row>
    <row r="90" spans="1:12" x14ac:dyDescent="0.2">
      <c r="A90" s="686"/>
      <c r="B90" s="686"/>
      <c r="C90" s="686"/>
      <c r="D90" s="686"/>
      <c r="E90" s="686"/>
      <c r="F90" s="686"/>
      <c r="G90" s="686"/>
      <c r="H90" s="686"/>
      <c r="I90" s="686"/>
      <c r="J90" s="686"/>
      <c r="K90" s="686"/>
      <c r="L90" s="686"/>
    </row>
    <row r="91" spans="1:12" x14ac:dyDescent="0.2">
      <c r="A91" s="686"/>
      <c r="B91" s="686"/>
      <c r="C91" s="686"/>
      <c r="D91" s="686"/>
      <c r="E91" s="686"/>
      <c r="F91" s="686"/>
      <c r="G91" s="686"/>
      <c r="H91" s="686"/>
      <c r="I91" s="686"/>
      <c r="J91" s="686"/>
      <c r="K91" s="686"/>
      <c r="L91" s="686"/>
    </row>
    <row r="92" spans="1:12" x14ac:dyDescent="0.2">
      <c r="A92" s="686"/>
      <c r="B92" s="686"/>
      <c r="C92" s="686"/>
      <c r="D92" s="686"/>
      <c r="E92" s="686"/>
      <c r="F92" s="686"/>
      <c r="G92" s="686"/>
      <c r="H92" s="686"/>
      <c r="I92" s="686"/>
      <c r="J92" s="686"/>
      <c r="K92" s="686"/>
      <c r="L92" s="686"/>
    </row>
    <row r="93" spans="1:12" x14ac:dyDescent="0.2">
      <c r="A93" s="686"/>
      <c r="B93" s="686"/>
      <c r="C93" s="686"/>
      <c r="D93" s="686"/>
      <c r="E93" s="686"/>
      <c r="F93" s="686"/>
      <c r="G93" s="686"/>
      <c r="H93" s="686"/>
      <c r="I93" s="686"/>
      <c r="J93" s="686"/>
      <c r="K93" s="686"/>
      <c r="L93" s="686"/>
    </row>
    <row r="94" spans="1:12" x14ac:dyDescent="0.2">
      <c r="A94" s="686"/>
      <c r="B94" s="686"/>
      <c r="C94" s="686"/>
      <c r="D94" s="686"/>
      <c r="E94" s="686"/>
      <c r="F94" s="686"/>
      <c r="G94" s="686"/>
      <c r="H94" s="686"/>
      <c r="I94" s="686"/>
      <c r="J94" s="686"/>
      <c r="K94" s="686"/>
      <c r="L94" s="686"/>
    </row>
    <row r="95" spans="1:12" x14ac:dyDescent="0.2">
      <c r="A95" s="686"/>
      <c r="B95" s="686"/>
      <c r="C95" s="686"/>
      <c r="D95" s="686"/>
      <c r="E95" s="686"/>
      <c r="F95" s="686"/>
      <c r="G95" s="686"/>
      <c r="H95" s="686"/>
      <c r="I95" s="686"/>
      <c r="J95" s="686"/>
      <c r="K95" s="686"/>
      <c r="L95" s="686"/>
    </row>
    <row r="96" spans="1:12" x14ac:dyDescent="0.2">
      <c r="A96" s="686"/>
      <c r="B96" s="686"/>
      <c r="C96" s="686"/>
      <c r="D96" s="686"/>
      <c r="E96" s="686"/>
      <c r="F96" s="686"/>
      <c r="G96" s="686"/>
      <c r="H96" s="686"/>
      <c r="I96" s="686"/>
      <c r="J96" s="686"/>
      <c r="K96" s="686"/>
      <c r="L96" s="686"/>
    </row>
    <row r="97" spans="1:12" x14ac:dyDescent="0.2">
      <c r="A97" s="686"/>
      <c r="B97" s="686"/>
      <c r="C97" s="686"/>
      <c r="D97" s="686"/>
      <c r="E97" s="686"/>
      <c r="F97" s="686"/>
      <c r="G97" s="686"/>
      <c r="H97" s="686"/>
      <c r="I97" s="686"/>
      <c r="J97" s="686"/>
      <c r="K97" s="686"/>
      <c r="L97" s="686"/>
    </row>
    <row r="98" spans="1:12" x14ac:dyDescent="0.2">
      <c r="A98" s="686"/>
      <c r="B98" s="686"/>
      <c r="C98" s="686"/>
      <c r="D98" s="686"/>
      <c r="E98" s="686"/>
      <c r="F98" s="686"/>
      <c r="G98" s="686"/>
      <c r="H98" s="686"/>
      <c r="I98" s="686"/>
      <c r="J98" s="686"/>
      <c r="K98" s="686"/>
      <c r="L98" s="686"/>
    </row>
    <row r="99" spans="1:12" x14ac:dyDescent="0.2">
      <c r="A99" s="686"/>
      <c r="B99" s="686"/>
      <c r="C99" s="686"/>
      <c r="D99" s="686"/>
      <c r="E99" s="686"/>
      <c r="F99" s="686"/>
      <c r="G99" s="686"/>
      <c r="H99" s="686"/>
      <c r="I99" s="686"/>
      <c r="J99" s="686"/>
      <c r="K99" s="686"/>
      <c r="L99" s="686"/>
    </row>
    <row r="100" spans="1:12" x14ac:dyDescent="0.2">
      <c r="A100" s="686"/>
      <c r="B100" s="686"/>
      <c r="C100" s="686"/>
      <c r="D100" s="686"/>
      <c r="E100" s="686"/>
      <c r="F100" s="686"/>
      <c r="G100" s="686"/>
      <c r="H100" s="686"/>
      <c r="I100" s="686"/>
      <c r="J100" s="686"/>
      <c r="K100" s="686"/>
      <c r="L100" s="686"/>
    </row>
    <row r="101" spans="1:12" x14ac:dyDescent="0.2">
      <c r="A101" s="686"/>
      <c r="B101" s="686"/>
      <c r="C101" s="686"/>
      <c r="D101" s="686"/>
      <c r="E101" s="686"/>
      <c r="F101" s="686"/>
      <c r="G101" s="686"/>
      <c r="H101" s="686"/>
      <c r="I101" s="686"/>
      <c r="J101" s="686"/>
      <c r="K101" s="686"/>
      <c r="L101" s="686"/>
    </row>
    <row r="102" spans="1:12" x14ac:dyDescent="0.2">
      <c r="A102" s="686"/>
      <c r="B102" s="686"/>
      <c r="C102" s="686"/>
      <c r="D102" s="686"/>
      <c r="E102" s="686"/>
      <c r="F102" s="686"/>
      <c r="G102" s="686"/>
      <c r="H102" s="686"/>
      <c r="I102" s="686"/>
      <c r="J102" s="686"/>
      <c r="K102" s="686"/>
      <c r="L102" s="686"/>
    </row>
    <row r="103" spans="1:12" x14ac:dyDescent="0.2">
      <c r="A103" s="686"/>
      <c r="B103" s="686"/>
      <c r="C103" s="686"/>
      <c r="D103" s="686"/>
      <c r="E103" s="686"/>
      <c r="F103" s="686"/>
      <c r="G103" s="686"/>
      <c r="H103" s="686"/>
      <c r="I103" s="686"/>
      <c r="J103" s="686"/>
      <c r="K103" s="686"/>
      <c r="L103" s="686"/>
    </row>
    <row r="104" spans="1:12" x14ac:dyDescent="0.2">
      <c r="A104" s="686"/>
      <c r="B104" s="686"/>
      <c r="C104" s="686"/>
      <c r="D104" s="686"/>
      <c r="E104" s="686"/>
      <c r="F104" s="686"/>
      <c r="G104" s="686"/>
      <c r="H104" s="686"/>
      <c r="I104" s="686"/>
      <c r="J104" s="686"/>
      <c r="K104" s="686"/>
      <c r="L104" s="686"/>
    </row>
    <row r="105" spans="1:12" x14ac:dyDescent="0.2">
      <c r="A105" s="686"/>
      <c r="B105" s="686"/>
      <c r="C105" s="686"/>
      <c r="D105" s="686"/>
      <c r="E105" s="686"/>
      <c r="F105" s="686"/>
      <c r="G105" s="686"/>
      <c r="H105" s="686"/>
      <c r="I105" s="686"/>
      <c r="J105" s="686"/>
      <c r="K105" s="686"/>
      <c r="L105" s="686"/>
    </row>
    <row r="106" spans="1:12" x14ac:dyDescent="0.2">
      <c r="A106" s="686"/>
      <c r="B106" s="686"/>
      <c r="C106" s="686"/>
      <c r="D106" s="686"/>
      <c r="E106" s="686"/>
      <c r="F106" s="686"/>
      <c r="G106" s="686"/>
      <c r="H106" s="686"/>
      <c r="I106" s="686"/>
      <c r="J106" s="686"/>
      <c r="K106" s="686"/>
      <c r="L106" s="686"/>
    </row>
    <row r="107" spans="1:12" x14ac:dyDescent="0.2">
      <c r="A107" s="686"/>
      <c r="B107" s="686"/>
      <c r="C107" s="686"/>
      <c r="D107" s="686"/>
      <c r="E107" s="686"/>
      <c r="F107" s="686"/>
      <c r="G107" s="686"/>
      <c r="H107" s="686"/>
      <c r="I107" s="686"/>
      <c r="J107" s="686"/>
      <c r="K107" s="686"/>
      <c r="L107" s="686"/>
    </row>
    <row r="108" spans="1:12" x14ac:dyDescent="0.2">
      <c r="A108" s="686"/>
      <c r="B108" s="686"/>
      <c r="C108" s="686"/>
      <c r="D108" s="686"/>
      <c r="E108" s="686"/>
      <c r="F108" s="686"/>
      <c r="G108" s="686"/>
      <c r="H108" s="686"/>
      <c r="I108" s="686"/>
      <c r="J108" s="686"/>
      <c r="K108" s="686"/>
      <c r="L108" s="686"/>
    </row>
    <row r="109" spans="1:12" x14ac:dyDescent="0.2">
      <c r="A109" s="686"/>
      <c r="B109" s="686"/>
      <c r="C109" s="686"/>
      <c r="D109" s="686"/>
      <c r="E109" s="686"/>
      <c r="F109" s="686"/>
      <c r="G109" s="686"/>
      <c r="H109" s="686"/>
      <c r="I109" s="686"/>
      <c r="J109" s="686"/>
      <c r="K109" s="686"/>
      <c r="L109" s="686"/>
    </row>
    <row r="110" spans="1:12" x14ac:dyDescent="0.2">
      <c r="A110" s="686"/>
      <c r="B110" s="686"/>
      <c r="C110" s="686"/>
      <c r="D110" s="686"/>
      <c r="E110" s="686"/>
      <c r="F110" s="686"/>
      <c r="G110" s="686"/>
      <c r="H110" s="686"/>
      <c r="I110" s="686"/>
      <c r="J110" s="686"/>
      <c r="K110" s="686"/>
      <c r="L110" s="686"/>
    </row>
    <row r="111" spans="1:12" x14ac:dyDescent="0.2">
      <c r="A111" s="686"/>
      <c r="B111" s="686"/>
      <c r="C111" s="686"/>
      <c r="D111" s="686"/>
      <c r="E111" s="686"/>
      <c r="F111" s="686"/>
      <c r="G111" s="686"/>
      <c r="H111" s="686"/>
      <c r="I111" s="686"/>
      <c r="J111" s="686"/>
      <c r="K111" s="686"/>
      <c r="L111" s="686"/>
    </row>
    <row r="112" spans="1:12" x14ac:dyDescent="0.2">
      <c r="A112" s="686"/>
      <c r="B112" s="686"/>
      <c r="C112" s="686"/>
      <c r="D112" s="686"/>
      <c r="E112" s="686"/>
      <c r="F112" s="686"/>
      <c r="G112" s="686"/>
      <c r="H112" s="686"/>
      <c r="I112" s="686"/>
      <c r="J112" s="686"/>
      <c r="K112" s="686"/>
      <c r="L112" s="686"/>
    </row>
    <row r="113" spans="1:12" x14ac:dyDescent="0.2">
      <c r="A113" s="686"/>
      <c r="B113" s="686"/>
      <c r="C113" s="686"/>
      <c r="D113" s="686"/>
      <c r="E113" s="686"/>
      <c r="F113" s="686"/>
      <c r="G113" s="686"/>
      <c r="H113" s="686"/>
      <c r="I113" s="686"/>
      <c r="J113" s="686"/>
      <c r="K113" s="686"/>
      <c r="L113" s="686"/>
    </row>
    <row r="114" spans="1:12" x14ac:dyDescent="0.2">
      <c r="A114" s="686"/>
      <c r="B114" s="686"/>
      <c r="C114" s="686"/>
      <c r="D114" s="686"/>
      <c r="E114" s="686"/>
      <c r="F114" s="686"/>
      <c r="G114" s="686"/>
      <c r="H114" s="686"/>
      <c r="I114" s="686"/>
      <c r="J114" s="686"/>
      <c r="K114" s="686"/>
      <c r="L114" s="686"/>
    </row>
    <row r="115" spans="1:12" x14ac:dyDescent="0.2">
      <c r="A115" s="686"/>
      <c r="B115" s="686"/>
      <c r="C115" s="686"/>
      <c r="D115" s="686"/>
      <c r="E115" s="686"/>
      <c r="F115" s="686"/>
      <c r="G115" s="686"/>
      <c r="H115" s="686"/>
      <c r="I115" s="686"/>
      <c r="J115" s="686"/>
      <c r="K115" s="686"/>
      <c r="L115" s="686"/>
    </row>
    <row r="116" spans="1:12" x14ac:dyDescent="0.2">
      <c r="A116" s="686"/>
      <c r="B116" s="686"/>
      <c r="C116" s="686"/>
      <c r="D116" s="686"/>
      <c r="E116" s="686"/>
      <c r="F116" s="686"/>
      <c r="G116" s="686"/>
      <c r="H116" s="686"/>
      <c r="I116" s="686"/>
      <c r="J116" s="686"/>
      <c r="K116" s="686"/>
      <c r="L116" s="686"/>
    </row>
    <row r="117" spans="1:12" x14ac:dyDescent="0.2">
      <c r="A117" s="686"/>
      <c r="B117" s="686"/>
      <c r="C117" s="686"/>
      <c r="D117" s="686"/>
      <c r="E117" s="686"/>
      <c r="F117" s="686"/>
      <c r="G117" s="686"/>
      <c r="H117" s="686"/>
      <c r="I117" s="686"/>
      <c r="J117" s="686"/>
      <c r="K117" s="686"/>
      <c r="L117" s="686"/>
    </row>
    <row r="118" spans="1:12" x14ac:dyDescent="0.2">
      <c r="A118" s="686"/>
      <c r="B118" s="686"/>
      <c r="C118" s="686"/>
      <c r="D118" s="686"/>
      <c r="E118" s="686"/>
      <c r="F118" s="686"/>
      <c r="G118" s="686"/>
      <c r="H118" s="686"/>
      <c r="I118" s="686"/>
      <c r="J118" s="686"/>
      <c r="K118" s="686"/>
      <c r="L118" s="686"/>
    </row>
    <row r="119" spans="1:12" x14ac:dyDescent="0.2">
      <c r="A119" s="686"/>
      <c r="B119" s="686"/>
      <c r="C119" s="686"/>
      <c r="D119" s="686"/>
      <c r="E119" s="686"/>
      <c r="F119" s="686"/>
      <c r="G119" s="686"/>
      <c r="H119" s="686"/>
      <c r="I119" s="686"/>
      <c r="J119" s="686"/>
      <c r="K119" s="686"/>
      <c r="L119" s="686"/>
    </row>
    <row r="120" spans="1:12" x14ac:dyDescent="0.2">
      <c r="A120" s="686"/>
      <c r="B120" s="686"/>
      <c r="C120" s="686"/>
      <c r="D120" s="686"/>
      <c r="E120" s="686"/>
      <c r="F120" s="686"/>
      <c r="G120" s="686"/>
      <c r="H120" s="686"/>
      <c r="I120" s="686"/>
      <c r="J120" s="686"/>
      <c r="K120" s="686"/>
      <c r="L120" s="686"/>
    </row>
    <row r="121" spans="1:12" x14ac:dyDescent="0.2">
      <c r="A121" s="686"/>
      <c r="B121" s="686"/>
      <c r="C121" s="686"/>
      <c r="D121" s="686"/>
      <c r="E121" s="686"/>
      <c r="F121" s="686"/>
      <c r="G121" s="686"/>
      <c r="H121" s="686"/>
      <c r="I121" s="686"/>
      <c r="J121" s="686"/>
      <c r="K121" s="686"/>
      <c r="L121" s="686"/>
    </row>
    <row r="122" spans="1:12" x14ac:dyDescent="0.2">
      <c r="A122" s="686"/>
      <c r="B122" s="686"/>
      <c r="C122" s="686"/>
      <c r="D122" s="686"/>
      <c r="E122" s="686"/>
      <c r="F122" s="686"/>
      <c r="G122" s="686"/>
      <c r="H122" s="686"/>
      <c r="I122" s="686"/>
      <c r="J122" s="686"/>
      <c r="K122" s="686"/>
      <c r="L122" s="686"/>
    </row>
    <row r="123" spans="1:12" x14ac:dyDescent="0.2">
      <c r="A123" s="686"/>
      <c r="B123" s="686"/>
      <c r="C123" s="686"/>
      <c r="D123" s="686"/>
      <c r="E123" s="686"/>
      <c r="F123" s="686"/>
      <c r="G123" s="686"/>
      <c r="H123" s="686"/>
      <c r="I123" s="686"/>
      <c r="J123" s="686"/>
      <c r="K123" s="686"/>
      <c r="L123" s="686"/>
    </row>
    <row r="124" spans="1:12" x14ac:dyDescent="0.2">
      <c r="A124" s="686"/>
      <c r="B124" s="686"/>
      <c r="C124" s="686"/>
      <c r="D124" s="686"/>
      <c r="E124" s="686"/>
      <c r="F124" s="686"/>
      <c r="G124" s="686"/>
      <c r="H124" s="686"/>
      <c r="I124" s="686"/>
      <c r="J124" s="686"/>
      <c r="K124" s="686"/>
      <c r="L124" s="686"/>
    </row>
    <row r="125" spans="1:12" x14ac:dyDescent="0.2">
      <c r="A125" s="686"/>
      <c r="B125" s="686"/>
      <c r="C125" s="686"/>
      <c r="D125" s="686"/>
      <c r="E125" s="686"/>
      <c r="F125" s="686"/>
      <c r="G125" s="686"/>
      <c r="H125" s="686"/>
      <c r="I125" s="686"/>
      <c r="J125" s="686"/>
      <c r="K125" s="686"/>
      <c r="L125" s="686"/>
    </row>
    <row r="126" spans="1:12" x14ac:dyDescent="0.2">
      <c r="A126" s="686"/>
      <c r="B126" s="686"/>
      <c r="C126" s="686"/>
      <c r="D126" s="686"/>
      <c r="E126" s="686"/>
      <c r="F126" s="686"/>
      <c r="G126" s="686"/>
      <c r="H126" s="686"/>
      <c r="I126" s="686"/>
      <c r="J126" s="686"/>
      <c r="K126" s="686"/>
      <c r="L126" s="686"/>
    </row>
    <row r="127" spans="1:12" x14ac:dyDescent="0.2">
      <c r="A127" s="686"/>
      <c r="B127" s="686"/>
      <c r="C127" s="686"/>
      <c r="D127" s="686"/>
      <c r="E127" s="686"/>
      <c r="F127" s="686"/>
      <c r="G127" s="686"/>
      <c r="H127" s="686"/>
      <c r="I127" s="686"/>
      <c r="J127" s="686"/>
      <c r="K127" s="686"/>
      <c r="L127" s="686"/>
    </row>
    <row r="128" spans="1:12" x14ac:dyDescent="0.2">
      <c r="A128" s="686"/>
      <c r="B128" s="686"/>
      <c r="C128" s="686"/>
      <c r="D128" s="686"/>
      <c r="E128" s="686"/>
      <c r="F128" s="686"/>
      <c r="G128" s="686"/>
      <c r="H128" s="686"/>
      <c r="I128" s="686"/>
      <c r="J128" s="686"/>
      <c r="K128" s="686"/>
      <c r="L128" s="686"/>
    </row>
    <row r="129" spans="1:12" x14ac:dyDescent="0.2">
      <c r="A129" s="686"/>
      <c r="B129" s="686"/>
      <c r="C129" s="686"/>
      <c r="D129" s="686"/>
      <c r="E129" s="686"/>
      <c r="F129" s="686"/>
      <c r="G129" s="686"/>
      <c r="H129" s="686"/>
      <c r="I129" s="686"/>
      <c r="J129" s="686"/>
      <c r="K129" s="686"/>
      <c r="L129" s="686"/>
    </row>
    <row r="130" spans="1:12" x14ac:dyDescent="0.2">
      <c r="A130" s="686"/>
      <c r="B130" s="686"/>
      <c r="C130" s="686"/>
      <c r="D130" s="686"/>
      <c r="E130" s="686"/>
      <c r="F130" s="686"/>
      <c r="G130" s="686"/>
      <c r="H130" s="686"/>
      <c r="I130" s="686"/>
      <c r="J130" s="686"/>
      <c r="K130" s="686"/>
      <c r="L130" s="686"/>
    </row>
    <row r="131" spans="1:12" x14ac:dyDescent="0.2">
      <c r="A131" s="686"/>
      <c r="B131" s="686"/>
      <c r="C131" s="686"/>
      <c r="D131" s="686"/>
      <c r="E131" s="686"/>
      <c r="F131" s="686"/>
      <c r="G131" s="686"/>
      <c r="H131" s="686"/>
      <c r="I131" s="686"/>
      <c r="J131" s="686"/>
      <c r="K131" s="686"/>
      <c r="L131" s="686"/>
    </row>
    <row r="132" spans="1:12" x14ac:dyDescent="0.2">
      <c r="A132" s="686"/>
      <c r="B132" s="686"/>
      <c r="C132" s="686"/>
      <c r="D132" s="686"/>
      <c r="E132" s="686"/>
      <c r="F132" s="686"/>
      <c r="G132" s="686"/>
      <c r="H132" s="686"/>
      <c r="I132" s="686"/>
      <c r="J132" s="686"/>
      <c r="K132" s="686"/>
      <c r="L132" s="686"/>
    </row>
    <row r="133" spans="1:12" x14ac:dyDescent="0.2">
      <c r="A133" s="686"/>
      <c r="B133" s="686"/>
      <c r="C133" s="686"/>
      <c r="D133" s="686"/>
      <c r="E133" s="686"/>
      <c r="F133" s="686"/>
      <c r="G133" s="686"/>
      <c r="H133" s="686"/>
      <c r="I133" s="686"/>
      <c r="J133" s="686"/>
      <c r="K133" s="686"/>
      <c r="L133" s="686"/>
    </row>
    <row r="134" spans="1:12" x14ac:dyDescent="0.2">
      <c r="A134" s="686"/>
      <c r="B134" s="686"/>
      <c r="C134" s="686"/>
      <c r="D134" s="686"/>
      <c r="E134" s="686"/>
      <c r="F134" s="686"/>
      <c r="G134" s="686"/>
      <c r="H134" s="686"/>
      <c r="I134" s="686"/>
      <c r="J134" s="686"/>
      <c r="K134" s="686"/>
      <c r="L134" s="686"/>
    </row>
  </sheetData>
  <mergeCells count="5">
    <mergeCell ref="B64:G65"/>
    <mergeCell ref="A59:M60"/>
    <mergeCell ref="A9:H9"/>
    <mergeCell ref="A10:H10"/>
    <mergeCell ref="I13:J13"/>
  </mergeCells>
  <dataValidations count="2">
    <dataValidation allowBlank="1" showInputMessage="1" showErrorMessage="1" promptTitle="Date Format" prompt="E.g:  &quot;August 1, 2011&quot;" sqref="M7"/>
    <dataValidation type="list" allowBlank="1" showInputMessage="1" showErrorMessage="1" sqref="B14:H14">
      <formula1>"CGAAP, MIFRS, USGAAP, ASPE"</formula1>
    </dataValidation>
  </dataValidations>
  <pageMargins left="0.75" right="0.75" top="1" bottom="1" header="0.5" footer="0.5"/>
  <pageSetup scale="48" fitToHeight="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7" tint="0.39997558519241921"/>
    <pageSetUpPr fitToPage="1"/>
  </sheetPr>
  <dimension ref="A1:N33"/>
  <sheetViews>
    <sheetView showGridLines="0" zoomScaleNormal="100" workbookViewId="0">
      <selection activeCell="A10" sqref="A10:H23"/>
    </sheetView>
  </sheetViews>
  <sheetFormatPr defaultRowHeight="12.75" x14ac:dyDescent="0.2"/>
  <cols>
    <col min="1" max="1" width="33.42578125" style="43" customWidth="1"/>
    <col min="2" max="3" width="17.85546875" style="43" hidden="1" customWidth="1"/>
    <col min="4" max="8" width="17.85546875" style="43" customWidth="1"/>
    <col min="9" max="9" width="3" style="43" customWidth="1"/>
    <col min="10" max="16384" width="9.140625" style="43"/>
  </cols>
  <sheetData>
    <row r="1" spans="1:14" x14ac:dyDescent="0.2">
      <c r="G1" s="562" t="s">
        <v>301</v>
      </c>
      <c r="H1" s="61" t="str">
        <f>EBNUMBER</f>
        <v>EB-2016-0066</v>
      </c>
    </row>
    <row r="2" spans="1:14" x14ac:dyDescent="0.2">
      <c r="G2" s="562" t="s">
        <v>302</v>
      </c>
      <c r="H2" s="62"/>
    </row>
    <row r="3" spans="1:14" x14ac:dyDescent="0.2">
      <c r="G3" s="562" t="s">
        <v>303</v>
      </c>
      <c r="H3" s="62"/>
    </row>
    <row r="4" spans="1:14" x14ac:dyDescent="0.2">
      <c r="G4" s="562" t="s">
        <v>304</v>
      </c>
      <c r="H4" s="62"/>
    </row>
    <row r="5" spans="1:14" x14ac:dyDescent="0.2">
      <c r="G5" s="562" t="s">
        <v>305</v>
      </c>
      <c r="H5" s="63"/>
    </row>
    <row r="6" spans="1:14" x14ac:dyDescent="0.2">
      <c r="G6" s="562"/>
      <c r="H6" s="61"/>
    </row>
    <row r="7" spans="1:14" x14ac:dyDescent="0.2">
      <c r="G7" s="562" t="s">
        <v>306</v>
      </c>
      <c r="H7" s="63"/>
    </row>
    <row r="8" spans="1:14" x14ac:dyDescent="0.2">
      <c r="H8" s="509"/>
    </row>
    <row r="9" spans="1:14" x14ac:dyDescent="0.2">
      <c r="H9" s="509"/>
    </row>
    <row r="10" spans="1:14" ht="18" x14ac:dyDescent="0.25">
      <c r="A10" s="1546" t="s">
        <v>871</v>
      </c>
      <c r="B10" s="1546"/>
      <c r="C10" s="1546"/>
      <c r="D10" s="1546"/>
      <c r="E10" s="1546"/>
      <c r="F10" s="1546"/>
      <c r="G10" s="1546"/>
      <c r="H10" s="1546"/>
    </row>
    <row r="11" spans="1:14" ht="18" x14ac:dyDescent="0.25">
      <c r="A11" s="1546" t="s">
        <v>604</v>
      </c>
      <c r="B11" s="1546"/>
      <c r="C11" s="1546"/>
      <c r="D11" s="1546"/>
      <c r="E11" s="1546"/>
      <c r="F11" s="1546"/>
      <c r="G11" s="1546"/>
      <c r="H11" s="1546"/>
    </row>
    <row r="12" spans="1:14" ht="13.5" thickBot="1" x14ac:dyDescent="0.25"/>
    <row r="13" spans="1:14" ht="39" thickBot="1" x14ac:dyDescent="0.25">
      <c r="A13" s="765" t="s">
        <v>119</v>
      </c>
      <c r="B13" s="684" t="str">
        <f>"Last Rebasing Year (" &amp; RebaseYear &amp; " Actuals)"</f>
        <v>Last Rebasing Year (2012 Actuals)</v>
      </c>
      <c r="C13" s="684" t="str">
        <f>"Last Rebasing Year (" &amp; RebaseYear &amp; " Actuals)"</f>
        <v>Last Rebasing Year (2012 Actuals)</v>
      </c>
      <c r="D13" s="766" t="s">
        <v>1306</v>
      </c>
      <c r="E13" s="684" t="str">
        <f>BridgeYear -2 &amp; " Actuals"</f>
        <v>2014 Actuals</v>
      </c>
      <c r="F13" s="684" t="str">
        <f>BridgeYear -1 &amp; " Actuals"</f>
        <v>2015 Actuals</v>
      </c>
      <c r="G13" s="684" t="str">
        <f>BridgeYear &amp; " Bridge Year"</f>
        <v>2016 Bridge Year</v>
      </c>
      <c r="H13" s="685" t="str">
        <f>TestYear &amp; " Test Year"</f>
        <v>2017 Test Year</v>
      </c>
    </row>
    <row r="14" spans="1:14" ht="13.5" thickBot="1" x14ac:dyDescent="0.25">
      <c r="A14" s="687" t="s">
        <v>103</v>
      </c>
      <c r="B14" s="688" t="s">
        <v>104</v>
      </c>
      <c r="C14" s="688" t="s">
        <v>104</v>
      </c>
      <c r="D14" s="688" t="s">
        <v>104</v>
      </c>
      <c r="E14" s="688" t="s">
        <v>104</v>
      </c>
      <c r="F14" s="688" t="s">
        <v>105</v>
      </c>
      <c r="G14" s="688" t="s">
        <v>105</v>
      </c>
      <c r="H14" s="689" t="s">
        <v>105</v>
      </c>
      <c r="N14" s="767"/>
    </row>
    <row r="15" spans="1:14" ht="13.5" thickBot="1" x14ac:dyDescent="0.25">
      <c r="A15" s="768" t="s">
        <v>236</v>
      </c>
      <c r="B15" s="769"/>
      <c r="C15" s="770">
        <v>2419402</v>
      </c>
      <c r="D15" s="770">
        <f>C23</f>
        <v>2219410</v>
      </c>
      <c r="E15" s="770">
        <f>D23</f>
        <v>2183052</v>
      </c>
      <c r="F15" s="770">
        <f>E23</f>
        <v>2252698</v>
      </c>
      <c r="G15" s="770">
        <f>F23</f>
        <v>2628718</v>
      </c>
      <c r="H15" s="770">
        <f>G23</f>
        <v>2996061</v>
      </c>
    </row>
    <row r="16" spans="1:14" x14ac:dyDescent="0.2">
      <c r="A16" s="772" t="s">
        <v>1356</v>
      </c>
      <c r="B16" s="332"/>
      <c r="C16" s="173">
        <v>-28491</v>
      </c>
      <c r="D16" s="173">
        <v>-21744</v>
      </c>
      <c r="E16" s="173">
        <v>32799</v>
      </c>
      <c r="F16" s="173">
        <v>-604</v>
      </c>
      <c r="G16" s="173">
        <v>16173</v>
      </c>
      <c r="H16" s="575">
        <v>253030</v>
      </c>
    </row>
    <row r="17" spans="1:8" x14ac:dyDescent="0.2">
      <c r="A17" s="772" t="s">
        <v>1357</v>
      </c>
      <c r="B17" s="173"/>
      <c r="C17" s="173">
        <v>99769</v>
      </c>
      <c r="D17" s="173">
        <v>-114399</v>
      </c>
      <c r="E17" s="173">
        <v>79101</v>
      </c>
      <c r="F17" s="173">
        <v>410050</v>
      </c>
      <c r="G17" s="173">
        <v>74977</v>
      </c>
      <c r="H17" s="575">
        <v>248527</v>
      </c>
    </row>
    <row r="18" spans="1:8" x14ac:dyDescent="0.2">
      <c r="A18" s="772" t="s">
        <v>1358</v>
      </c>
      <c r="B18" s="173"/>
      <c r="C18" s="173">
        <v>16470</v>
      </c>
      <c r="D18" s="173">
        <v>-8545</v>
      </c>
      <c r="E18" s="173">
        <v>25388</v>
      </c>
      <c r="F18" s="173">
        <v>-44899</v>
      </c>
      <c r="G18" s="173">
        <v>1485</v>
      </c>
      <c r="H18" s="575">
        <v>32204</v>
      </c>
    </row>
    <row r="19" spans="1:8" x14ac:dyDescent="0.2">
      <c r="A19" s="772" t="s">
        <v>1359</v>
      </c>
      <c r="B19" s="173"/>
      <c r="C19" s="173">
        <v>2658</v>
      </c>
      <c r="D19" s="173">
        <v>9579</v>
      </c>
      <c r="E19" s="173">
        <v>2350</v>
      </c>
      <c r="F19" s="173">
        <v>24642</v>
      </c>
      <c r="G19" s="173">
        <v>101092</v>
      </c>
      <c r="H19" s="575">
        <v>0</v>
      </c>
    </row>
    <row r="20" spans="1:8" x14ac:dyDescent="0.2">
      <c r="A20" s="772" t="s">
        <v>1360</v>
      </c>
      <c r="B20" s="173"/>
      <c r="C20" s="173">
        <v>-247716</v>
      </c>
      <c r="D20" s="173">
        <v>19478</v>
      </c>
      <c r="E20" s="173">
        <v>-33270</v>
      </c>
      <c r="F20" s="173">
        <v>-14280</v>
      </c>
      <c r="G20" s="173">
        <v>22476</v>
      </c>
      <c r="H20" s="575">
        <v>-1400</v>
      </c>
    </row>
    <row r="21" spans="1:8" x14ac:dyDescent="0.2">
      <c r="A21" s="1462" t="s">
        <v>1361</v>
      </c>
      <c r="B21" s="773"/>
      <c r="C21" s="773">
        <v>12995</v>
      </c>
      <c r="D21" s="773">
        <v>-6399</v>
      </c>
      <c r="E21" s="773">
        <v>-5124</v>
      </c>
      <c r="F21" s="773">
        <v>-18174</v>
      </c>
      <c r="G21" s="773">
        <v>9087</v>
      </c>
      <c r="H21" s="1463">
        <v>14550</v>
      </c>
    </row>
    <row r="22" spans="1:8" ht="13.5" thickBot="1" x14ac:dyDescent="0.25">
      <c r="A22" s="1464" t="s">
        <v>199</v>
      </c>
      <c r="B22" s="773"/>
      <c r="C22" s="257">
        <v>-55677</v>
      </c>
      <c r="D22" s="257">
        <v>85672</v>
      </c>
      <c r="E22" s="257">
        <v>-31598</v>
      </c>
      <c r="F22" s="257">
        <v>19285</v>
      </c>
      <c r="G22" s="257">
        <v>142053</v>
      </c>
      <c r="H22" s="596">
        <v>-3338</v>
      </c>
    </row>
    <row r="23" spans="1:8" ht="14.25" thickTop="1" thickBot="1" x14ac:dyDescent="0.25">
      <c r="A23" s="774" t="s">
        <v>263</v>
      </c>
      <c r="B23" s="775">
        <f>SUM(B15:B22)</f>
        <v>0</v>
      </c>
      <c r="C23" s="775">
        <f t="shared" ref="C23:H23" si="0">SUM(C15:C22)</f>
        <v>2219410</v>
      </c>
      <c r="D23" s="775">
        <f t="shared" si="0"/>
        <v>2183052</v>
      </c>
      <c r="E23" s="775">
        <f>SUM(E15:E22)</f>
        <v>2252698</v>
      </c>
      <c r="F23" s="775">
        <f t="shared" si="0"/>
        <v>2628718</v>
      </c>
      <c r="G23" s="775">
        <f t="shared" si="0"/>
        <v>2996061</v>
      </c>
      <c r="H23" s="775">
        <f t="shared" si="0"/>
        <v>3539634</v>
      </c>
    </row>
    <row r="25" spans="1:8" x14ac:dyDescent="0.2">
      <c r="A25" s="473" t="s">
        <v>11</v>
      </c>
    </row>
    <row r="26" spans="1:8" x14ac:dyDescent="0.2">
      <c r="A26" s="1436"/>
    </row>
    <row r="27" spans="1:8" x14ac:dyDescent="0.2">
      <c r="A27" s="473">
        <v>1</v>
      </c>
      <c r="B27" s="83" t="s">
        <v>951</v>
      </c>
    </row>
    <row r="28" spans="1:8" ht="26.25" customHeight="1" x14ac:dyDescent="0.2">
      <c r="A28" s="1437">
        <v>2</v>
      </c>
      <c r="B28" s="1805" t="s">
        <v>600</v>
      </c>
      <c r="C28" s="1805"/>
      <c r="D28" s="1805"/>
      <c r="E28" s="1805"/>
      <c r="F28" s="1805"/>
      <c r="G28" s="1805"/>
      <c r="H28" s="1805"/>
    </row>
    <row r="29" spans="1:8" x14ac:dyDescent="0.2">
      <c r="A29" s="473">
        <v>3</v>
      </c>
      <c r="B29" s="1891" t="s">
        <v>191</v>
      </c>
      <c r="C29" s="1891"/>
      <c r="D29" s="1891"/>
      <c r="E29" s="1891"/>
      <c r="F29" s="1891"/>
      <c r="G29" s="1891"/>
      <c r="H29" s="1891"/>
    </row>
    <row r="30" spans="1:8" x14ac:dyDescent="0.2">
      <c r="A30" s="473"/>
      <c r="B30" s="1891"/>
      <c r="C30" s="1891"/>
      <c r="D30" s="1891"/>
      <c r="E30" s="1891"/>
      <c r="F30" s="1891"/>
      <c r="G30" s="1891"/>
      <c r="H30" s="1891"/>
    </row>
    <row r="31" spans="1:8" ht="26.25" customHeight="1" x14ac:dyDescent="0.2">
      <c r="A31" s="473"/>
      <c r="B31" s="1891"/>
      <c r="C31" s="1891"/>
      <c r="D31" s="1891"/>
      <c r="E31" s="1891"/>
      <c r="F31" s="1891"/>
      <c r="G31" s="1891"/>
      <c r="H31" s="1891"/>
    </row>
    <row r="32" spans="1:8" x14ac:dyDescent="0.2">
      <c r="A32" s="473">
        <v>4</v>
      </c>
      <c r="B32" s="1556" t="s">
        <v>457</v>
      </c>
      <c r="C32" s="1556"/>
      <c r="D32" s="1556"/>
      <c r="E32" s="1892"/>
      <c r="F32" s="1892"/>
      <c r="G32" s="1892"/>
      <c r="H32" s="1892"/>
    </row>
    <row r="33" spans="2:8" ht="3.75" customHeight="1" x14ac:dyDescent="0.2">
      <c r="B33" s="1892"/>
      <c r="C33" s="1892"/>
      <c r="D33" s="1892"/>
      <c r="E33" s="1892"/>
      <c r="F33" s="1892"/>
      <c r="G33" s="1892"/>
      <c r="H33" s="1892"/>
    </row>
  </sheetData>
  <mergeCells count="5">
    <mergeCell ref="A10:H10"/>
    <mergeCell ref="A11:H11"/>
    <mergeCell ref="B29:H31"/>
    <mergeCell ref="B32:H33"/>
    <mergeCell ref="B28:H28"/>
  </mergeCells>
  <phoneticPr fontId="16" type="noConversion"/>
  <dataValidations count="2">
    <dataValidation allowBlank="1" showInputMessage="1" showErrorMessage="1" promptTitle="Date Format" prompt="E.g:  &quot;August 1, 2011&quot;" sqref="H7"/>
    <dataValidation type="list" allowBlank="1" showInputMessage="1" showErrorMessage="1" sqref="B14:H14">
      <formula1>"CGAAP, MIFRS, USGAAP, ASPE"</formula1>
    </dataValidation>
  </dataValidations>
  <pageMargins left="0.75" right="0.75" top="1" bottom="1" header="0.5" footer="0.5"/>
  <pageSetup scale="9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tabColor theme="7" tint="0.39997558519241921"/>
    <pageSetUpPr fitToPage="1"/>
  </sheetPr>
  <dimension ref="A1:J43"/>
  <sheetViews>
    <sheetView showGridLines="0" zoomScaleNormal="100" workbookViewId="0">
      <selection activeCell="A18" sqref="A18"/>
    </sheetView>
  </sheetViews>
  <sheetFormatPr defaultRowHeight="12.75" x14ac:dyDescent="0.2"/>
  <cols>
    <col min="1" max="1" width="38" style="43" customWidth="1"/>
    <col min="2" max="2" width="15" style="43" customWidth="1"/>
    <col min="3" max="4" width="16.28515625" style="43" customWidth="1"/>
    <col min="5" max="8" width="12.7109375" style="43" customWidth="1"/>
    <col min="9" max="9" width="18.7109375" style="43" customWidth="1"/>
    <col min="10" max="10" width="22.7109375" style="43" customWidth="1"/>
    <col min="11" max="16384" width="9.140625" style="43"/>
  </cols>
  <sheetData>
    <row r="1" spans="1:10" x14ac:dyDescent="0.2">
      <c r="I1" s="60" t="s">
        <v>301</v>
      </c>
      <c r="J1" s="61" t="str">
        <f>EBNUMBER</f>
        <v>EB-2016-0066</v>
      </c>
    </row>
    <row r="2" spans="1:10" x14ac:dyDescent="0.2">
      <c r="I2" s="60" t="s">
        <v>302</v>
      </c>
      <c r="J2" s="62"/>
    </row>
    <row r="3" spans="1:10" x14ac:dyDescent="0.2">
      <c r="I3" s="60" t="s">
        <v>303</v>
      </c>
      <c r="J3" s="62"/>
    </row>
    <row r="4" spans="1:10" x14ac:dyDescent="0.2">
      <c r="I4" s="60" t="s">
        <v>304</v>
      </c>
      <c r="J4" s="62"/>
    </row>
    <row r="5" spans="1:10" x14ac:dyDescent="0.2">
      <c r="I5" s="60" t="s">
        <v>305</v>
      </c>
      <c r="J5" s="63"/>
    </row>
    <row r="6" spans="1:10" x14ac:dyDescent="0.2">
      <c r="I6" s="60"/>
      <c r="J6" s="61"/>
    </row>
    <row r="7" spans="1:10" x14ac:dyDescent="0.2">
      <c r="I7" s="60" t="s">
        <v>306</v>
      </c>
      <c r="J7" s="63"/>
    </row>
    <row r="9" spans="1:10" ht="18" x14ac:dyDescent="0.25">
      <c r="A9" s="1555" t="s">
        <v>629</v>
      </c>
      <c r="B9" s="1555"/>
      <c r="C9" s="1555"/>
      <c r="D9" s="1555"/>
      <c r="E9" s="1555"/>
      <c r="F9" s="1555"/>
      <c r="G9" s="1555"/>
      <c r="H9" s="1555"/>
      <c r="I9" s="1555"/>
      <c r="J9" s="64"/>
    </row>
    <row r="10" spans="1:10" ht="18" x14ac:dyDescent="0.25">
      <c r="A10" s="1555" t="s">
        <v>749</v>
      </c>
      <c r="B10" s="1555"/>
      <c r="C10" s="1555"/>
      <c r="D10" s="1555"/>
      <c r="E10" s="1555"/>
      <c r="F10" s="1555"/>
      <c r="G10" s="1555"/>
      <c r="H10" s="1555"/>
      <c r="I10" s="1555"/>
      <c r="J10" s="64"/>
    </row>
    <row r="12" spans="1:10" ht="13.5" thickBot="1" x14ac:dyDescent="0.25">
      <c r="A12" s="1545"/>
      <c r="B12" s="1545"/>
      <c r="C12" s="1545"/>
      <c r="D12" s="1545"/>
      <c r="E12" s="1545"/>
      <c r="F12" s="1545"/>
      <c r="G12" s="1545"/>
      <c r="H12" s="1545"/>
      <c r="I12" s="1545"/>
    </row>
    <row r="13" spans="1:10" ht="63" customHeight="1" thickBot="1" x14ac:dyDescent="0.25">
      <c r="A13" s="65" t="s">
        <v>750</v>
      </c>
      <c r="B13" s="684" t="str">
        <f>"Last Rebasing Year (" &amp; RebaseYear &amp; " Board-Approved)"</f>
        <v>Last Rebasing Year (2012 Board-Approved)</v>
      </c>
      <c r="C13" s="684" t="str">
        <f>"Last Rebasing Year (" &amp; RebaseYear &amp; " Actuals)"</f>
        <v>Last Rebasing Year (2012 Actuals)</v>
      </c>
      <c r="D13" s="684" t="s">
        <v>1306</v>
      </c>
      <c r="E13" s="684" t="str">
        <f>BridgeYear -2 &amp; " Actuals"</f>
        <v>2014 Actuals</v>
      </c>
      <c r="F13" s="684" t="str">
        <f>BridgeYear -1 &amp; " Actuals"</f>
        <v>2015 Actuals</v>
      </c>
      <c r="G13" s="684" t="str">
        <f>BridgeYear &amp; " Bridge Year"</f>
        <v>2016 Bridge Year</v>
      </c>
      <c r="H13" s="685" t="str">
        <f>TestYear &amp; " Test Year"</f>
        <v>2017 Test Year</v>
      </c>
      <c r="I13" s="685" t="str">
        <f>"Variance 
(Test Year vs. " &amp; F13 &amp;")"</f>
        <v>Variance 
(Test Year vs. 2015 Actuals)</v>
      </c>
      <c r="J13" s="685" t="str">
        <f>"Variance 
(Test Year vs. " &amp; B13</f>
        <v>Variance 
(Test Year vs. Last Rebasing Year (2012 Board-Approved)</v>
      </c>
    </row>
    <row r="14" spans="1:10" ht="13.5" thickBot="1" x14ac:dyDescent="0.25">
      <c r="A14" s="687" t="s">
        <v>103</v>
      </c>
      <c r="B14" s="688"/>
      <c r="C14" s="688"/>
      <c r="D14" s="688"/>
      <c r="E14" s="688"/>
      <c r="F14" s="688"/>
      <c r="G14" s="688"/>
      <c r="H14" s="688"/>
      <c r="I14" s="688"/>
      <c r="J14" s="688"/>
    </row>
    <row r="15" spans="1:10" x14ac:dyDescent="0.2">
      <c r="A15" s="69"/>
      <c r="B15" s="75"/>
      <c r="C15" s="70"/>
      <c r="D15" s="70"/>
      <c r="E15" s="70"/>
      <c r="F15" s="70"/>
      <c r="G15" s="70"/>
      <c r="H15" s="70"/>
      <c r="I15" s="70"/>
      <c r="J15" s="70"/>
    </row>
    <row r="16" spans="1:10" x14ac:dyDescent="0.2">
      <c r="A16" s="69" t="s">
        <v>1362</v>
      </c>
      <c r="B16" s="776">
        <v>412000</v>
      </c>
      <c r="C16" s="71">
        <v>423100</v>
      </c>
      <c r="D16" s="71">
        <v>424333</v>
      </c>
      <c r="E16" s="71">
        <v>468632</v>
      </c>
      <c r="F16" s="71">
        <v>436822</v>
      </c>
      <c r="G16" s="71">
        <v>454989</v>
      </c>
      <c r="H16" s="71">
        <v>472941</v>
      </c>
      <c r="I16" s="777">
        <f>H16-F16</f>
        <v>36119</v>
      </c>
      <c r="J16" s="1485">
        <f t="shared" ref="J16:J32" si="0">H16-B16</f>
        <v>60941</v>
      </c>
    </row>
    <row r="17" spans="1:10" x14ac:dyDescent="0.2">
      <c r="A17" s="69" t="s">
        <v>1363</v>
      </c>
      <c r="B17" s="778">
        <v>253000</v>
      </c>
      <c r="C17" s="72">
        <v>64799</v>
      </c>
      <c r="D17" s="72">
        <v>84277</v>
      </c>
      <c r="E17" s="72">
        <v>51007</v>
      </c>
      <c r="F17" s="72">
        <v>36727</v>
      </c>
      <c r="G17" s="72">
        <v>59203</v>
      </c>
      <c r="H17" s="72">
        <v>75000</v>
      </c>
      <c r="I17" s="777">
        <f t="shared" ref="I17:I31" si="1">H17-F17</f>
        <v>38273</v>
      </c>
      <c r="J17" s="1485">
        <f t="shared" si="0"/>
        <v>-178000</v>
      </c>
    </row>
    <row r="18" spans="1:10" x14ac:dyDescent="0.2">
      <c r="A18" s="69" t="s">
        <v>1431</v>
      </c>
      <c r="B18" s="779">
        <v>100000</v>
      </c>
      <c r="C18" s="73">
        <v>126644</v>
      </c>
      <c r="D18" s="73">
        <v>135735</v>
      </c>
      <c r="E18" s="73">
        <v>159904</v>
      </c>
      <c r="F18" s="73">
        <v>180468</v>
      </c>
      <c r="G18" s="73">
        <v>170186</v>
      </c>
      <c r="H18" s="73">
        <v>395734</v>
      </c>
      <c r="I18" s="1485">
        <f>H18-F18</f>
        <v>215266</v>
      </c>
      <c r="J18" s="1485">
        <f t="shared" si="0"/>
        <v>295734</v>
      </c>
    </row>
    <row r="19" spans="1:10" x14ac:dyDescent="0.2">
      <c r="A19" s="69" t="s">
        <v>1364</v>
      </c>
      <c r="B19" s="779">
        <v>10000</v>
      </c>
      <c r="C19" s="73">
        <v>20659</v>
      </c>
      <c r="D19" s="73">
        <v>10567</v>
      </c>
      <c r="E19" s="73">
        <v>8549</v>
      </c>
      <c r="F19" s="73">
        <v>-12807</v>
      </c>
      <c r="G19" s="73">
        <v>-3654</v>
      </c>
      <c r="H19" s="73">
        <v>11822</v>
      </c>
      <c r="I19" s="777">
        <f t="shared" si="1"/>
        <v>24629</v>
      </c>
      <c r="J19" s="777">
        <f t="shared" si="0"/>
        <v>1822</v>
      </c>
    </row>
    <row r="20" spans="1:10" x14ac:dyDescent="0.2">
      <c r="A20" s="69" t="s">
        <v>1429</v>
      </c>
      <c r="B20" s="779">
        <v>664500</v>
      </c>
      <c r="C20" s="73">
        <v>572874</v>
      </c>
      <c r="D20" s="73">
        <v>564595</v>
      </c>
      <c r="E20" s="73">
        <v>589149</v>
      </c>
      <c r="F20" s="73">
        <v>604521</v>
      </c>
      <c r="G20" s="73">
        <v>722528</v>
      </c>
      <c r="H20" s="73">
        <v>1013853</v>
      </c>
      <c r="I20" s="1485">
        <f t="shared" si="1"/>
        <v>409332</v>
      </c>
      <c r="J20" s="1485">
        <f t="shared" si="0"/>
        <v>349353</v>
      </c>
    </row>
    <row r="21" spans="1:10" x14ac:dyDescent="0.2">
      <c r="A21" s="69" t="s">
        <v>1365</v>
      </c>
      <c r="B21" s="776">
        <v>109408</v>
      </c>
      <c r="C21" s="71">
        <v>146939</v>
      </c>
      <c r="D21" s="71">
        <v>249939</v>
      </c>
      <c r="E21" s="71">
        <v>33619</v>
      </c>
      <c r="F21" s="71">
        <v>68693</v>
      </c>
      <c r="G21" s="71">
        <v>200000</v>
      </c>
      <c r="H21" s="71">
        <v>150000</v>
      </c>
      <c r="I21" s="1485">
        <f t="shared" si="1"/>
        <v>81307</v>
      </c>
      <c r="J21" s="777">
        <f t="shared" si="0"/>
        <v>40592</v>
      </c>
    </row>
    <row r="22" spans="1:10" x14ac:dyDescent="0.2">
      <c r="A22" s="69" t="s">
        <v>1366</v>
      </c>
      <c r="B22" s="778">
        <v>88000</v>
      </c>
      <c r="C22" s="72">
        <v>83141</v>
      </c>
      <c r="D22" s="72">
        <v>82190</v>
      </c>
      <c r="E22" s="72">
        <v>86309</v>
      </c>
      <c r="F22" s="72">
        <v>79380</v>
      </c>
      <c r="G22" s="72">
        <v>81500</v>
      </c>
      <c r="H22" s="72">
        <v>84423</v>
      </c>
      <c r="I22" s="777">
        <f t="shared" si="1"/>
        <v>5043</v>
      </c>
      <c r="J22" s="777">
        <f t="shared" si="0"/>
        <v>-3577</v>
      </c>
    </row>
    <row r="23" spans="1:10" x14ac:dyDescent="0.2">
      <c r="A23" s="69" t="s">
        <v>1367</v>
      </c>
      <c r="B23" s="779">
        <v>150064</v>
      </c>
      <c r="C23" s="73">
        <v>113364</v>
      </c>
      <c r="D23" s="73">
        <v>114860</v>
      </c>
      <c r="E23" s="73">
        <v>92716</v>
      </c>
      <c r="F23" s="73">
        <v>308845</v>
      </c>
      <c r="G23" s="73">
        <v>407614</v>
      </c>
      <c r="H23" s="73">
        <v>452383</v>
      </c>
      <c r="I23" s="1485">
        <f t="shared" si="1"/>
        <v>143538</v>
      </c>
      <c r="J23" s="1485">
        <f t="shared" si="0"/>
        <v>302319</v>
      </c>
    </row>
    <row r="24" spans="1:10" x14ac:dyDescent="0.2">
      <c r="A24" s="69" t="s">
        <v>1368</v>
      </c>
      <c r="B24" s="779">
        <v>261000</v>
      </c>
      <c r="C24" s="73">
        <v>418226</v>
      </c>
      <c r="D24" s="73">
        <v>334112</v>
      </c>
      <c r="E24" s="73">
        <v>389962</v>
      </c>
      <c r="F24" s="73">
        <v>538606</v>
      </c>
      <c r="G24" s="73">
        <v>535707</v>
      </c>
      <c r="H24" s="73">
        <v>515286</v>
      </c>
      <c r="I24" s="777">
        <f t="shared" si="1"/>
        <v>-23320</v>
      </c>
      <c r="J24" s="1485">
        <f t="shared" si="0"/>
        <v>254286</v>
      </c>
    </row>
    <row r="25" spans="1:10" x14ac:dyDescent="0.2">
      <c r="A25" s="69" t="s">
        <v>1369</v>
      </c>
      <c r="B25" s="779">
        <v>202000</v>
      </c>
      <c r="C25" s="73">
        <v>177681</v>
      </c>
      <c r="D25" s="73">
        <v>126848</v>
      </c>
      <c r="E25" s="73">
        <v>154225</v>
      </c>
      <c r="F25" s="73">
        <v>166053</v>
      </c>
      <c r="G25" s="73">
        <v>148489</v>
      </c>
      <c r="H25" s="73">
        <v>154562</v>
      </c>
      <c r="I25" s="777">
        <f t="shared" si="1"/>
        <v>-11491</v>
      </c>
      <c r="J25" s="777">
        <f t="shared" si="0"/>
        <v>-47438</v>
      </c>
    </row>
    <row r="26" spans="1:10" x14ac:dyDescent="0.2">
      <c r="A26" s="69" t="s">
        <v>1370</v>
      </c>
      <c r="B26" s="776">
        <v>61000</v>
      </c>
      <c r="C26" s="71">
        <v>51209</v>
      </c>
      <c r="D26" s="71">
        <v>57925</v>
      </c>
      <c r="E26" s="71">
        <v>41344</v>
      </c>
      <c r="F26" s="71">
        <v>41825</v>
      </c>
      <c r="G26" s="71">
        <v>34000</v>
      </c>
      <c r="H26" s="71">
        <v>45264</v>
      </c>
      <c r="I26" s="777">
        <f t="shared" si="1"/>
        <v>3439</v>
      </c>
      <c r="J26" s="777">
        <f t="shared" si="0"/>
        <v>-15736</v>
      </c>
    </row>
    <row r="27" spans="1:10" x14ac:dyDescent="0.2">
      <c r="A27" s="69" t="s">
        <v>1371</v>
      </c>
      <c r="B27" s="778">
        <v>64000</v>
      </c>
      <c r="C27" s="72">
        <v>43108</v>
      </c>
      <c r="D27" s="72">
        <v>48640</v>
      </c>
      <c r="E27" s="72">
        <v>48239</v>
      </c>
      <c r="F27" s="72">
        <v>48039</v>
      </c>
      <c r="G27" s="72">
        <v>56000</v>
      </c>
      <c r="H27" s="72">
        <v>58700</v>
      </c>
      <c r="I27" s="777">
        <f t="shared" si="1"/>
        <v>10661</v>
      </c>
      <c r="J27" s="777">
        <f t="shared" si="0"/>
        <v>-5300</v>
      </c>
    </row>
    <row r="28" spans="1:10" x14ac:dyDescent="0.2">
      <c r="A28" s="69" t="s">
        <v>1372</v>
      </c>
      <c r="B28" s="779">
        <v>64000</v>
      </c>
      <c r="C28" s="73">
        <v>97212</v>
      </c>
      <c r="D28" s="73">
        <v>67038</v>
      </c>
      <c r="E28" s="73">
        <v>89280</v>
      </c>
      <c r="F28" s="73">
        <v>83638</v>
      </c>
      <c r="G28" s="73">
        <v>84292</v>
      </c>
      <c r="H28" s="73">
        <v>79434</v>
      </c>
      <c r="I28" s="777">
        <f t="shared" si="1"/>
        <v>-4204</v>
      </c>
      <c r="J28" s="777">
        <f t="shared" si="0"/>
        <v>15434</v>
      </c>
    </row>
    <row r="29" spans="1:10" x14ac:dyDescent="0.2">
      <c r="A29" s="69" t="s">
        <v>199</v>
      </c>
      <c r="B29" s="779">
        <v>10000</v>
      </c>
      <c r="C29" s="73">
        <v>-152155</v>
      </c>
      <c r="D29" s="73">
        <v>-146211</v>
      </c>
      <c r="E29" s="73">
        <v>9650</v>
      </c>
      <c r="F29" s="73">
        <v>12785</v>
      </c>
      <c r="G29" s="73">
        <v>10000</v>
      </c>
      <c r="H29" s="73">
        <v>18487</v>
      </c>
      <c r="I29" s="777">
        <f t="shared" si="1"/>
        <v>5702</v>
      </c>
      <c r="J29" s="777">
        <f t="shared" si="0"/>
        <v>8487</v>
      </c>
    </row>
    <row r="30" spans="1:10" x14ac:dyDescent="0.2">
      <c r="A30" s="74" t="s">
        <v>204</v>
      </c>
      <c r="B30" s="75">
        <f t="shared" ref="B30:H30" si="2">SUM(B16:B29)</f>
        <v>2448972</v>
      </c>
      <c r="C30" s="75">
        <f t="shared" si="2"/>
        <v>2186801</v>
      </c>
      <c r="D30" s="75">
        <f t="shared" si="2"/>
        <v>2154848</v>
      </c>
      <c r="E30" s="75">
        <f t="shared" si="2"/>
        <v>2222585</v>
      </c>
      <c r="F30" s="75">
        <f t="shared" si="2"/>
        <v>2593595</v>
      </c>
      <c r="G30" s="75">
        <f t="shared" si="2"/>
        <v>2960854</v>
      </c>
      <c r="H30" s="75">
        <f t="shared" si="2"/>
        <v>3527889</v>
      </c>
      <c r="I30" s="777">
        <f>H30-F30</f>
        <v>934294</v>
      </c>
      <c r="J30" s="777">
        <f t="shared" si="0"/>
        <v>1078917</v>
      </c>
    </row>
    <row r="31" spans="1:10" ht="13.5" thickBot="1" x14ac:dyDescent="0.25">
      <c r="A31" s="76" t="s">
        <v>199</v>
      </c>
      <c r="B31" s="778"/>
      <c r="C31" s="72"/>
      <c r="D31" s="72"/>
      <c r="E31" s="72"/>
      <c r="F31" s="72"/>
      <c r="G31" s="72"/>
      <c r="H31" s="72"/>
      <c r="I31" s="780">
        <f t="shared" si="1"/>
        <v>0</v>
      </c>
      <c r="J31" s="780">
        <f t="shared" si="0"/>
        <v>0</v>
      </c>
    </row>
    <row r="32" spans="1:10" ht="14.25" thickTop="1" thickBot="1" x14ac:dyDescent="0.25">
      <c r="A32" s="79" t="s">
        <v>295</v>
      </c>
      <c r="B32" s="79">
        <f t="shared" ref="B32:H32" si="3">SUMPRODUCT(--($A15:$A31="Sub-Total"), B$15:B$31)+B31</f>
        <v>2448972</v>
      </c>
      <c r="C32" s="79">
        <f t="shared" si="3"/>
        <v>2186801</v>
      </c>
      <c r="D32" s="79">
        <f t="shared" si="3"/>
        <v>2154848</v>
      </c>
      <c r="E32" s="79">
        <f t="shared" si="3"/>
        <v>2222585</v>
      </c>
      <c r="F32" s="79">
        <f t="shared" si="3"/>
        <v>2593595</v>
      </c>
      <c r="G32" s="79">
        <f t="shared" si="3"/>
        <v>2960854</v>
      </c>
      <c r="H32" s="79">
        <f t="shared" si="3"/>
        <v>3527889</v>
      </c>
      <c r="I32" s="79">
        <f>H32-F32</f>
        <v>934294</v>
      </c>
      <c r="J32" s="79">
        <f t="shared" si="0"/>
        <v>1078917</v>
      </c>
    </row>
    <row r="34" spans="1:10" x14ac:dyDescent="0.2">
      <c r="A34" s="82" t="s">
        <v>11</v>
      </c>
      <c r="H34" s="83"/>
    </row>
    <row r="36" spans="1:10" ht="27.75" customHeight="1" x14ac:dyDescent="0.2">
      <c r="A36" s="1556" t="s">
        <v>765</v>
      </c>
      <c r="B36" s="1556"/>
      <c r="C36" s="1556"/>
      <c r="D36" s="1556"/>
      <c r="E36" s="1556"/>
      <c r="F36" s="1556"/>
      <c r="G36" s="1556"/>
      <c r="H36" s="1556"/>
      <c r="I36" s="1556"/>
      <c r="J36" s="1556"/>
    </row>
    <row r="37" spans="1:10" ht="15" customHeight="1" x14ac:dyDescent="0.2">
      <c r="A37" s="1556" t="s">
        <v>868</v>
      </c>
      <c r="B37" s="1556"/>
      <c r="C37" s="1556"/>
      <c r="D37" s="1556"/>
      <c r="E37" s="1556"/>
      <c r="F37" s="1556"/>
      <c r="G37" s="1556"/>
      <c r="H37" s="1556"/>
      <c r="I37" s="1556"/>
      <c r="J37" s="1556"/>
    </row>
    <row r="38" spans="1:10" ht="27" customHeight="1" x14ac:dyDescent="0.2">
      <c r="A38" s="1556"/>
      <c r="B38" s="1557"/>
      <c r="C38" s="1557"/>
      <c r="D38" s="1557"/>
      <c r="E38" s="1557"/>
      <c r="F38" s="1557"/>
      <c r="G38" s="1557"/>
      <c r="H38" s="1557"/>
      <c r="I38" s="1557"/>
    </row>
    <row r="40" spans="1:10" x14ac:dyDescent="0.2">
      <c r="A40" s="1554"/>
      <c r="B40" s="1554"/>
      <c r="C40" s="1554"/>
      <c r="D40" s="1554"/>
      <c r="E40" s="1554"/>
      <c r="F40" s="1554"/>
      <c r="G40" s="1554"/>
      <c r="H40" s="1554"/>
      <c r="I40" s="1554"/>
      <c r="J40" s="1554"/>
    </row>
    <row r="41" spans="1:10" x14ac:dyDescent="0.2">
      <c r="A41" s="1554"/>
      <c r="B41" s="1554"/>
      <c r="C41" s="1554"/>
      <c r="D41" s="1554"/>
      <c r="E41" s="1554"/>
      <c r="F41" s="1554"/>
      <c r="G41" s="1554"/>
      <c r="H41" s="1554"/>
      <c r="I41" s="1554"/>
      <c r="J41" s="1554"/>
    </row>
    <row r="43" spans="1:10" x14ac:dyDescent="0.2">
      <c r="A43" s="60"/>
    </row>
  </sheetData>
  <mergeCells count="7">
    <mergeCell ref="A40:J41"/>
    <mergeCell ref="A9:I9"/>
    <mergeCell ref="A10:I10"/>
    <mergeCell ref="A12:I12"/>
    <mergeCell ref="A38:I38"/>
    <mergeCell ref="A36:J36"/>
    <mergeCell ref="A37:J37"/>
  </mergeCells>
  <dataValidations count="1">
    <dataValidation type="list" allowBlank="1" showInputMessage="1" showErrorMessage="1" sqref="B14:J14">
      <formula1>"CGAAP, MIFRS, USGAAP, ASPE"</formula1>
    </dataValidation>
  </dataValidations>
  <pageMargins left="0.75" right="0.75" top="1" bottom="1" header="0.5" footer="0.5"/>
  <pageSetup scale="51"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7" tint="0.39997558519241921"/>
    <pageSetUpPr autoPageBreaks="0" fitToPage="1"/>
  </sheetPr>
  <dimension ref="A1:I32"/>
  <sheetViews>
    <sheetView showGridLines="0" zoomScaleNormal="100" workbookViewId="0">
      <selection activeCell="A9" sqref="A9:H9"/>
    </sheetView>
  </sheetViews>
  <sheetFormatPr defaultRowHeight="12.75" x14ac:dyDescent="0.2"/>
  <cols>
    <col min="1" max="1" width="56.85546875" style="43" customWidth="1"/>
    <col min="2" max="7" width="15.7109375" style="43" customWidth="1"/>
    <col min="8" max="8" width="13.28515625" style="43" customWidth="1"/>
    <col min="9" max="16384" width="9.140625" style="43"/>
  </cols>
  <sheetData>
    <row r="1" spans="1:9" x14ac:dyDescent="0.2">
      <c r="G1" s="562" t="s">
        <v>301</v>
      </c>
      <c r="H1" s="1092" t="str">
        <f>EBNUMBER</f>
        <v>EB-2016-0066</v>
      </c>
    </row>
    <row r="2" spans="1:9" x14ac:dyDescent="0.2">
      <c r="G2" s="562" t="s">
        <v>302</v>
      </c>
      <c r="H2" s="62"/>
    </row>
    <row r="3" spans="1:9" x14ac:dyDescent="0.2">
      <c r="G3" s="562" t="s">
        <v>303</v>
      </c>
      <c r="H3" s="62"/>
    </row>
    <row r="4" spans="1:9" x14ac:dyDescent="0.2">
      <c r="G4" s="562" t="s">
        <v>304</v>
      </c>
      <c r="H4" s="62"/>
    </row>
    <row r="5" spans="1:9" x14ac:dyDescent="0.2">
      <c r="G5" s="562" t="s">
        <v>305</v>
      </c>
      <c r="H5" s="63"/>
    </row>
    <row r="6" spans="1:9" ht="9" customHeight="1" x14ac:dyDescent="0.2">
      <c r="G6" s="562"/>
      <c r="H6" s="61"/>
    </row>
    <row r="7" spans="1:9" x14ac:dyDescent="0.2">
      <c r="G7" s="562" t="s">
        <v>306</v>
      </c>
      <c r="H7" s="63"/>
    </row>
    <row r="8" spans="1:9" ht="9" customHeight="1" x14ac:dyDescent="0.2"/>
    <row r="9" spans="1:9" ht="17.25" customHeight="1" x14ac:dyDescent="0.25">
      <c r="A9" s="1546" t="s">
        <v>239</v>
      </c>
      <c r="B9" s="1546"/>
      <c r="C9" s="1546"/>
      <c r="D9" s="1546"/>
      <c r="E9" s="1546"/>
      <c r="F9" s="1546"/>
      <c r="G9" s="1546"/>
      <c r="H9" s="1546"/>
    </row>
    <row r="10" spans="1:9" ht="18" x14ac:dyDescent="0.25">
      <c r="A10" s="1546" t="s">
        <v>1</v>
      </c>
      <c r="B10" s="1546"/>
      <c r="C10" s="1546"/>
      <c r="D10" s="1546"/>
      <c r="E10" s="1546"/>
      <c r="F10" s="1546"/>
      <c r="G10" s="1546"/>
      <c r="H10" s="1546"/>
    </row>
    <row r="11" spans="1:9" ht="9" customHeight="1" thickBot="1" x14ac:dyDescent="0.25"/>
    <row r="12" spans="1:9" ht="51.75" thickBot="1" x14ac:dyDescent="0.25">
      <c r="A12" s="781"/>
      <c r="B12" s="782" t="str">
        <f>"Last Rebasing Year - "&amp;RebaseYear&amp;"- Board Approved"</f>
        <v>Last Rebasing Year - 2012- Board Approved</v>
      </c>
      <c r="C12" s="782" t="str">
        <f>"Last Rebasing Year - "&amp;RebaseYear&amp;"-  Actual"</f>
        <v>Last Rebasing Year - 2012-  Actual</v>
      </c>
      <c r="D12" s="782" t="s">
        <v>1306</v>
      </c>
      <c r="E12" s="684" t="str">
        <f>BridgeYear -2 &amp; " Actuals"</f>
        <v>2014 Actuals</v>
      </c>
      <c r="F12" s="684" t="str">
        <f>BridgeYear -1 &amp; " Actuals"</f>
        <v>2015 Actuals</v>
      </c>
      <c r="G12" s="684" t="str">
        <f>BridgeYear &amp; " Bridge Year"</f>
        <v>2016 Bridge Year</v>
      </c>
      <c r="H12" s="685" t="str">
        <f>TestYear &amp; " Test Year"</f>
        <v>2017 Test Year</v>
      </c>
      <c r="I12" s="681"/>
    </row>
    <row r="13" spans="1:9" ht="14.25" x14ac:dyDescent="0.2">
      <c r="A13" s="1897" t="s">
        <v>97</v>
      </c>
      <c r="B13" s="1898"/>
      <c r="C13" s="1898"/>
      <c r="D13" s="1898"/>
      <c r="E13" s="1898"/>
      <c r="F13" s="1898"/>
      <c r="G13" s="1898"/>
      <c r="H13" s="1899"/>
    </row>
    <row r="14" spans="1:9" x14ac:dyDescent="0.2">
      <c r="A14" s="680" t="s">
        <v>744</v>
      </c>
      <c r="B14" s="783">
        <v>4</v>
      </c>
      <c r="C14" s="783">
        <v>4</v>
      </c>
      <c r="D14" s="783">
        <v>4</v>
      </c>
      <c r="E14" s="783">
        <v>4</v>
      </c>
      <c r="F14" s="783">
        <v>4</v>
      </c>
      <c r="G14" s="783">
        <v>4</v>
      </c>
      <c r="H14" s="783">
        <f>4+2</f>
        <v>6</v>
      </c>
    </row>
    <row r="15" spans="1:9" x14ac:dyDescent="0.2">
      <c r="A15" s="680" t="s">
        <v>1305</v>
      </c>
      <c r="B15" s="783">
        <f>15+10+5</f>
        <v>30</v>
      </c>
      <c r="C15" s="783">
        <v>30</v>
      </c>
      <c r="D15" s="783">
        <v>31</v>
      </c>
      <c r="E15" s="783">
        <v>31</v>
      </c>
      <c r="F15" s="783">
        <v>31</v>
      </c>
      <c r="G15" s="783">
        <v>30</v>
      </c>
      <c r="H15" s="783">
        <v>32</v>
      </c>
    </row>
    <row r="16" spans="1:9" x14ac:dyDescent="0.2">
      <c r="A16" s="680" t="s">
        <v>295</v>
      </c>
      <c r="B16" s="784">
        <f t="shared" ref="B16:H16" si="0">SUM(B14:B15)</f>
        <v>34</v>
      </c>
      <c r="C16" s="784">
        <f t="shared" si="0"/>
        <v>34</v>
      </c>
      <c r="D16" s="784">
        <f t="shared" si="0"/>
        <v>35</v>
      </c>
      <c r="E16" s="784">
        <f t="shared" si="0"/>
        <v>35</v>
      </c>
      <c r="F16" s="784">
        <f t="shared" si="0"/>
        <v>35</v>
      </c>
      <c r="G16" s="784">
        <f t="shared" si="0"/>
        <v>34</v>
      </c>
      <c r="H16" s="784">
        <f t="shared" si="0"/>
        <v>38</v>
      </c>
    </row>
    <row r="17" spans="1:8" x14ac:dyDescent="0.2">
      <c r="A17" s="1894" t="s">
        <v>745</v>
      </c>
      <c r="B17" s="1895"/>
      <c r="C17" s="1895"/>
      <c r="D17" s="1895"/>
      <c r="E17" s="1895"/>
      <c r="F17" s="1895"/>
      <c r="G17" s="1895"/>
      <c r="H17" s="1896"/>
    </row>
    <row r="18" spans="1:8" x14ac:dyDescent="0.2">
      <c r="A18" s="680" t="s">
        <v>744</v>
      </c>
      <c r="B18" s="320">
        <f>392411</f>
        <v>392411</v>
      </c>
      <c r="C18" s="320">
        <v>398259</v>
      </c>
      <c r="D18" s="320">
        <v>424501</v>
      </c>
      <c r="E18" s="320">
        <v>449365.86</v>
      </c>
      <c r="F18" s="320">
        <v>497936.2</v>
      </c>
      <c r="G18" s="320">
        <f>261430.39*2</f>
        <v>522860.78</v>
      </c>
      <c r="H18" s="320">
        <f>G18*1.025+125000+100000</f>
        <v>760932.29949999996</v>
      </c>
    </row>
    <row r="19" spans="1:8" x14ac:dyDescent="0.2">
      <c r="A19" s="680" t="s">
        <v>1305</v>
      </c>
      <c r="B19" s="320">
        <f>42128+1064488+21709+6041</f>
        <v>1134366</v>
      </c>
      <c r="C19" s="320">
        <v>1178610</v>
      </c>
      <c r="D19" s="320">
        <v>1225817</v>
      </c>
      <c r="E19" s="320">
        <v>1241038.54</v>
      </c>
      <c r="F19" s="320">
        <v>1250189.1000000001</v>
      </c>
      <c r="G19" s="320">
        <f>588272.9*2</f>
        <v>1176545.8</v>
      </c>
      <c r="H19" s="320">
        <f>G19*1.025+120000+120000</f>
        <v>1445959.4449999998</v>
      </c>
    </row>
    <row r="20" spans="1:8" x14ac:dyDescent="0.2">
      <c r="A20" s="680" t="s">
        <v>295</v>
      </c>
      <c r="B20" s="785">
        <f t="shared" ref="B20:H20" si="1">SUM(B18:B19)</f>
        <v>1526777</v>
      </c>
      <c r="C20" s="785">
        <f t="shared" si="1"/>
        <v>1576869</v>
      </c>
      <c r="D20" s="785"/>
      <c r="E20" s="785">
        <f t="shared" si="1"/>
        <v>1690404.4</v>
      </c>
      <c r="F20" s="785">
        <f t="shared" si="1"/>
        <v>1748125.3</v>
      </c>
      <c r="G20" s="785">
        <f t="shared" si="1"/>
        <v>1699406.58</v>
      </c>
      <c r="H20" s="785">
        <f t="shared" si="1"/>
        <v>2206891.7445</v>
      </c>
    </row>
    <row r="21" spans="1:8" ht="14.25" x14ac:dyDescent="0.2">
      <c r="A21" s="1894" t="s">
        <v>1141</v>
      </c>
      <c r="B21" s="1895"/>
      <c r="C21" s="1895"/>
      <c r="D21" s="1895"/>
      <c r="E21" s="1895"/>
      <c r="F21" s="1895"/>
      <c r="G21" s="1895"/>
      <c r="H21" s="1896"/>
    </row>
    <row r="22" spans="1:8" x14ac:dyDescent="0.2">
      <c r="A22" s="680" t="s">
        <v>744</v>
      </c>
      <c r="B22" s="320">
        <v>29989</v>
      </c>
      <c r="C22" s="320">
        <v>25406.880000000001</v>
      </c>
      <c r="D22" s="320">
        <v>26089</v>
      </c>
      <c r="E22" s="320">
        <v>24223.8</v>
      </c>
      <c r="F22" s="320">
        <v>24697.200000000001</v>
      </c>
      <c r="G22" s="320">
        <f>13352.52*2</f>
        <v>26705.040000000001</v>
      </c>
      <c r="H22" s="320">
        <f>G22*1.025</f>
        <v>27372.665999999997</v>
      </c>
    </row>
    <row r="23" spans="1:8" x14ac:dyDescent="0.2">
      <c r="A23" s="680" t="s">
        <v>1305</v>
      </c>
      <c r="B23" s="320">
        <f>85770+32010</f>
        <v>117780</v>
      </c>
      <c r="C23" s="320">
        <v>127421.29</v>
      </c>
      <c r="D23" s="320">
        <v>99012</v>
      </c>
      <c r="E23" s="320">
        <v>77160.11</v>
      </c>
      <c r="F23" s="320">
        <v>75850.55</v>
      </c>
      <c r="G23" s="320">
        <f>47198.74*2</f>
        <v>94397.48</v>
      </c>
      <c r="H23" s="320">
        <f>G23*1.025</f>
        <v>96757.416999999987</v>
      </c>
    </row>
    <row r="24" spans="1:8" x14ac:dyDescent="0.2">
      <c r="A24" s="680" t="s">
        <v>295</v>
      </c>
      <c r="B24" s="785">
        <f>SUM(B22:B23)</f>
        <v>147769</v>
      </c>
      <c r="C24" s="785">
        <f t="shared" ref="C24:H24" si="2">SUM(C22:C23)</f>
        <v>152828.16999999998</v>
      </c>
      <c r="D24" s="785">
        <f t="shared" si="2"/>
        <v>125101</v>
      </c>
      <c r="E24" s="785">
        <f t="shared" si="2"/>
        <v>101383.91</v>
      </c>
      <c r="F24" s="785">
        <f t="shared" si="2"/>
        <v>100547.75</v>
      </c>
      <c r="G24" s="785">
        <f t="shared" si="2"/>
        <v>121102.51999999999</v>
      </c>
      <c r="H24" s="785">
        <f t="shared" si="2"/>
        <v>124130.08299999998</v>
      </c>
    </row>
    <row r="25" spans="1:8" x14ac:dyDescent="0.2">
      <c r="A25" s="1894" t="s">
        <v>0</v>
      </c>
      <c r="B25" s="1895"/>
      <c r="C25" s="1895"/>
      <c r="D25" s="1895"/>
      <c r="E25" s="1895"/>
      <c r="F25" s="1895"/>
      <c r="G25" s="1895"/>
      <c r="H25" s="1896"/>
    </row>
    <row r="26" spans="1:8" x14ac:dyDescent="0.2">
      <c r="A26" s="680" t="s">
        <v>744</v>
      </c>
      <c r="B26" s="785">
        <f t="shared" ref="B26:H28" si="3">B18+B22</f>
        <v>422400</v>
      </c>
      <c r="C26" s="785">
        <f t="shared" si="3"/>
        <v>423665.88</v>
      </c>
      <c r="D26" s="785">
        <f>D18+D22</f>
        <v>450590</v>
      </c>
      <c r="E26" s="785">
        <f t="shared" si="3"/>
        <v>473589.66</v>
      </c>
      <c r="F26" s="785">
        <f t="shared" si="3"/>
        <v>522633.4</v>
      </c>
      <c r="G26" s="785">
        <f t="shared" si="3"/>
        <v>549565.82000000007</v>
      </c>
      <c r="H26" s="785">
        <f t="shared" si="3"/>
        <v>788304.96549999993</v>
      </c>
    </row>
    <row r="27" spans="1:8" x14ac:dyDescent="0.2">
      <c r="A27" s="680" t="s">
        <v>1305</v>
      </c>
      <c r="B27" s="785">
        <f t="shared" si="3"/>
        <v>1252146</v>
      </c>
      <c r="C27" s="785">
        <f t="shared" si="3"/>
        <v>1306031.29</v>
      </c>
      <c r="D27" s="785">
        <f>D19+D23</f>
        <v>1324829</v>
      </c>
      <c r="E27" s="785">
        <f t="shared" si="3"/>
        <v>1318198.6500000001</v>
      </c>
      <c r="F27" s="785">
        <f t="shared" si="3"/>
        <v>1326039.6500000001</v>
      </c>
      <c r="G27" s="785">
        <f t="shared" si="3"/>
        <v>1270943.28</v>
      </c>
      <c r="H27" s="785">
        <f t="shared" si="3"/>
        <v>1542716.8619999997</v>
      </c>
    </row>
    <row r="28" spans="1:8" x14ac:dyDescent="0.2">
      <c r="A28" s="680" t="s">
        <v>295</v>
      </c>
      <c r="B28" s="785">
        <f t="shared" si="3"/>
        <v>1674546</v>
      </c>
      <c r="C28" s="785">
        <f t="shared" si="3"/>
        <v>1729697.17</v>
      </c>
      <c r="D28" s="785">
        <f>D20+D24</f>
        <v>125101</v>
      </c>
      <c r="E28" s="785">
        <f t="shared" si="3"/>
        <v>1791788.3099999998</v>
      </c>
      <c r="F28" s="785">
        <f t="shared" si="3"/>
        <v>1848673.05</v>
      </c>
      <c r="G28" s="785">
        <f t="shared" si="3"/>
        <v>1820509.1</v>
      </c>
      <c r="H28" s="785">
        <f t="shared" si="3"/>
        <v>2331021.8275000001</v>
      </c>
    </row>
    <row r="30" spans="1:8" ht="19.5" customHeight="1" x14ac:dyDescent="0.2">
      <c r="A30" s="786" t="s">
        <v>117</v>
      </c>
    </row>
    <row r="31" spans="1:8" ht="14.25" x14ac:dyDescent="0.2">
      <c r="A31" s="787" t="s">
        <v>1289</v>
      </c>
    </row>
    <row r="32" spans="1:8" ht="29.25" customHeight="1" x14ac:dyDescent="0.2">
      <c r="A32" s="1893" t="s">
        <v>1290</v>
      </c>
      <c r="B32" s="1893"/>
      <c r="C32" s="1893"/>
      <c r="D32" s="1893"/>
      <c r="E32" s="1893"/>
      <c r="F32" s="1893"/>
      <c r="G32" s="1893"/>
      <c r="H32" s="1893"/>
    </row>
  </sheetData>
  <mergeCells count="7">
    <mergeCell ref="A32:H32"/>
    <mergeCell ref="A25:H25"/>
    <mergeCell ref="A9:H9"/>
    <mergeCell ref="A10:H10"/>
    <mergeCell ref="A13:H13"/>
    <mergeCell ref="A17:H17"/>
    <mergeCell ref="A21:H21"/>
  </mergeCells>
  <phoneticPr fontId="16" type="noConversion"/>
  <dataValidations count="1">
    <dataValidation allowBlank="1" showInputMessage="1" showErrorMessage="1" promptTitle="Date Format" prompt="E.g:  &quot;August 1, 2011&quot;" sqref="H7"/>
  </dataValidations>
  <printOptions horizontalCentered="1"/>
  <pageMargins left="0.74803149606299213" right="0.74803149606299213" top="0.98425196850393704" bottom="0.98425196850393704" header="0.51181102362204722" footer="0.51181102362204722"/>
  <pageSetup scale="55"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39997558519241921"/>
  </sheetPr>
  <dimension ref="B1:K40"/>
  <sheetViews>
    <sheetView showGridLines="0" workbookViewId="0">
      <selection activeCell="B9" sqref="B9:K9"/>
    </sheetView>
  </sheetViews>
  <sheetFormatPr defaultRowHeight="12.75" x14ac:dyDescent="0.2"/>
  <cols>
    <col min="1" max="1" width="2.42578125" customWidth="1"/>
    <col min="2" max="2" width="4.85546875" customWidth="1"/>
    <col min="3" max="3" width="23.28515625" customWidth="1"/>
    <col min="4" max="10" width="14.7109375" customWidth="1"/>
    <col min="11" max="11" width="18.7109375" customWidth="1"/>
  </cols>
  <sheetData>
    <row r="1" spans="2:11" x14ac:dyDescent="0.2">
      <c r="J1" s="562" t="s">
        <v>301</v>
      </c>
      <c r="K1" s="1165" t="str">
        <f>EBNUMBER</f>
        <v>EB-2016-0066</v>
      </c>
    </row>
    <row r="2" spans="2:11" x14ac:dyDescent="0.2">
      <c r="J2" s="562" t="s">
        <v>302</v>
      </c>
      <c r="K2" s="62"/>
    </row>
    <row r="3" spans="2:11" x14ac:dyDescent="0.2">
      <c r="J3" s="562" t="s">
        <v>303</v>
      </c>
      <c r="K3" s="62"/>
    </row>
    <row r="4" spans="2:11" x14ac:dyDescent="0.2">
      <c r="J4" s="562" t="s">
        <v>304</v>
      </c>
      <c r="K4" s="62"/>
    </row>
    <row r="5" spans="2:11" x14ac:dyDescent="0.2">
      <c r="J5" s="562" t="s">
        <v>305</v>
      </c>
      <c r="K5" s="63"/>
    </row>
    <row r="6" spans="2:11" x14ac:dyDescent="0.2">
      <c r="J6" s="562"/>
      <c r="K6" s="61"/>
    </row>
    <row r="7" spans="2:11" x14ac:dyDescent="0.2">
      <c r="J7" s="562" t="s">
        <v>306</v>
      </c>
      <c r="K7" s="63"/>
    </row>
    <row r="9" spans="2:11" ht="18" x14ac:dyDescent="0.25">
      <c r="B9" s="1909" t="s">
        <v>1143</v>
      </c>
      <c r="C9" s="1909"/>
      <c r="D9" s="1909"/>
      <c r="E9" s="1909"/>
      <c r="F9" s="1909"/>
      <c r="G9" s="1909"/>
      <c r="H9" s="1909"/>
      <c r="I9" s="1909"/>
      <c r="J9" s="1909"/>
      <c r="K9" s="1909"/>
    </row>
    <row r="10" spans="2:11" ht="18" x14ac:dyDescent="0.25">
      <c r="B10" s="1909" t="s">
        <v>1149</v>
      </c>
      <c r="C10" s="1909"/>
      <c r="D10" s="1909"/>
      <c r="E10" s="1909"/>
      <c r="F10" s="1909"/>
      <c r="G10" s="1909"/>
      <c r="H10" s="1909"/>
      <c r="I10" s="1909"/>
      <c r="J10" s="1909"/>
      <c r="K10" s="1909"/>
    </row>
    <row r="12" spans="2:11" ht="27.75" customHeight="1" x14ac:dyDescent="0.2">
      <c r="B12" s="1213" t="s">
        <v>1020</v>
      </c>
      <c r="C12" s="1543" t="s">
        <v>1145</v>
      </c>
      <c r="D12" s="1543"/>
      <c r="E12" s="1543"/>
      <c r="F12" s="1543"/>
      <c r="G12" s="1543"/>
      <c r="H12" s="1543"/>
      <c r="I12" s="1543"/>
      <c r="J12" s="1543"/>
      <c r="K12" s="1212" t="s">
        <v>1434</v>
      </c>
    </row>
    <row r="14" spans="2:11" x14ac:dyDescent="0.2">
      <c r="C14" s="3" t="s">
        <v>1146</v>
      </c>
      <c r="D14" s="3"/>
      <c r="E14" s="3"/>
      <c r="F14" s="3"/>
      <c r="G14" s="3"/>
    </row>
    <row r="15" spans="2:11" ht="15.75" customHeight="1" x14ac:dyDescent="0.2">
      <c r="C15" s="1543" t="s">
        <v>1147</v>
      </c>
      <c r="D15" s="1543"/>
      <c r="E15" s="1543"/>
      <c r="F15" s="1543"/>
      <c r="G15" s="1543"/>
      <c r="H15" s="1543"/>
      <c r="I15" s="1543"/>
      <c r="J15" s="1543"/>
      <c r="K15" s="1543"/>
    </row>
    <row r="16" spans="2:11" ht="13.5" thickBot="1" x14ac:dyDescent="0.25"/>
    <row r="17" spans="2:11" x14ac:dyDescent="0.2">
      <c r="C17" s="1910"/>
      <c r="D17" s="1901"/>
      <c r="E17" s="1901"/>
      <c r="F17" s="1901"/>
      <c r="G17" s="1901"/>
      <c r="H17" s="1901"/>
      <c r="I17" s="1901"/>
      <c r="J17" s="1901"/>
      <c r="K17" s="1902"/>
    </row>
    <row r="18" spans="2:11" x14ac:dyDescent="0.2">
      <c r="C18" s="1903"/>
      <c r="D18" s="1904"/>
      <c r="E18" s="1904"/>
      <c r="F18" s="1904"/>
      <c r="G18" s="1904"/>
      <c r="H18" s="1904"/>
      <c r="I18" s="1904"/>
      <c r="J18" s="1904"/>
      <c r="K18" s="1905"/>
    </row>
    <row r="19" spans="2:11" x14ac:dyDescent="0.2">
      <c r="C19" s="1903"/>
      <c r="D19" s="1904"/>
      <c r="E19" s="1904"/>
      <c r="F19" s="1904"/>
      <c r="G19" s="1904"/>
      <c r="H19" s="1904"/>
      <c r="I19" s="1904"/>
      <c r="J19" s="1904"/>
      <c r="K19" s="1905"/>
    </row>
    <row r="20" spans="2:11" x14ac:dyDescent="0.2">
      <c r="C20" s="1903"/>
      <c r="D20" s="1904"/>
      <c r="E20" s="1904"/>
      <c r="F20" s="1904"/>
      <c r="G20" s="1904"/>
      <c r="H20" s="1904"/>
      <c r="I20" s="1904"/>
      <c r="J20" s="1904"/>
      <c r="K20" s="1905"/>
    </row>
    <row r="21" spans="2:11" x14ac:dyDescent="0.2">
      <c r="C21" s="1903"/>
      <c r="D21" s="1904"/>
      <c r="E21" s="1904"/>
      <c r="F21" s="1904"/>
      <c r="G21" s="1904"/>
      <c r="H21" s="1904"/>
      <c r="I21" s="1904"/>
      <c r="J21" s="1904"/>
      <c r="K21" s="1905"/>
    </row>
    <row r="22" spans="2:11" ht="13.5" thickBot="1" x14ac:dyDescent="0.25">
      <c r="C22" s="1906"/>
      <c r="D22" s="1907"/>
      <c r="E22" s="1907"/>
      <c r="F22" s="1907"/>
      <c r="G22" s="1907"/>
      <c r="H22" s="1907"/>
      <c r="I22" s="1907"/>
      <c r="J22" s="1907"/>
      <c r="K22" s="1908"/>
    </row>
    <row r="24" spans="2:11" x14ac:dyDescent="0.2">
      <c r="B24" s="1213" t="s">
        <v>150</v>
      </c>
      <c r="C24" s="13" t="s">
        <v>1148</v>
      </c>
      <c r="D24" s="13"/>
      <c r="E24" s="13"/>
      <c r="F24" s="13"/>
      <c r="G24" s="13"/>
    </row>
    <row r="25" spans="2:11" ht="13.5" thickBot="1" x14ac:dyDescent="0.25"/>
    <row r="26" spans="2:11" ht="39" thickBot="1" x14ac:dyDescent="0.25">
      <c r="C26" s="1217" t="s">
        <v>1150</v>
      </c>
      <c r="D26" s="1224" t="str">
        <f>CONCATENATE("First Year of recovery to ",E26-1)</f>
        <v>First Year of recovery to 2011</v>
      </c>
      <c r="E26" s="1228">
        <f>F26-1</f>
        <v>2012</v>
      </c>
      <c r="F26" s="1228">
        <f>G26-1</f>
        <v>2013</v>
      </c>
      <c r="G26" s="1228">
        <f>H26-1</f>
        <v>2014</v>
      </c>
      <c r="H26" s="1228">
        <f>I26-1</f>
        <v>2015</v>
      </c>
      <c r="I26" s="1228">
        <f>BridgeYear</f>
        <v>2016</v>
      </c>
      <c r="J26" s="1218">
        <f>TestYear</f>
        <v>2017</v>
      </c>
      <c r="K26" s="1218" t="s">
        <v>295</v>
      </c>
    </row>
    <row r="27" spans="2:11" x14ac:dyDescent="0.2">
      <c r="C27" s="1235" t="s">
        <v>1151</v>
      </c>
      <c r="D27" s="1233"/>
      <c r="E27" s="1233"/>
      <c r="F27" s="1233"/>
      <c r="G27" s="1233"/>
      <c r="H27" s="1233"/>
      <c r="I27" s="1233"/>
      <c r="J27" s="1234"/>
      <c r="K27" s="1234"/>
    </row>
    <row r="28" spans="2:11" x14ac:dyDescent="0.2">
      <c r="C28" s="1236" t="s">
        <v>1152</v>
      </c>
      <c r="D28" s="1230">
        <v>21674</v>
      </c>
      <c r="E28" s="1230">
        <v>21951</v>
      </c>
      <c r="F28" s="1230">
        <v>21951</v>
      </c>
      <c r="G28" s="1230">
        <v>22321</v>
      </c>
      <c r="H28" s="1230">
        <v>22675</v>
      </c>
      <c r="I28" s="1230">
        <v>22895</v>
      </c>
      <c r="J28" s="1231">
        <v>30021</v>
      </c>
      <c r="K28" s="1232">
        <f>SUM(D28:J28)</f>
        <v>163488</v>
      </c>
    </row>
    <row r="29" spans="2:11" ht="13.5" thickBot="1" x14ac:dyDescent="0.25">
      <c r="C29" s="1237" t="s">
        <v>1153</v>
      </c>
      <c r="D29" s="1226">
        <v>5883</v>
      </c>
      <c r="E29" s="1226">
        <v>5959</v>
      </c>
      <c r="F29" s="1226">
        <v>5959</v>
      </c>
      <c r="G29" s="1225">
        <v>6059</v>
      </c>
      <c r="H29" s="1226">
        <v>6155</v>
      </c>
      <c r="I29" s="1225">
        <v>6215</v>
      </c>
      <c r="J29" s="1220">
        <v>8149</v>
      </c>
      <c r="K29" s="1101">
        <f>SUM(D29:J29)</f>
        <v>44379</v>
      </c>
    </row>
    <row r="30" spans="2:11" ht="14.25" thickTop="1" thickBot="1" x14ac:dyDescent="0.25">
      <c r="C30" s="1222" t="s">
        <v>1154</v>
      </c>
      <c r="D30" s="1227">
        <f>SUM(D28:D29)</f>
        <v>27557</v>
      </c>
      <c r="E30" s="1227">
        <f t="shared" ref="E30:K30" si="0">SUM(E28:E29)</f>
        <v>27910</v>
      </c>
      <c r="F30" s="1227">
        <f t="shared" si="0"/>
        <v>27910</v>
      </c>
      <c r="G30" s="1229">
        <f t="shared" si="0"/>
        <v>28380</v>
      </c>
      <c r="H30" s="1227">
        <f t="shared" si="0"/>
        <v>28830</v>
      </c>
      <c r="I30" s="1229">
        <f t="shared" si="0"/>
        <v>29110</v>
      </c>
      <c r="J30" s="1214">
        <f t="shared" si="0"/>
        <v>38170</v>
      </c>
      <c r="K30" s="1221">
        <f t="shared" si="0"/>
        <v>207867</v>
      </c>
    </row>
    <row r="31" spans="2:11" ht="13.5" thickBot="1" x14ac:dyDescent="0.25">
      <c r="C31" s="1223" t="s">
        <v>1155</v>
      </c>
      <c r="D31" s="1226">
        <v>26276</v>
      </c>
      <c r="E31" s="1226">
        <v>27000</v>
      </c>
      <c r="F31" s="1226">
        <v>23000</v>
      </c>
      <c r="G31" s="1225">
        <v>23000</v>
      </c>
      <c r="H31" s="1226">
        <v>19000</v>
      </c>
      <c r="I31" s="1225">
        <v>19000</v>
      </c>
      <c r="J31" s="1219">
        <v>19000</v>
      </c>
      <c r="K31" s="1215">
        <f>SUM(D31:J31)</f>
        <v>156276</v>
      </c>
    </row>
    <row r="32" spans="2:11" ht="52.5" customHeight="1" thickTop="1" thickBot="1" x14ac:dyDescent="0.25">
      <c r="C32" s="1216" t="s">
        <v>1156</v>
      </c>
      <c r="D32" s="1238">
        <f>D30-D31</f>
        <v>1281</v>
      </c>
      <c r="E32" s="1238">
        <f t="shared" ref="E32:J32" si="1">E30-E31</f>
        <v>910</v>
      </c>
      <c r="F32" s="1238">
        <f t="shared" si="1"/>
        <v>4910</v>
      </c>
      <c r="G32" s="1239">
        <f t="shared" si="1"/>
        <v>5380</v>
      </c>
      <c r="H32" s="1238">
        <f t="shared" si="1"/>
        <v>9830</v>
      </c>
      <c r="I32" s="1239">
        <f t="shared" si="1"/>
        <v>10110</v>
      </c>
      <c r="J32" s="1240">
        <f t="shared" si="1"/>
        <v>19170</v>
      </c>
      <c r="K32" s="1241">
        <f>SUM(D32:J32)</f>
        <v>51591</v>
      </c>
    </row>
    <row r="34" spans="2:11" x14ac:dyDescent="0.2">
      <c r="B34" s="3" t="s">
        <v>152</v>
      </c>
      <c r="C34" s="13" t="s">
        <v>1157</v>
      </c>
    </row>
    <row r="35" spans="2:11" ht="13.5" thickBot="1" x14ac:dyDescent="0.25"/>
    <row r="36" spans="2:11" x14ac:dyDescent="0.2">
      <c r="C36" s="1900" t="s">
        <v>1373</v>
      </c>
      <c r="D36" s="1901"/>
      <c r="E36" s="1901"/>
      <c r="F36" s="1901"/>
      <c r="G36" s="1901"/>
      <c r="H36" s="1901"/>
      <c r="I36" s="1901"/>
      <c r="J36" s="1901"/>
      <c r="K36" s="1902"/>
    </row>
    <row r="37" spans="2:11" x14ac:dyDescent="0.2">
      <c r="C37" s="1903"/>
      <c r="D37" s="1904"/>
      <c r="E37" s="1904"/>
      <c r="F37" s="1904"/>
      <c r="G37" s="1904"/>
      <c r="H37" s="1904"/>
      <c r="I37" s="1904"/>
      <c r="J37" s="1904"/>
      <c r="K37" s="1905"/>
    </row>
    <row r="38" spans="2:11" x14ac:dyDescent="0.2">
      <c r="C38" s="1903"/>
      <c r="D38" s="1904"/>
      <c r="E38" s="1904"/>
      <c r="F38" s="1904"/>
      <c r="G38" s="1904"/>
      <c r="H38" s="1904"/>
      <c r="I38" s="1904"/>
      <c r="J38" s="1904"/>
      <c r="K38" s="1905"/>
    </row>
    <row r="39" spans="2:11" x14ac:dyDescent="0.2">
      <c r="C39" s="1903"/>
      <c r="D39" s="1904"/>
      <c r="E39" s="1904"/>
      <c r="F39" s="1904"/>
      <c r="G39" s="1904"/>
      <c r="H39" s="1904"/>
      <c r="I39" s="1904"/>
      <c r="J39" s="1904"/>
      <c r="K39" s="1905"/>
    </row>
    <row r="40" spans="2:11" ht="13.5" thickBot="1" x14ac:dyDescent="0.25">
      <c r="C40" s="1906"/>
      <c r="D40" s="1907"/>
      <c r="E40" s="1907"/>
      <c r="F40" s="1907"/>
      <c r="G40" s="1907"/>
      <c r="H40" s="1907"/>
      <c r="I40" s="1907"/>
      <c r="J40" s="1907"/>
      <c r="K40" s="1908"/>
    </row>
  </sheetData>
  <mergeCells count="6">
    <mergeCell ref="C36:K40"/>
    <mergeCell ref="B9:K9"/>
    <mergeCell ref="B10:K10"/>
    <mergeCell ref="C12:J12"/>
    <mergeCell ref="C15:K15"/>
    <mergeCell ref="C17:K22"/>
  </mergeCells>
  <dataValidations count="2">
    <dataValidation allowBlank="1" showInputMessage="1" showErrorMessage="1" promptTitle="Date Format" prompt="E.g:  &quot;August 1, 2011&quot;" sqref="K7"/>
    <dataValidation type="list" allowBlank="1" showInputMessage="1" showErrorMessage="1" sqref="K12">
      <formula1>"Cash (Pay-as-you-go), Accrual, Other"</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theme="7" tint="0.39997558519241921"/>
    <pageSetUpPr fitToPage="1"/>
  </sheetPr>
  <dimension ref="B1:J38"/>
  <sheetViews>
    <sheetView showGridLines="0" zoomScaleNormal="100" workbookViewId="0">
      <selection activeCell="B9" sqref="B9:J29"/>
    </sheetView>
  </sheetViews>
  <sheetFormatPr defaultRowHeight="12.75" x14ac:dyDescent="0.2"/>
  <cols>
    <col min="1" max="1" width="2.7109375" style="43" customWidth="1"/>
    <col min="2" max="2" width="6" style="43" customWidth="1"/>
    <col min="3" max="3" width="21.85546875" style="43" customWidth="1"/>
    <col min="4" max="4" width="17.7109375" style="43" customWidth="1"/>
    <col min="5" max="9" width="14.7109375" style="43" customWidth="1"/>
    <col min="10" max="10" width="15.7109375" style="43" customWidth="1"/>
    <col min="11" max="16384" width="9.140625" style="43"/>
  </cols>
  <sheetData>
    <row r="1" spans="2:10" x14ac:dyDescent="0.2">
      <c r="I1" s="562" t="s">
        <v>301</v>
      </c>
      <c r="J1" s="1414" t="str">
        <f>EBNUMBER</f>
        <v>EB-2016-0066</v>
      </c>
    </row>
    <row r="2" spans="2:10" x14ac:dyDescent="0.2">
      <c r="I2" s="562" t="s">
        <v>302</v>
      </c>
      <c r="J2" s="62"/>
    </row>
    <row r="3" spans="2:10" x14ac:dyDescent="0.2">
      <c r="I3" s="562" t="s">
        <v>303</v>
      </c>
      <c r="J3" s="62"/>
    </row>
    <row r="4" spans="2:10" x14ac:dyDescent="0.2">
      <c r="I4" s="562" t="s">
        <v>304</v>
      </c>
      <c r="J4" s="62"/>
    </row>
    <row r="5" spans="2:10" x14ac:dyDescent="0.2">
      <c r="I5" s="562" t="s">
        <v>305</v>
      </c>
      <c r="J5" s="63"/>
    </row>
    <row r="6" spans="2:10" x14ac:dyDescent="0.2">
      <c r="I6" s="562"/>
      <c r="J6" s="61"/>
    </row>
    <row r="7" spans="2:10" x14ac:dyDescent="0.2">
      <c r="I7" s="562" t="s">
        <v>306</v>
      </c>
      <c r="J7" s="63"/>
    </row>
    <row r="9" spans="2:10" ht="18" x14ac:dyDescent="0.25">
      <c r="B9" s="1546" t="s">
        <v>174</v>
      </c>
      <c r="C9" s="1546"/>
      <c r="D9" s="1546"/>
      <c r="E9" s="1546"/>
      <c r="F9" s="1546"/>
      <c r="G9" s="1546"/>
      <c r="H9" s="1546"/>
      <c r="I9" s="1546"/>
      <c r="J9" s="1546"/>
    </row>
    <row r="10" spans="2:10" ht="21" x14ac:dyDescent="0.25">
      <c r="B10" s="1546" t="s">
        <v>1009</v>
      </c>
      <c r="C10" s="1546"/>
      <c r="D10" s="1546"/>
      <c r="E10" s="1546"/>
      <c r="F10" s="1546"/>
      <c r="G10" s="1546"/>
      <c r="H10" s="1546"/>
      <c r="I10" s="1546"/>
      <c r="J10" s="1546"/>
    </row>
    <row r="11" spans="2:10" ht="18" x14ac:dyDescent="0.25">
      <c r="B11" s="1411"/>
      <c r="C11" s="1411"/>
      <c r="D11" s="1411"/>
      <c r="E11" s="1411"/>
      <c r="F11" s="1446"/>
      <c r="G11" s="1411"/>
      <c r="H11" s="1411"/>
      <c r="I11" s="1411"/>
      <c r="J11" s="1419"/>
    </row>
    <row r="12" spans="2:10" ht="13.5" thickBot="1" x14ac:dyDescent="0.25">
      <c r="J12" s="1418"/>
    </row>
    <row r="13" spans="2:10" ht="39" thickBot="1" x14ac:dyDescent="0.25">
      <c r="B13" s="788"/>
      <c r="C13" s="789"/>
      <c r="D13" s="790" t="str">
        <f>"Last Rebasing Year - "&amp;RebaseYear&amp;"- Board Approved"</f>
        <v>Last Rebasing Year - 2012- Board Approved</v>
      </c>
      <c r="E13" s="790" t="str">
        <f>"Last Rebasing Year - "&amp;RebaseYear&amp;"-  Actual"</f>
        <v>Last Rebasing Year - 2012-  Actual</v>
      </c>
      <c r="F13" s="1448" t="s">
        <v>1306</v>
      </c>
      <c r="G13" s="684" t="str">
        <f>BridgeYear -2 &amp; " Actuals"</f>
        <v>2014 Actuals</v>
      </c>
      <c r="H13" s="684" t="str">
        <f>BridgeYear -1 &amp; " Actuals"</f>
        <v>2015 Actuals</v>
      </c>
      <c r="I13" s="684" t="str">
        <f>BridgeYear &amp; " Bridge Year"</f>
        <v>2016 Bridge Year</v>
      </c>
      <c r="J13" s="685" t="str">
        <f>TestYear &amp; " Test Year"</f>
        <v>2017 Test Year</v>
      </c>
    </row>
    <row r="14" spans="2:10" ht="13.5" thickBot="1" x14ac:dyDescent="0.25">
      <c r="B14" s="1916" t="s">
        <v>103</v>
      </c>
      <c r="C14" s="1917"/>
      <c r="D14" s="688"/>
      <c r="E14" s="688"/>
      <c r="F14" s="688"/>
      <c r="G14" s="688"/>
      <c r="H14" s="688"/>
      <c r="I14" s="688"/>
      <c r="J14" s="689"/>
    </row>
    <row r="15" spans="2:10" ht="12.75" customHeight="1" x14ac:dyDescent="0.2">
      <c r="B15" s="1918" t="s">
        <v>1168</v>
      </c>
      <c r="C15" s="1919"/>
      <c r="D15" s="1243"/>
      <c r="E15" s="1243"/>
      <c r="F15" s="1243"/>
      <c r="G15" s="1243"/>
      <c r="H15" s="1243"/>
      <c r="I15" s="1243"/>
      <c r="J15" s="1244"/>
    </row>
    <row r="16" spans="2:10" ht="15" customHeight="1" x14ac:dyDescent="0.2">
      <c r="B16" s="1914" t="s">
        <v>1166</v>
      </c>
      <c r="C16" s="1915"/>
      <c r="D16" s="793">
        <f>291000+455000</f>
        <v>746000</v>
      </c>
      <c r="E16" s="793">
        <f>272543+604288</f>
        <v>876831</v>
      </c>
      <c r="F16" s="793">
        <f>233391+491922</f>
        <v>725313</v>
      </c>
      <c r="G16" s="793">
        <f>260055+546411</f>
        <v>806466</v>
      </c>
      <c r="H16" s="793">
        <f>263090+939207</f>
        <v>1202297</v>
      </c>
      <c r="I16" s="793">
        <f>365280+918809</f>
        <v>1284089</v>
      </c>
      <c r="J16" s="794">
        <f>642274+900026</f>
        <v>1542300</v>
      </c>
    </row>
    <row r="17" spans="2:10" ht="15" customHeight="1" x14ac:dyDescent="0.2">
      <c r="B17" s="1914" t="s">
        <v>1167</v>
      </c>
      <c r="C17" s="1915"/>
      <c r="D17" s="793">
        <f>775064+10000+917946</f>
        <v>1703010</v>
      </c>
      <c r="E17" s="793">
        <f>564380+16790+724931</f>
        <v>1306101</v>
      </c>
      <c r="F17" s="793">
        <f>582646+10391+836495</f>
        <v>1429532</v>
      </c>
      <c r="G17" s="793">
        <f>587255+5499+823367</f>
        <v>1416121</v>
      </c>
      <c r="H17" s="793">
        <f>527861-12807+876245</f>
        <v>1391299</v>
      </c>
      <c r="I17" s="793">
        <f>554193-3654+1126226</f>
        <v>1676765</v>
      </c>
      <c r="J17" s="794">
        <f>598394+11822+1356881</f>
        <v>1967097</v>
      </c>
    </row>
    <row r="18" spans="2:10" ht="28.5" customHeight="1" x14ac:dyDescent="0.2">
      <c r="B18" s="1914" t="s">
        <v>1121</v>
      </c>
      <c r="C18" s="1915"/>
      <c r="D18" s="1245">
        <f>SUM(D16:D17)</f>
        <v>2449010</v>
      </c>
      <c r="E18" s="1245">
        <f t="shared" ref="E18:J18" si="0">SUM(E16:E17)</f>
        <v>2182932</v>
      </c>
      <c r="F18" s="1245">
        <f>SUM(F16:F17)</f>
        <v>2154845</v>
      </c>
      <c r="G18" s="1245">
        <f t="shared" si="0"/>
        <v>2222587</v>
      </c>
      <c r="H18" s="1245">
        <f t="shared" si="0"/>
        <v>2593596</v>
      </c>
      <c r="I18" s="1245">
        <f t="shared" si="0"/>
        <v>2960854</v>
      </c>
      <c r="J18" s="1245">
        <f t="shared" si="0"/>
        <v>3509397</v>
      </c>
    </row>
    <row r="19" spans="2:10" ht="27" customHeight="1" x14ac:dyDescent="0.2">
      <c r="B19" s="1810" t="s">
        <v>1007</v>
      </c>
      <c r="C19" s="1811"/>
      <c r="D19" s="791">
        <v>14176</v>
      </c>
      <c r="E19" s="791">
        <v>14143</v>
      </c>
      <c r="F19" s="791">
        <v>14229</v>
      </c>
      <c r="G19" s="791">
        <v>14317</v>
      </c>
      <c r="H19" s="791">
        <v>14399</v>
      </c>
      <c r="I19" s="791">
        <v>14499</v>
      </c>
      <c r="J19" s="792">
        <v>14600</v>
      </c>
    </row>
    <row r="20" spans="2:10" ht="27" customHeight="1" x14ac:dyDescent="0.2">
      <c r="B20" s="1913" t="s">
        <v>1008</v>
      </c>
      <c r="C20" s="1912"/>
      <c r="D20" s="797">
        <v>34</v>
      </c>
      <c r="E20" s="797">
        <v>34</v>
      </c>
      <c r="F20" s="797">
        <v>35</v>
      </c>
      <c r="G20" s="797">
        <v>35</v>
      </c>
      <c r="H20" s="797">
        <v>35</v>
      </c>
      <c r="I20" s="797">
        <v>34</v>
      </c>
      <c r="J20" s="798">
        <v>38</v>
      </c>
    </row>
    <row r="21" spans="2:10" ht="15.75" customHeight="1" x14ac:dyDescent="0.2">
      <c r="B21" s="1913" t="s">
        <v>601</v>
      </c>
      <c r="C21" s="1912"/>
      <c r="D21" s="799">
        <f>IF(D20=0,"",D19/D20)</f>
        <v>416.94117647058823</v>
      </c>
      <c r="E21" s="799">
        <f t="shared" ref="E21:J21" si="1">IF(E20=0,"",E19/E20)</f>
        <v>415.97058823529414</v>
      </c>
      <c r="F21" s="799">
        <f>IF(F20=0,"",F19/F20)</f>
        <v>406.54285714285714</v>
      </c>
      <c r="G21" s="799">
        <f t="shared" si="1"/>
        <v>409.05714285714288</v>
      </c>
      <c r="H21" s="799">
        <f t="shared" si="1"/>
        <v>411.4</v>
      </c>
      <c r="I21" s="799">
        <f t="shared" si="1"/>
        <v>426.44117647058823</v>
      </c>
      <c r="J21" s="799">
        <f t="shared" si="1"/>
        <v>384.21052631578948</v>
      </c>
    </row>
    <row r="22" spans="2:10" x14ac:dyDescent="0.2">
      <c r="B22" s="1913" t="s">
        <v>173</v>
      </c>
      <c r="C22" s="1912"/>
      <c r="D22" s="795"/>
      <c r="E22" s="795"/>
      <c r="F22" s="795"/>
      <c r="G22" s="795"/>
      <c r="H22" s="795"/>
      <c r="I22" s="795"/>
      <c r="J22" s="796"/>
    </row>
    <row r="23" spans="2:10" x14ac:dyDescent="0.2">
      <c r="B23" s="1911" t="s">
        <v>1159</v>
      </c>
      <c r="C23" s="1912"/>
      <c r="D23" s="1488">
        <f>IF(D19=0,"",D16/D19)</f>
        <v>52.62415349887133</v>
      </c>
      <c r="E23" s="1488">
        <f t="shared" ref="E23:J23" si="2">IF(E19=0,"",E16/E19)</f>
        <v>61.997525277522449</v>
      </c>
      <c r="F23" s="1488">
        <f>IF(F19=0,"",F16/F19)</f>
        <v>50.974277883196287</v>
      </c>
      <c r="G23" s="1488">
        <f t="shared" si="2"/>
        <v>56.329258922958722</v>
      </c>
      <c r="H23" s="1488">
        <f t="shared" si="2"/>
        <v>83.498645739287454</v>
      </c>
      <c r="I23" s="1488">
        <f t="shared" si="2"/>
        <v>88.563969928960617</v>
      </c>
      <c r="J23" s="1488">
        <f t="shared" si="2"/>
        <v>105.63698630136986</v>
      </c>
    </row>
    <row r="24" spans="2:10" x14ac:dyDescent="0.2">
      <c r="B24" s="1413" t="s">
        <v>1160</v>
      </c>
      <c r="C24" s="1412"/>
      <c r="D24" s="1488">
        <f>IF(D19=0,"",D17/D19)</f>
        <v>120.13332392776523</v>
      </c>
      <c r="E24" s="1488">
        <f t="shared" ref="E24:J24" si="3">IF(E19=0,"",E17/E19)</f>
        <v>92.34964293289967</v>
      </c>
      <c r="F24" s="1488">
        <f>IF(F19=0,"",F17/F19)</f>
        <v>100.46609037880386</v>
      </c>
      <c r="G24" s="1488">
        <f t="shared" si="3"/>
        <v>98.91185304183837</v>
      </c>
      <c r="H24" s="1488">
        <f t="shared" si="3"/>
        <v>96.624696159455524</v>
      </c>
      <c r="I24" s="1488">
        <f t="shared" si="3"/>
        <v>115.64694116835643</v>
      </c>
      <c r="J24" s="1488">
        <f t="shared" si="3"/>
        <v>134.73267123287673</v>
      </c>
    </row>
    <row r="25" spans="2:10" x14ac:dyDescent="0.2">
      <c r="B25" s="1413" t="s">
        <v>1161</v>
      </c>
      <c r="C25" s="1412"/>
      <c r="D25" s="1488">
        <f>IF(D19=0,"",D18/D19)</f>
        <v>172.75747742663657</v>
      </c>
      <c r="E25" s="1488">
        <f t="shared" ref="E25:J25" si="4">IF(E19=0,"",E18/E19)</f>
        <v>154.34716821042213</v>
      </c>
      <c r="F25" s="1488">
        <f>IF(F19=0,"",F18/F19)</f>
        <v>151.44036826200013</v>
      </c>
      <c r="G25" s="1488">
        <f t="shared" si="4"/>
        <v>155.24111196479708</v>
      </c>
      <c r="H25" s="1488">
        <f t="shared" si="4"/>
        <v>180.12334189874298</v>
      </c>
      <c r="I25" s="1488">
        <f t="shared" si="4"/>
        <v>204.21091109731705</v>
      </c>
      <c r="J25" s="1488">
        <f t="shared" si="4"/>
        <v>240.36965753424658</v>
      </c>
    </row>
    <row r="26" spans="2:10" x14ac:dyDescent="0.2">
      <c r="B26" s="1913" t="s">
        <v>1162</v>
      </c>
      <c r="C26" s="1912"/>
      <c r="D26" s="799"/>
      <c r="E26" s="799"/>
      <c r="F26" s="799"/>
      <c r="G26" s="799"/>
      <c r="H26" s="799"/>
      <c r="I26" s="799"/>
      <c r="J26" s="800"/>
    </row>
    <row r="27" spans="2:10" x14ac:dyDescent="0.2">
      <c r="B27" s="1911" t="s">
        <v>1163</v>
      </c>
      <c r="C27" s="1912"/>
      <c r="D27" s="1488">
        <f>IF(D20=0,"",D16/D20)</f>
        <v>21941.176470588234</v>
      </c>
      <c r="E27" s="1488">
        <f t="shared" ref="E27:J27" si="5">IF(E20=0,"",E16/E20)</f>
        <v>25789.147058823528</v>
      </c>
      <c r="F27" s="1488">
        <f>IF(F20=0,"",F16/F20)</f>
        <v>20723.228571428572</v>
      </c>
      <c r="G27" s="1488">
        <f t="shared" si="5"/>
        <v>23041.885714285716</v>
      </c>
      <c r="H27" s="1488">
        <f t="shared" si="5"/>
        <v>34351.342857142859</v>
      </c>
      <c r="I27" s="1488">
        <f t="shared" si="5"/>
        <v>37767.323529411762</v>
      </c>
      <c r="J27" s="1488">
        <f t="shared" si="5"/>
        <v>40586.84210526316</v>
      </c>
    </row>
    <row r="28" spans="2:10" x14ac:dyDescent="0.2">
      <c r="B28" s="1413" t="s">
        <v>1164</v>
      </c>
      <c r="C28" s="1412"/>
      <c r="D28" s="1488">
        <f>IF(D20=0,"",D17/D20)</f>
        <v>50088.529411764706</v>
      </c>
      <c r="E28" s="1488">
        <f t="shared" ref="E28:J28" si="6">IF(E20=0,"",E17/E20)</f>
        <v>38414.73529411765</v>
      </c>
      <c r="F28" s="1488">
        <f>IF(F20=0,"",F17/F20)</f>
        <v>40843.771428571432</v>
      </c>
      <c r="G28" s="1488">
        <f t="shared" si="6"/>
        <v>40460.6</v>
      </c>
      <c r="H28" s="1488">
        <f t="shared" si="6"/>
        <v>39751.4</v>
      </c>
      <c r="I28" s="1488">
        <f t="shared" si="6"/>
        <v>49316.617647058825</v>
      </c>
      <c r="J28" s="1488">
        <f t="shared" si="6"/>
        <v>51765.710526315786</v>
      </c>
    </row>
    <row r="29" spans="2:10" x14ac:dyDescent="0.2">
      <c r="B29" s="1413" t="s">
        <v>1165</v>
      </c>
      <c r="C29" s="1412"/>
      <c r="D29" s="1488">
        <f>IF(D20=0,"",D18/D20)</f>
        <v>72029.705882352937</v>
      </c>
      <c r="E29" s="1488">
        <f t="shared" ref="E29:J29" si="7">IF(E20=0,"",E18/E20)</f>
        <v>64203.882352941175</v>
      </c>
      <c r="F29" s="1488">
        <f>IF(F20=0,"",F18/F20)</f>
        <v>61567</v>
      </c>
      <c r="G29" s="1488">
        <f t="shared" si="7"/>
        <v>63502.485714285714</v>
      </c>
      <c r="H29" s="1488">
        <f t="shared" si="7"/>
        <v>74102.742857142861</v>
      </c>
      <c r="I29" s="1488">
        <f t="shared" si="7"/>
        <v>87083.941176470587</v>
      </c>
      <c r="J29" s="1488">
        <f t="shared" si="7"/>
        <v>92352.552631578947</v>
      </c>
    </row>
    <row r="31" spans="2:10" x14ac:dyDescent="0.2">
      <c r="B31" s="429" t="s">
        <v>11</v>
      </c>
    </row>
    <row r="33" spans="2:10" ht="12.75" customHeight="1" x14ac:dyDescent="0.2">
      <c r="B33" s="801">
        <v>1</v>
      </c>
      <c r="C33" s="1892" t="s">
        <v>191</v>
      </c>
      <c r="D33" s="1892"/>
      <c r="E33" s="1892"/>
      <c r="F33" s="1892"/>
      <c r="G33" s="1892"/>
      <c r="H33" s="1892"/>
      <c r="I33" s="1892"/>
      <c r="J33" s="1892"/>
    </row>
    <row r="34" spans="2:10" ht="25.5" customHeight="1" x14ac:dyDescent="0.2">
      <c r="B34" s="484"/>
      <c r="C34" s="1892"/>
      <c r="D34" s="1892"/>
      <c r="E34" s="1892"/>
      <c r="F34" s="1892"/>
      <c r="G34" s="1892"/>
      <c r="H34" s="1892"/>
      <c r="I34" s="1892"/>
      <c r="J34" s="1892"/>
    </row>
    <row r="35" spans="2:10" x14ac:dyDescent="0.2">
      <c r="B35" s="801">
        <v>2</v>
      </c>
      <c r="C35" s="1744" t="s">
        <v>1250</v>
      </c>
      <c r="D35" s="1744"/>
      <c r="E35" s="1744"/>
      <c r="F35" s="1744"/>
      <c r="G35" s="1744"/>
      <c r="H35" s="1744"/>
      <c r="I35" s="1744"/>
      <c r="J35" s="1744"/>
    </row>
    <row r="36" spans="2:10" x14ac:dyDescent="0.2">
      <c r="B36" s="801">
        <v>3</v>
      </c>
      <c r="C36" s="1556" t="s">
        <v>602</v>
      </c>
      <c r="D36" s="1556"/>
      <c r="E36" s="1556"/>
      <c r="F36" s="1556"/>
      <c r="G36" s="1556"/>
      <c r="H36" s="1556"/>
      <c r="I36" s="1556"/>
      <c r="J36" s="1556"/>
    </row>
    <row r="37" spans="2:10" ht="13.5" customHeight="1" x14ac:dyDescent="0.2">
      <c r="B37" s="801">
        <v>4</v>
      </c>
      <c r="C37" s="1556" t="s">
        <v>603</v>
      </c>
      <c r="D37" s="1556"/>
      <c r="E37" s="1556"/>
      <c r="F37" s="1556"/>
      <c r="G37" s="1556"/>
      <c r="H37" s="1556"/>
      <c r="I37" s="1556"/>
      <c r="J37" s="1556"/>
    </row>
    <row r="38" spans="2:10" ht="14.25" customHeight="1" x14ac:dyDescent="0.2">
      <c r="B38" s="598">
        <v>5</v>
      </c>
      <c r="C38" s="1556" t="s">
        <v>1271</v>
      </c>
      <c r="D38" s="1556"/>
      <c r="E38" s="1556"/>
      <c r="F38" s="1556"/>
      <c r="G38" s="1556"/>
      <c r="H38" s="1556"/>
      <c r="I38" s="1556"/>
      <c r="J38" s="1556"/>
    </row>
  </sheetData>
  <mergeCells count="19">
    <mergeCell ref="B14:C14"/>
    <mergeCell ref="B15:C15"/>
    <mergeCell ref="B16:C16"/>
    <mergeCell ref="B9:J9"/>
    <mergeCell ref="B10:J10"/>
    <mergeCell ref="B23:C23"/>
    <mergeCell ref="B26:C26"/>
    <mergeCell ref="B27:C27"/>
    <mergeCell ref="B17:C17"/>
    <mergeCell ref="B18:C18"/>
    <mergeCell ref="B19:C19"/>
    <mergeCell ref="B20:C20"/>
    <mergeCell ref="B21:C21"/>
    <mergeCell ref="B22:C22"/>
    <mergeCell ref="C38:J38"/>
    <mergeCell ref="C35:J35"/>
    <mergeCell ref="C36:J36"/>
    <mergeCell ref="C37:J37"/>
    <mergeCell ref="C33:J34"/>
  </mergeCells>
  <dataValidations count="2">
    <dataValidation type="list" allowBlank="1" showInputMessage="1" showErrorMessage="1" sqref="D14:J14">
      <formula1>"CGAAP, MIFRS, USGAAP, ASPE"</formula1>
    </dataValidation>
    <dataValidation allowBlank="1" showInputMessage="1" showErrorMessage="1" promptTitle="Date Format" prompt="E.g:  &quot;August 1, 2011&quot;" sqref="J7"/>
  </dataValidations>
  <pageMargins left="0.75" right="0.75" top="1" bottom="1" header="0.5" footer="0.5"/>
  <pageSetup scale="8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pageSetUpPr fitToPage="1"/>
  </sheetPr>
  <dimension ref="A1:L39"/>
  <sheetViews>
    <sheetView showGridLines="0" zoomScaleNormal="100" workbookViewId="0"/>
  </sheetViews>
  <sheetFormatPr defaultRowHeight="12.75" x14ac:dyDescent="0.2"/>
  <cols>
    <col min="1" max="1" width="6" style="43" customWidth="1"/>
    <col min="2" max="2" width="21.85546875" style="43" customWidth="1"/>
    <col min="3" max="3" width="17.7109375" style="43" customWidth="1"/>
    <col min="4" max="4" width="14.7109375" style="43" customWidth="1"/>
    <col min="5" max="7" width="13.7109375" style="43" customWidth="1"/>
    <col min="8" max="8" width="13" style="43" customWidth="1"/>
    <col min="9" max="9" width="12.140625" style="43" customWidth="1"/>
    <col min="10" max="10" width="12.28515625" style="43" customWidth="1"/>
    <col min="11" max="11" width="12.140625" style="43" customWidth="1"/>
    <col min="12" max="12" width="12.7109375" style="43" customWidth="1"/>
    <col min="13" max="16384" width="9.140625" style="43"/>
  </cols>
  <sheetData>
    <row r="1" spans="1:12" x14ac:dyDescent="0.2">
      <c r="K1" s="562" t="s">
        <v>301</v>
      </c>
      <c r="L1" s="1092" t="str">
        <f>EBNUMBER</f>
        <v>EB-2016-0066</v>
      </c>
    </row>
    <row r="2" spans="1:12" x14ac:dyDescent="0.2">
      <c r="K2" s="562" t="s">
        <v>302</v>
      </c>
      <c r="L2" s="62"/>
    </row>
    <row r="3" spans="1:12" x14ac:dyDescent="0.2">
      <c r="K3" s="562" t="s">
        <v>303</v>
      </c>
      <c r="L3" s="62"/>
    </row>
    <row r="4" spans="1:12" x14ac:dyDescent="0.2">
      <c r="K4" s="562" t="s">
        <v>304</v>
      </c>
      <c r="L4" s="62"/>
    </row>
    <row r="5" spans="1:12" x14ac:dyDescent="0.2">
      <c r="K5" s="562" t="s">
        <v>305</v>
      </c>
      <c r="L5" s="63"/>
    </row>
    <row r="6" spans="1:12" x14ac:dyDescent="0.2">
      <c r="K6" s="562"/>
      <c r="L6" s="61"/>
    </row>
    <row r="7" spans="1:12" x14ac:dyDescent="0.2">
      <c r="K7" s="562" t="s">
        <v>306</v>
      </c>
      <c r="L7" s="63"/>
    </row>
    <row r="9" spans="1:12" ht="18" x14ac:dyDescent="0.25">
      <c r="A9" s="1546" t="s">
        <v>174</v>
      </c>
      <c r="B9" s="1546"/>
      <c r="C9" s="1546"/>
      <c r="D9" s="1546"/>
      <c r="E9" s="1546"/>
      <c r="F9" s="1546"/>
      <c r="G9" s="1546"/>
      <c r="H9" s="1546"/>
      <c r="I9" s="1546"/>
      <c r="J9" s="1546"/>
      <c r="K9" s="1546"/>
      <c r="L9" s="1546"/>
    </row>
    <row r="10" spans="1:12" ht="21" x14ac:dyDescent="0.25">
      <c r="A10" s="1546" t="s">
        <v>1009</v>
      </c>
      <c r="B10" s="1546"/>
      <c r="C10" s="1546"/>
      <c r="D10" s="1546"/>
      <c r="E10" s="1546"/>
      <c r="F10" s="1546"/>
      <c r="G10" s="1546"/>
      <c r="H10" s="1546"/>
      <c r="I10" s="1546"/>
      <c r="J10" s="1546"/>
      <c r="K10" s="1546"/>
      <c r="L10" s="1546"/>
    </row>
    <row r="11" spans="1:12" ht="18.75" thickBot="1" x14ac:dyDescent="0.3">
      <c r="A11" s="1158"/>
      <c r="B11" s="1158"/>
      <c r="C11" s="1158"/>
      <c r="D11" s="1158"/>
      <c r="E11" s="1158"/>
      <c r="F11" s="1158"/>
      <c r="G11" s="1158"/>
      <c r="H11" s="1158"/>
    </row>
    <row r="12" spans="1:12" ht="13.5" thickBot="1" x14ac:dyDescent="0.25">
      <c r="H12" s="1746" t="s">
        <v>1120</v>
      </c>
      <c r="I12" s="1920"/>
      <c r="J12" s="1920"/>
      <c r="K12" s="1920"/>
      <c r="L12" s="1747"/>
    </row>
    <row r="13" spans="1:12" ht="39" thickBot="1" x14ac:dyDescent="0.25">
      <c r="A13" s="788"/>
      <c r="B13" s="789"/>
      <c r="C13" s="790" t="str">
        <f>"Last Rebasing Year - "&amp;RebaseYear&amp;"- Board Approved"</f>
        <v>Last Rebasing Year - 2012- Board Approved</v>
      </c>
      <c r="D13" s="790" t="str">
        <f>"Last Rebasing Year - "&amp;RebaseYear&amp;"-  Actual"</f>
        <v>Last Rebasing Year - 2012-  Actual</v>
      </c>
      <c r="E13" s="684" t="str">
        <f>BridgeYear -2 &amp; " Actuals"</f>
        <v>2014 Actuals</v>
      </c>
      <c r="F13" s="684" t="str">
        <f>BridgeYear -1 &amp; " Actuals"</f>
        <v>2015 Actuals</v>
      </c>
      <c r="G13" s="684" t="str">
        <f>BridgeYear &amp; " Bridge Year"</f>
        <v>2016 Bridge Year</v>
      </c>
      <c r="H13" s="685" t="str">
        <f>TestYear &amp; " Test Year"</f>
        <v>2017 Test Year</v>
      </c>
      <c r="I13" s="685" t="str">
        <f>TestYear+1 &amp; " Year"</f>
        <v>2018 Year</v>
      </c>
      <c r="J13" s="685" t="str">
        <f>TestYear+2 &amp; " Year"</f>
        <v>2019 Year</v>
      </c>
      <c r="K13" s="685" t="str">
        <f>TestYear+3 &amp; " Year"</f>
        <v>2020 Year</v>
      </c>
      <c r="L13" s="685" t="str">
        <f>TestYear+4 &amp; " Year"</f>
        <v>2021 Year</v>
      </c>
    </row>
    <row r="14" spans="1:12" ht="13.5" thickBot="1" x14ac:dyDescent="0.25">
      <c r="A14" s="1916" t="s">
        <v>103</v>
      </c>
      <c r="B14" s="1917"/>
      <c r="C14" s="688"/>
      <c r="D14" s="688"/>
      <c r="E14" s="688"/>
      <c r="F14" s="688"/>
      <c r="G14" s="688"/>
      <c r="H14" s="689"/>
      <c r="I14" s="689"/>
      <c r="J14" s="689"/>
      <c r="K14" s="689"/>
      <c r="L14" s="689"/>
    </row>
    <row r="15" spans="1:12" ht="12.75" customHeight="1" x14ac:dyDescent="0.2">
      <c r="A15" s="1918" t="s">
        <v>1168</v>
      </c>
      <c r="B15" s="1919"/>
      <c r="C15" s="1243"/>
      <c r="D15" s="1243"/>
      <c r="E15" s="1243"/>
      <c r="F15" s="1243"/>
      <c r="G15" s="1243"/>
      <c r="H15" s="1244"/>
      <c r="I15" s="1244"/>
      <c r="J15" s="1244"/>
      <c r="K15" s="1244"/>
      <c r="L15" s="1244"/>
    </row>
    <row r="16" spans="1:12" ht="15" customHeight="1" x14ac:dyDescent="0.2">
      <c r="A16" s="1914" t="s">
        <v>1166</v>
      </c>
      <c r="B16" s="1915"/>
      <c r="C16" s="793"/>
      <c r="D16" s="793"/>
      <c r="E16" s="793"/>
      <c r="F16" s="793"/>
      <c r="G16" s="793"/>
      <c r="H16" s="794"/>
      <c r="I16" s="794"/>
      <c r="J16" s="794"/>
      <c r="K16" s="794"/>
      <c r="L16" s="794"/>
    </row>
    <row r="17" spans="1:12" ht="15" customHeight="1" x14ac:dyDescent="0.2">
      <c r="A17" s="1914" t="s">
        <v>1167</v>
      </c>
      <c r="B17" s="1915"/>
      <c r="C17" s="793"/>
      <c r="D17" s="793"/>
      <c r="E17" s="793"/>
      <c r="F17" s="793"/>
      <c r="G17" s="793"/>
      <c r="H17" s="794"/>
      <c r="I17" s="794"/>
      <c r="J17" s="794"/>
      <c r="K17" s="794"/>
      <c r="L17" s="794"/>
    </row>
    <row r="18" spans="1:12" ht="28.5" customHeight="1" x14ac:dyDescent="0.2">
      <c r="A18" s="1914" t="s">
        <v>1121</v>
      </c>
      <c r="B18" s="1915"/>
      <c r="C18" s="1245">
        <f>SUM(C16:C17)</f>
        <v>0</v>
      </c>
      <c r="D18" s="1245">
        <f t="shared" ref="D18:L18" si="0">SUM(D16:D17)</f>
        <v>0</v>
      </c>
      <c r="E18" s="1245">
        <f t="shared" si="0"/>
        <v>0</v>
      </c>
      <c r="F18" s="1245">
        <f t="shared" si="0"/>
        <v>0</v>
      </c>
      <c r="G18" s="1245">
        <f t="shared" si="0"/>
        <v>0</v>
      </c>
      <c r="H18" s="1245">
        <f t="shared" si="0"/>
        <v>0</v>
      </c>
      <c r="I18" s="1245">
        <f t="shared" si="0"/>
        <v>0</v>
      </c>
      <c r="J18" s="1245">
        <f t="shared" si="0"/>
        <v>0</v>
      </c>
      <c r="K18" s="1245">
        <f t="shared" si="0"/>
        <v>0</v>
      </c>
      <c r="L18" s="1245">
        <f t="shared" si="0"/>
        <v>0</v>
      </c>
    </row>
    <row r="19" spans="1:12" ht="27" customHeight="1" x14ac:dyDescent="0.2">
      <c r="A19" s="1810" t="s">
        <v>1007</v>
      </c>
      <c r="B19" s="1811"/>
      <c r="C19" s="791"/>
      <c r="D19" s="791"/>
      <c r="E19" s="791"/>
      <c r="F19" s="791"/>
      <c r="G19" s="791"/>
      <c r="H19" s="792"/>
      <c r="I19" s="792"/>
      <c r="J19" s="792"/>
      <c r="K19" s="792"/>
      <c r="L19" s="792"/>
    </row>
    <row r="20" spans="1:12" ht="27" customHeight="1" x14ac:dyDescent="0.2">
      <c r="A20" s="1913" t="s">
        <v>1008</v>
      </c>
      <c r="B20" s="1912"/>
      <c r="C20" s="797"/>
      <c r="D20" s="797"/>
      <c r="E20" s="797"/>
      <c r="F20" s="797"/>
      <c r="G20" s="797"/>
      <c r="H20" s="798"/>
      <c r="I20" s="798"/>
      <c r="J20" s="798"/>
      <c r="K20" s="798"/>
      <c r="L20" s="798"/>
    </row>
    <row r="21" spans="1:12" ht="27" customHeight="1" x14ac:dyDescent="0.2">
      <c r="A21" s="1913" t="s">
        <v>601</v>
      </c>
      <c r="B21" s="1912"/>
      <c r="C21" s="799" t="str">
        <f>IF(C20=0,"",C19/C20)</f>
        <v/>
      </c>
      <c r="D21" s="799" t="str">
        <f t="shared" ref="D21:L21" si="1">IF(D20=0,"",D19/D20)</f>
        <v/>
      </c>
      <c r="E21" s="799" t="str">
        <f t="shared" si="1"/>
        <v/>
      </c>
      <c r="F21" s="799" t="str">
        <f t="shared" si="1"/>
        <v/>
      </c>
      <c r="G21" s="799" t="str">
        <f t="shared" si="1"/>
        <v/>
      </c>
      <c r="H21" s="799" t="str">
        <f t="shared" si="1"/>
        <v/>
      </c>
      <c r="I21" s="799" t="str">
        <f t="shared" si="1"/>
        <v/>
      </c>
      <c r="J21" s="799" t="str">
        <f t="shared" si="1"/>
        <v/>
      </c>
      <c r="K21" s="799" t="str">
        <f t="shared" si="1"/>
        <v/>
      </c>
      <c r="L21" s="799" t="str">
        <f t="shared" si="1"/>
        <v/>
      </c>
    </row>
    <row r="22" spans="1:12" x14ac:dyDescent="0.2">
      <c r="A22" s="1913" t="s">
        <v>173</v>
      </c>
      <c r="B22" s="1912"/>
      <c r="C22" s="795"/>
      <c r="D22" s="795"/>
      <c r="E22" s="795"/>
      <c r="F22" s="795"/>
      <c r="G22" s="795"/>
      <c r="H22" s="796"/>
      <c r="I22" s="796"/>
      <c r="J22" s="796"/>
      <c r="K22" s="796"/>
      <c r="L22" s="796"/>
    </row>
    <row r="23" spans="1:12" x14ac:dyDescent="0.2">
      <c r="A23" s="1911" t="s">
        <v>1159</v>
      </c>
      <c r="B23" s="1912"/>
      <c r="C23" s="682" t="str">
        <f>IF(C19=0,"",C16/C19)</f>
        <v/>
      </c>
      <c r="D23" s="682" t="str">
        <f t="shared" ref="D23:L23" si="2">IF(D19=0,"",D16/D19)</f>
        <v/>
      </c>
      <c r="E23" s="682" t="str">
        <f t="shared" si="2"/>
        <v/>
      </c>
      <c r="F23" s="682" t="str">
        <f t="shared" si="2"/>
        <v/>
      </c>
      <c r="G23" s="682" t="str">
        <f t="shared" si="2"/>
        <v/>
      </c>
      <c r="H23" s="682" t="str">
        <f t="shared" si="2"/>
        <v/>
      </c>
      <c r="I23" s="682" t="str">
        <f t="shared" si="2"/>
        <v/>
      </c>
      <c r="J23" s="682" t="str">
        <f t="shared" si="2"/>
        <v/>
      </c>
      <c r="K23" s="682" t="str">
        <f t="shared" si="2"/>
        <v/>
      </c>
      <c r="L23" s="682" t="str">
        <f t="shared" si="2"/>
        <v/>
      </c>
    </row>
    <row r="24" spans="1:12" x14ac:dyDescent="0.2">
      <c r="A24" s="1242" t="s">
        <v>1160</v>
      </c>
      <c r="B24" s="1164"/>
      <c r="C24" s="682" t="str">
        <f>IF(C19=0,"",C17/C19)</f>
        <v/>
      </c>
      <c r="D24" s="682" t="str">
        <f t="shared" ref="D24:L24" si="3">IF(D19=0,"",D17/D19)</f>
        <v/>
      </c>
      <c r="E24" s="682" t="str">
        <f t="shared" si="3"/>
        <v/>
      </c>
      <c r="F24" s="682" t="str">
        <f t="shared" si="3"/>
        <v/>
      </c>
      <c r="G24" s="682" t="str">
        <f t="shared" si="3"/>
        <v/>
      </c>
      <c r="H24" s="682" t="str">
        <f t="shared" si="3"/>
        <v/>
      </c>
      <c r="I24" s="682" t="str">
        <f t="shared" si="3"/>
        <v/>
      </c>
      <c r="J24" s="682" t="str">
        <f t="shared" si="3"/>
        <v/>
      </c>
      <c r="K24" s="682" t="str">
        <f t="shared" si="3"/>
        <v/>
      </c>
      <c r="L24" s="682" t="str">
        <f t="shared" si="3"/>
        <v/>
      </c>
    </row>
    <row r="25" spans="1:12" x14ac:dyDescent="0.2">
      <c r="A25" s="1242" t="s">
        <v>1161</v>
      </c>
      <c r="B25" s="1164"/>
      <c r="C25" s="682" t="str">
        <f>IF(C19=0,"",C18/C19)</f>
        <v/>
      </c>
      <c r="D25" s="682" t="str">
        <f t="shared" ref="D25:L25" si="4">IF(D19=0,"",D18/D19)</f>
        <v/>
      </c>
      <c r="E25" s="682" t="str">
        <f t="shared" si="4"/>
        <v/>
      </c>
      <c r="F25" s="682" t="str">
        <f t="shared" si="4"/>
        <v/>
      </c>
      <c r="G25" s="682" t="str">
        <f t="shared" si="4"/>
        <v/>
      </c>
      <c r="H25" s="682" t="str">
        <f t="shared" si="4"/>
        <v/>
      </c>
      <c r="I25" s="682" t="str">
        <f t="shared" si="4"/>
        <v/>
      </c>
      <c r="J25" s="682" t="str">
        <f t="shared" si="4"/>
        <v/>
      </c>
      <c r="K25" s="682" t="str">
        <f t="shared" si="4"/>
        <v/>
      </c>
      <c r="L25" s="682" t="str">
        <f t="shared" si="4"/>
        <v/>
      </c>
    </row>
    <row r="26" spans="1:12" x14ac:dyDescent="0.2">
      <c r="A26" s="1913" t="s">
        <v>1162</v>
      </c>
      <c r="B26" s="1912"/>
      <c r="C26" s="799"/>
      <c r="D26" s="799"/>
      <c r="E26" s="799"/>
      <c r="F26" s="799"/>
      <c r="G26" s="799"/>
      <c r="H26" s="800"/>
      <c r="I26" s="800"/>
      <c r="J26" s="800"/>
      <c r="K26" s="800"/>
      <c r="L26" s="800"/>
    </row>
    <row r="27" spans="1:12" x14ac:dyDescent="0.2">
      <c r="A27" s="1911" t="s">
        <v>1163</v>
      </c>
      <c r="B27" s="1912"/>
      <c r="C27" s="682" t="str">
        <f>IF(C20=0,"",C16/C20)</f>
        <v/>
      </c>
      <c r="D27" s="682" t="str">
        <f t="shared" ref="D27:L27" si="5">IF(D20=0,"",D16/D20)</f>
        <v/>
      </c>
      <c r="E27" s="682" t="str">
        <f t="shared" si="5"/>
        <v/>
      </c>
      <c r="F27" s="682" t="str">
        <f t="shared" si="5"/>
        <v/>
      </c>
      <c r="G27" s="682" t="str">
        <f t="shared" si="5"/>
        <v/>
      </c>
      <c r="H27" s="682" t="str">
        <f t="shared" si="5"/>
        <v/>
      </c>
      <c r="I27" s="682" t="str">
        <f t="shared" si="5"/>
        <v/>
      </c>
      <c r="J27" s="682" t="str">
        <f t="shared" si="5"/>
        <v/>
      </c>
      <c r="K27" s="682" t="str">
        <f t="shared" si="5"/>
        <v/>
      </c>
      <c r="L27" s="682" t="str">
        <f t="shared" si="5"/>
        <v/>
      </c>
    </row>
    <row r="28" spans="1:12" x14ac:dyDescent="0.2">
      <c r="A28" s="1242" t="s">
        <v>1164</v>
      </c>
      <c r="B28" s="1164"/>
      <c r="C28" s="682" t="str">
        <f>IF(C20=0,"",C17/C20)</f>
        <v/>
      </c>
      <c r="D28" s="682" t="str">
        <f t="shared" ref="D28:L28" si="6">IF(D20=0,"",D17/D20)</f>
        <v/>
      </c>
      <c r="E28" s="682" t="str">
        <f t="shared" si="6"/>
        <v/>
      </c>
      <c r="F28" s="682" t="str">
        <f t="shared" si="6"/>
        <v/>
      </c>
      <c r="G28" s="682" t="str">
        <f t="shared" si="6"/>
        <v/>
      </c>
      <c r="H28" s="682" t="str">
        <f t="shared" si="6"/>
        <v/>
      </c>
      <c r="I28" s="682" t="str">
        <f t="shared" si="6"/>
        <v/>
      </c>
      <c r="J28" s="682" t="str">
        <f t="shared" si="6"/>
        <v/>
      </c>
      <c r="K28" s="682" t="str">
        <f t="shared" si="6"/>
        <v/>
      </c>
      <c r="L28" s="682" t="str">
        <f t="shared" si="6"/>
        <v/>
      </c>
    </row>
    <row r="29" spans="1:12" x14ac:dyDescent="0.2">
      <c r="A29" s="1242" t="s">
        <v>1165</v>
      </c>
      <c r="B29" s="1164"/>
      <c r="C29" s="682" t="str">
        <f>IF(C20=0,"",C18/C20)</f>
        <v/>
      </c>
      <c r="D29" s="682" t="str">
        <f t="shared" ref="D29:L29" si="7">IF(D20=0,"",D18/D20)</f>
        <v/>
      </c>
      <c r="E29" s="682" t="str">
        <f t="shared" si="7"/>
        <v/>
      </c>
      <c r="F29" s="682" t="str">
        <f t="shared" si="7"/>
        <v/>
      </c>
      <c r="G29" s="682" t="str">
        <f t="shared" si="7"/>
        <v/>
      </c>
      <c r="H29" s="682" t="str">
        <f t="shared" si="7"/>
        <v/>
      </c>
      <c r="I29" s="682" t="str">
        <f t="shared" si="7"/>
        <v/>
      </c>
      <c r="J29" s="682" t="str">
        <f t="shared" si="7"/>
        <v/>
      </c>
      <c r="K29" s="682" t="str">
        <f t="shared" si="7"/>
        <v/>
      </c>
      <c r="L29" s="682" t="str">
        <f t="shared" si="7"/>
        <v/>
      </c>
    </row>
    <row r="31" spans="1:12" x14ac:dyDescent="0.2">
      <c r="A31" s="429" t="s">
        <v>11</v>
      </c>
    </row>
    <row r="33" spans="1:12" ht="12.75" customHeight="1" x14ac:dyDescent="0.2">
      <c r="A33" s="801">
        <v>1</v>
      </c>
      <c r="B33" s="1892" t="s">
        <v>191</v>
      </c>
      <c r="C33" s="1892"/>
      <c r="D33" s="1892"/>
      <c r="E33" s="1892"/>
      <c r="F33" s="1892"/>
      <c r="G33" s="1892"/>
      <c r="H33" s="1892"/>
      <c r="I33" s="1892"/>
      <c r="J33" s="1892"/>
      <c r="K33" s="1892"/>
      <c r="L33" s="1892"/>
    </row>
    <row r="34" spans="1:12" x14ac:dyDescent="0.2">
      <c r="A34" s="484"/>
      <c r="B34" s="1892"/>
      <c r="C34" s="1892"/>
      <c r="D34" s="1892"/>
      <c r="E34" s="1892"/>
      <c r="F34" s="1892"/>
      <c r="G34" s="1892"/>
      <c r="H34" s="1892"/>
      <c r="I34" s="1892"/>
      <c r="J34" s="1892"/>
      <c r="K34" s="1892"/>
      <c r="L34" s="1892"/>
    </row>
    <row r="35" spans="1:12" x14ac:dyDescent="0.2">
      <c r="A35" s="801">
        <v>2</v>
      </c>
      <c r="B35" s="1754" t="s">
        <v>1169</v>
      </c>
      <c r="C35" s="1800"/>
      <c r="D35" s="1800"/>
      <c r="E35" s="1800"/>
      <c r="F35" s="1800"/>
      <c r="G35" s="1800"/>
    </row>
    <row r="36" spans="1:12" x14ac:dyDescent="0.2">
      <c r="A36" s="801">
        <v>3</v>
      </c>
      <c r="B36" s="1754" t="s">
        <v>602</v>
      </c>
      <c r="C36" s="1800"/>
      <c r="D36" s="1800"/>
      <c r="E36" s="1800"/>
      <c r="F36" s="1800"/>
      <c r="G36" s="1800"/>
    </row>
    <row r="37" spans="1:12" ht="12.75" customHeight="1" x14ac:dyDescent="0.2">
      <c r="A37" s="801">
        <v>4</v>
      </c>
      <c r="B37" s="1556" t="s">
        <v>603</v>
      </c>
      <c r="C37" s="1556"/>
      <c r="D37" s="1556"/>
      <c r="E37" s="1556"/>
      <c r="F37" s="1556"/>
      <c r="G37" s="1556"/>
      <c r="H37" s="1556"/>
      <c r="I37" s="1556"/>
      <c r="J37" s="1556"/>
      <c r="K37" s="1556"/>
      <c r="L37" s="1556"/>
    </row>
    <row r="38" spans="1:12" ht="14.25" customHeight="1" x14ac:dyDescent="0.2">
      <c r="A38" s="598">
        <v>5</v>
      </c>
      <c r="B38" s="1556" t="s">
        <v>1170</v>
      </c>
      <c r="C38" s="1556"/>
      <c r="D38" s="1556"/>
      <c r="E38" s="1556"/>
      <c r="F38" s="1556"/>
      <c r="G38" s="1556"/>
      <c r="H38" s="1556"/>
      <c r="I38" s="1556"/>
      <c r="J38" s="1556"/>
      <c r="K38" s="1556"/>
      <c r="L38" s="1556"/>
    </row>
    <row r="39" spans="1:12" x14ac:dyDescent="0.2">
      <c r="B39" s="1556"/>
      <c r="C39" s="1556"/>
      <c r="D39" s="1556"/>
      <c r="E39" s="1556"/>
      <c r="F39" s="1556"/>
      <c r="G39" s="1556"/>
      <c r="H39" s="1556"/>
      <c r="I39" s="1556"/>
      <c r="J39" s="1556"/>
      <c r="K39" s="1556"/>
      <c r="L39" s="1556"/>
    </row>
  </sheetData>
  <mergeCells count="20">
    <mergeCell ref="B38:L39"/>
    <mergeCell ref="B37:L37"/>
    <mergeCell ref="B33:L34"/>
    <mergeCell ref="A20:B20"/>
    <mergeCell ref="A19:B19"/>
    <mergeCell ref="A21:B21"/>
    <mergeCell ref="A27:B27"/>
    <mergeCell ref="A9:L9"/>
    <mergeCell ref="A10:L10"/>
    <mergeCell ref="B35:G35"/>
    <mergeCell ref="B36:G36"/>
    <mergeCell ref="A22:B22"/>
    <mergeCell ref="A23:B23"/>
    <mergeCell ref="A26:B26"/>
    <mergeCell ref="A15:B15"/>
    <mergeCell ref="A14:B14"/>
    <mergeCell ref="H12:L12"/>
    <mergeCell ref="A16:B16"/>
    <mergeCell ref="A17:B17"/>
    <mergeCell ref="A18:B18"/>
  </mergeCells>
  <phoneticPr fontId="16" type="noConversion"/>
  <dataValidations count="2">
    <dataValidation allowBlank="1" showInputMessage="1" showErrorMessage="1" promptTitle="Date Format" prompt="E.g:  &quot;August 1, 2011&quot;" sqref="L7"/>
    <dataValidation type="list" allowBlank="1" showInputMessage="1" showErrorMessage="1" sqref="C14:L14">
      <formula1>"CGAAP, MIFRS, USGAAP, ASPE"</formula1>
    </dataValidation>
  </dataValidations>
  <pageMargins left="0.75" right="0.75" top="1" bottom="1" header="0.5" footer="0.5"/>
  <pageSetup scale="75"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7" tint="0.39997558519241921"/>
    <pageSetUpPr fitToPage="1"/>
  </sheetPr>
  <dimension ref="A1:L46"/>
  <sheetViews>
    <sheetView showGridLines="0" zoomScaleNormal="100" workbookViewId="0">
      <selection activeCell="H35" sqref="H35"/>
    </sheetView>
  </sheetViews>
  <sheetFormatPr defaultRowHeight="12.75" x14ac:dyDescent="0.2"/>
  <cols>
    <col min="1" max="1" width="4.140625" style="43" customWidth="1"/>
    <col min="2" max="2" width="40.7109375" style="43" customWidth="1"/>
    <col min="3" max="3" width="17.7109375" style="43" customWidth="1"/>
    <col min="4" max="4" width="15.7109375" style="43" customWidth="1"/>
    <col min="5" max="8" width="13.7109375" style="43" customWidth="1"/>
    <col min="9" max="9" width="15" style="43" customWidth="1"/>
    <col min="10" max="10" width="12.85546875" style="43" customWidth="1"/>
    <col min="11" max="11" width="13.7109375" style="43" customWidth="1"/>
    <col min="12" max="12" width="10.7109375" style="43" customWidth="1"/>
    <col min="13" max="16384" width="9.140625" style="43"/>
  </cols>
  <sheetData>
    <row r="1" spans="1:12" x14ac:dyDescent="0.2">
      <c r="J1" s="562" t="s">
        <v>301</v>
      </c>
      <c r="K1" s="61" t="str">
        <f>EBNUMBER</f>
        <v>EB-2016-0066</v>
      </c>
    </row>
    <row r="2" spans="1:12" x14ac:dyDescent="0.2">
      <c r="J2" s="562" t="s">
        <v>302</v>
      </c>
      <c r="K2" s="62"/>
    </row>
    <row r="3" spans="1:12" x14ac:dyDescent="0.2">
      <c r="J3" s="562" t="s">
        <v>303</v>
      </c>
      <c r="K3" s="62"/>
    </row>
    <row r="4" spans="1:12" x14ac:dyDescent="0.2">
      <c r="J4" s="562" t="s">
        <v>304</v>
      </c>
      <c r="K4" s="62"/>
    </row>
    <row r="5" spans="1:12" x14ac:dyDescent="0.2">
      <c r="J5" s="562" t="s">
        <v>305</v>
      </c>
      <c r="K5" s="63"/>
    </row>
    <row r="6" spans="1:12" x14ac:dyDescent="0.2">
      <c r="J6" s="562"/>
      <c r="K6" s="61"/>
    </row>
    <row r="7" spans="1:12" x14ac:dyDescent="0.2">
      <c r="J7" s="562" t="s">
        <v>306</v>
      </c>
      <c r="K7" s="63"/>
    </row>
    <row r="9" spans="1:12" ht="18" x14ac:dyDescent="0.25">
      <c r="A9" s="1546" t="s">
        <v>32</v>
      </c>
      <c r="B9" s="1546"/>
      <c r="C9" s="1546"/>
      <c r="D9" s="1546"/>
      <c r="E9" s="1546"/>
      <c r="F9" s="1546"/>
      <c r="G9" s="1546"/>
      <c r="H9" s="1546"/>
      <c r="I9" s="1546"/>
      <c r="J9" s="1546"/>
      <c r="K9" s="1546"/>
    </row>
    <row r="10" spans="1:12" ht="18" x14ac:dyDescent="0.25">
      <c r="A10" s="1546" t="s">
        <v>101</v>
      </c>
      <c r="B10" s="1546"/>
      <c r="C10" s="1546"/>
      <c r="D10" s="1546"/>
      <c r="E10" s="1546"/>
      <c r="F10" s="1546"/>
      <c r="G10" s="1546"/>
      <c r="H10" s="1546"/>
      <c r="I10" s="1546"/>
      <c r="J10" s="1546"/>
      <c r="K10" s="1546"/>
    </row>
    <row r="11" spans="1:12" x14ac:dyDescent="0.2">
      <c r="E11" s="802"/>
    </row>
    <row r="12" spans="1:12" ht="13.5" thickBot="1" x14ac:dyDescent="0.25">
      <c r="E12" s="802"/>
    </row>
    <row r="13" spans="1:12" ht="63.75" x14ac:dyDescent="0.2">
      <c r="A13" s="1921" t="s">
        <v>120</v>
      </c>
      <c r="B13" s="1922"/>
      <c r="C13" s="803" t="s">
        <v>121</v>
      </c>
      <c r="D13" s="803" t="s">
        <v>124</v>
      </c>
      <c r="E13" s="803" t="s">
        <v>91</v>
      </c>
      <c r="F13" s="66" t="str">
        <f>"Last Rebasing Year (" &amp; RebaseYear &amp; " Board Approved)"</f>
        <v>Last Rebasing Year (2012 Board Approved)</v>
      </c>
      <c r="G13" s="66" t="str">
        <f>"Most Current Actuals               Year " &amp; TestYear - 2</f>
        <v>Most Current Actuals               Year 2015</v>
      </c>
      <c r="H13" s="66" t="str">
        <f>TestYear -1 &amp; " Bridge Year"</f>
        <v>2016 Bridge Year</v>
      </c>
      <c r="I13" s="803" t="s">
        <v>122</v>
      </c>
      <c r="J13" s="66" t="str">
        <f>TestYear &amp; " Test Year"</f>
        <v>2017 Test Year</v>
      </c>
      <c r="K13" s="804" t="s">
        <v>122</v>
      </c>
    </row>
    <row r="14" spans="1:12" x14ac:dyDescent="0.2">
      <c r="A14" s="1923" t="s">
        <v>21</v>
      </c>
      <c r="B14" s="1924"/>
      <c r="C14" s="1081" t="s">
        <v>22</v>
      </c>
      <c r="D14" s="1081" t="s">
        <v>123</v>
      </c>
      <c r="E14" s="1081" t="s">
        <v>23</v>
      </c>
      <c r="F14" s="1081" t="s">
        <v>24</v>
      </c>
      <c r="G14" s="1081" t="s">
        <v>125</v>
      </c>
      <c r="H14" s="1081" t="s">
        <v>126</v>
      </c>
      <c r="I14" s="1081" t="s">
        <v>128</v>
      </c>
      <c r="J14" s="1081" t="s">
        <v>127</v>
      </c>
      <c r="K14" s="805" t="s">
        <v>129</v>
      </c>
    </row>
    <row r="15" spans="1:12" x14ac:dyDescent="0.2">
      <c r="A15" s="806">
        <v>1</v>
      </c>
      <c r="B15" s="807" t="s">
        <v>130</v>
      </c>
      <c r="C15" s="808">
        <v>5655</v>
      </c>
      <c r="D15" s="809"/>
      <c r="E15" s="810" t="s">
        <v>1294</v>
      </c>
      <c r="F15" s="809">
        <v>29970</v>
      </c>
      <c r="G15" s="809">
        <v>21687</v>
      </c>
      <c r="H15" s="809">
        <v>47481</v>
      </c>
      <c r="I15" s="811">
        <f>IF(G15=0,"",(H15-G15)/G15)</f>
        <v>1.1893761239452207</v>
      </c>
      <c r="J15" s="809">
        <v>47481</v>
      </c>
      <c r="K15" s="812">
        <f>IF(H15=0,"",(J15-H15)/H15)</f>
        <v>0</v>
      </c>
      <c r="L15" s="44"/>
    </row>
    <row r="16" spans="1:12" x14ac:dyDescent="0.2">
      <c r="A16" s="806">
        <v>2</v>
      </c>
      <c r="B16" s="807" t="s">
        <v>81</v>
      </c>
      <c r="C16" s="808">
        <v>5655</v>
      </c>
      <c r="D16" s="809"/>
      <c r="E16" s="810"/>
      <c r="F16" s="809"/>
      <c r="G16" s="809"/>
      <c r="H16" s="809"/>
      <c r="I16" s="811" t="str">
        <f t="shared" ref="I16:I28" si="0">IF(G16=0,"",(H16-G16)/G16)</f>
        <v/>
      </c>
      <c r="J16" s="809"/>
      <c r="K16" s="812" t="str">
        <f t="shared" ref="K16:K28" si="1">IF(H16=0,"",(J16-H16)/H16)</f>
        <v/>
      </c>
      <c r="L16" s="44"/>
    </row>
    <row r="17" spans="1:12" x14ac:dyDescent="0.2">
      <c r="A17" s="806">
        <v>3</v>
      </c>
      <c r="B17" s="807" t="s">
        <v>131</v>
      </c>
      <c r="C17" s="808">
        <v>5655</v>
      </c>
      <c r="D17" s="809"/>
      <c r="E17" s="810" t="s">
        <v>1294</v>
      </c>
      <c r="F17" s="809">
        <v>2000</v>
      </c>
      <c r="G17" s="809">
        <v>1984</v>
      </c>
      <c r="H17" s="809">
        <v>2143</v>
      </c>
      <c r="I17" s="811">
        <f t="shared" si="0"/>
        <v>8.0141129032258063E-2</v>
      </c>
      <c r="J17" s="809">
        <v>2143</v>
      </c>
      <c r="K17" s="812">
        <f t="shared" si="1"/>
        <v>0</v>
      </c>
      <c r="L17" s="44"/>
    </row>
    <row r="18" spans="1:12" ht="12.75" customHeight="1" x14ac:dyDescent="0.2">
      <c r="A18" s="806">
        <v>4</v>
      </c>
      <c r="B18" s="807" t="s">
        <v>132</v>
      </c>
      <c r="C18" s="808">
        <v>5655</v>
      </c>
      <c r="D18" s="809"/>
      <c r="E18" s="810"/>
      <c r="F18" s="809"/>
      <c r="G18" s="809"/>
      <c r="H18" s="809"/>
      <c r="I18" s="811" t="str">
        <f t="shared" si="0"/>
        <v/>
      </c>
      <c r="J18" s="809"/>
      <c r="K18" s="812" t="str">
        <f t="shared" si="1"/>
        <v/>
      </c>
      <c r="L18" s="44"/>
    </row>
    <row r="19" spans="1:12" x14ac:dyDescent="0.2">
      <c r="A19" s="806">
        <v>5</v>
      </c>
      <c r="B19" s="807" t="s">
        <v>133</v>
      </c>
      <c r="C19" s="808">
        <v>5655</v>
      </c>
      <c r="D19" s="809"/>
      <c r="E19" s="810" t="s">
        <v>1295</v>
      </c>
      <c r="F19" s="809">
        <v>25000</v>
      </c>
      <c r="G19" s="809">
        <v>0</v>
      </c>
      <c r="H19" s="809">
        <v>40000</v>
      </c>
      <c r="I19" s="811" t="str">
        <f t="shared" si="0"/>
        <v/>
      </c>
      <c r="J19" s="809">
        <v>40000</v>
      </c>
      <c r="K19" s="812">
        <f t="shared" si="1"/>
        <v>0</v>
      </c>
      <c r="L19" s="44"/>
    </row>
    <row r="20" spans="1:12" x14ac:dyDescent="0.2">
      <c r="A20" s="806">
        <v>6</v>
      </c>
      <c r="B20" s="807" t="s">
        <v>134</v>
      </c>
      <c r="C20" s="808">
        <v>5655</v>
      </c>
      <c r="D20" s="809"/>
      <c r="E20" s="810" t="s">
        <v>1295</v>
      </c>
      <c r="F20" s="809">
        <v>36925</v>
      </c>
      <c r="G20" s="809">
        <v>38376</v>
      </c>
      <c r="H20" s="809">
        <v>44425</v>
      </c>
      <c r="I20" s="811">
        <f t="shared" si="0"/>
        <v>0.15762455701480091</v>
      </c>
      <c r="J20" s="809">
        <v>44425</v>
      </c>
      <c r="K20" s="812">
        <f t="shared" si="1"/>
        <v>0</v>
      </c>
      <c r="L20" s="44"/>
    </row>
    <row r="21" spans="1:12" ht="25.5" customHeight="1" x14ac:dyDescent="0.2">
      <c r="A21" s="806">
        <v>7</v>
      </c>
      <c r="B21" s="807" t="s">
        <v>135</v>
      </c>
      <c r="C21" s="808">
        <v>5655</v>
      </c>
      <c r="D21" s="809"/>
      <c r="E21" s="810"/>
      <c r="F21" s="809"/>
      <c r="G21" s="809"/>
      <c r="H21" s="809"/>
      <c r="I21" s="811" t="str">
        <f t="shared" si="0"/>
        <v/>
      </c>
      <c r="J21" s="809"/>
      <c r="K21" s="812" t="str">
        <f t="shared" si="1"/>
        <v/>
      </c>
      <c r="L21" s="44"/>
    </row>
    <row r="22" spans="1:12" ht="26.25" customHeight="1" x14ac:dyDescent="0.2">
      <c r="A22" s="806">
        <v>8</v>
      </c>
      <c r="B22" s="807" t="s">
        <v>90</v>
      </c>
      <c r="C22" s="808">
        <v>5655</v>
      </c>
      <c r="D22" s="809"/>
      <c r="E22" s="810"/>
      <c r="F22" s="809"/>
      <c r="G22" s="809"/>
      <c r="H22" s="809"/>
      <c r="I22" s="811" t="str">
        <f t="shared" si="0"/>
        <v/>
      </c>
      <c r="J22" s="809"/>
      <c r="K22" s="812" t="str">
        <f t="shared" si="1"/>
        <v/>
      </c>
      <c r="L22" s="44"/>
    </row>
    <row r="23" spans="1:12" ht="13.5" customHeight="1" x14ac:dyDescent="0.2">
      <c r="A23" s="806">
        <v>9</v>
      </c>
      <c r="B23" s="807" t="s">
        <v>136</v>
      </c>
      <c r="C23" s="808">
        <v>5655</v>
      </c>
      <c r="D23" s="809"/>
      <c r="E23" s="810" t="s">
        <v>1294</v>
      </c>
      <c r="F23" s="809">
        <v>800</v>
      </c>
      <c r="G23" s="809">
        <v>800</v>
      </c>
      <c r="H23" s="809">
        <v>800</v>
      </c>
      <c r="I23" s="811">
        <f t="shared" si="0"/>
        <v>0</v>
      </c>
      <c r="J23" s="809">
        <v>800</v>
      </c>
      <c r="K23" s="812">
        <f t="shared" si="1"/>
        <v>0</v>
      </c>
      <c r="L23" s="44"/>
    </row>
    <row r="24" spans="1:12" ht="25.5" x14ac:dyDescent="0.2">
      <c r="A24" s="806">
        <v>10</v>
      </c>
      <c r="B24" s="807" t="s">
        <v>137</v>
      </c>
      <c r="C24" s="808">
        <v>5655</v>
      </c>
      <c r="D24" s="809"/>
      <c r="E24" s="810" t="s">
        <v>1294</v>
      </c>
      <c r="F24" s="809">
        <v>4561</v>
      </c>
      <c r="G24" s="809">
        <v>5847</v>
      </c>
      <c r="H24" s="809">
        <v>5179</v>
      </c>
      <c r="I24" s="811">
        <f t="shared" si="0"/>
        <v>-0.1142466221994185</v>
      </c>
      <c r="J24" s="809">
        <v>5179</v>
      </c>
      <c r="K24" s="812">
        <f t="shared" si="1"/>
        <v>0</v>
      </c>
      <c r="L24" s="44"/>
    </row>
    <row r="25" spans="1:12" ht="13.5" thickBot="1" x14ac:dyDescent="0.25">
      <c r="A25" s="813">
        <v>11</v>
      </c>
      <c r="B25" s="814" t="s">
        <v>138</v>
      </c>
      <c r="C25" s="808">
        <v>5655</v>
      </c>
      <c r="D25" s="815"/>
      <c r="E25" s="810" t="s">
        <v>1295</v>
      </c>
      <c r="F25" s="815">
        <v>11250</v>
      </c>
      <c r="G25" s="815">
        <v>0</v>
      </c>
      <c r="H25" s="815">
        <v>10000</v>
      </c>
      <c r="I25" s="816" t="str">
        <f t="shared" si="0"/>
        <v/>
      </c>
      <c r="J25" s="815">
        <v>10000</v>
      </c>
      <c r="K25" s="817">
        <f t="shared" si="1"/>
        <v>0</v>
      </c>
      <c r="L25" s="44"/>
    </row>
    <row r="26" spans="1:12" ht="14.25" x14ac:dyDescent="0.2">
      <c r="A26" s="818">
        <v>12</v>
      </c>
      <c r="B26" s="819" t="s">
        <v>92</v>
      </c>
      <c r="C26" s="820"/>
      <c r="D26" s="821">
        <f>SUMIF($E15:$E25,$E11,D15:D25)</f>
        <v>0</v>
      </c>
      <c r="E26" s="820"/>
      <c r="F26" s="821">
        <f>SUMIF($E15:$E25,$E11,F15:F25)</f>
        <v>0</v>
      </c>
      <c r="G26" s="821">
        <f>SUMIF($E15:$E25,$E11,G15:G25)</f>
        <v>0</v>
      </c>
      <c r="H26" s="821">
        <f>SUMIF($E15:$E25,$E11,H15:H25)</f>
        <v>0</v>
      </c>
      <c r="I26" s="822" t="str">
        <f t="shared" si="0"/>
        <v/>
      </c>
      <c r="J26" s="821">
        <f>SUMIF($E15:$E25,$E11,J15:J25)</f>
        <v>0</v>
      </c>
      <c r="K26" s="823" t="str">
        <f t="shared" si="1"/>
        <v/>
      </c>
      <c r="L26" s="44"/>
    </row>
    <row r="27" spans="1:12" ht="15" thickBot="1" x14ac:dyDescent="0.25">
      <c r="A27" s="824">
        <v>13</v>
      </c>
      <c r="B27" s="825" t="s">
        <v>93</v>
      </c>
      <c r="C27" s="826"/>
      <c r="D27" s="827">
        <f>SUMIF($E15:$E25,$E12,D15:D25)</f>
        <v>0</v>
      </c>
      <c r="E27" s="826"/>
      <c r="F27" s="827">
        <f>SUMIF($E15:$E25,$E12,F15:F25)</f>
        <v>0</v>
      </c>
      <c r="G27" s="827">
        <f>SUMIF($E15:$E25,$E12,G15:G25)</f>
        <v>0</v>
      </c>
      <c r="H27" s="827">
        <f>SUMIF($E15:$E25,$E12,H15:H25)</f>
        <v>0</v>
      </c>
      <c r="I27" s="828" t="str">
        <f t="shared" si="0"/>
        <v/>
      </c>
      <c r="J27" s="827">
        <f>SUMIF($E15:$E25,$E12,J15:J25)</f>
        <v>0</v>
      </c>
      <c r="K27" s="829" t="str">
        <f t="shared" si="1"/>
        <v/>
      </c>
      <c r="L27" s="44"/>
    </row>
    <row r="28" spans="1:12" ht="14.25" thickTop="1" thickBot="1" x14ac:dyDescent="0.25">
      <c r="A28" s="830">
        <v>14</v>
      </c>
      <c r="B28" s="831" t="s">
        <v>295</v>
      </c>
      <c r="C28" s="832"/>
      <c r="D28" s="833">
        <f>D26+D27</f>
        <v>0</v>
      </c>
      <c r="E28" s="832"/>
      <c r="F28" s="833">
        <f>F26+F27</f>
        <v>0</v>
      </c>
      <c r="G28" s="833">
        <f>G26+G27</f>
        <v>0</v>
      </c>
      <c r="H28" s="833">
        <f>H26+H27</f>
        <v>0</v>
      </c>
      <c r="I28" s="834" t="str">
        <f t="shared" si="0"/>
        <v/>
      </c>
      <c r="J28" s="833">
        <f>J26+J27</f>
        <v>0</v>
      </c>
      <c r="K28" s="835" t="str">
        <f t="shared" si="1"/>
        <v/>
      </c>
      <c r="L28" s="44"/>
    </row>
    <row r="31" spans="1:12" x14ac:dyDescent="0.2">
      <c r="A31" s="60" t="s">
        <v>605</v>
      </c>
    </row>
    <row r="32" spans="1:12" ht="13.5" thickBot="1" x14ac:dyDescent="0.25"/>
    <row r="33" spans="1:5" ht="26.25" thickBot="1" x14ac:dyDescent="0.25">
      <c r="C33" s="836" t="s">
        <v>238</v>
      </c>
      <c r="D33" s="836" t="str">
        <f>H13</f>
        <v>2016 Bridge Year</v>
      </c>
      <c r="E33" s="836" t="str">
        <f>J13</f>
        <v>2017 Test Year</v>
      </c>
    </row>
    <row r="34" spans="1:5" x14ac:dyDescent="0.2">
      <c r="A34" s="837">
        <v>4</v>
      </c>
      <c r="B34" s="838" t="s">
        <v>609</v>
      </c>
      <c r="C34" s="839"/>
      <c r="D34" s="839"/>
      <c r="E34" s="839"/>
    </row>
    <row r="35" spans="1:5" x14ac:dyDescent="0.2">
      <c r="A35" s="806">
        <v>5</v>
      </c>
      <c r="B35" s="840" t="s">
        <v>610</v>
      </c>
      <c r="C35" s="1440">
        <f>F19</f>
        <v>25000</v>
      </c>
      <c r="D35" s="1440">
        <f>H19</f>
        <v>40000</v>
      </c>
      <c r="E35" s="1440">
        <f>J19</f>
        <v>40000</v>
      </c>
    </row>
    <row r="36" spans="1:5" x14ac:dyDescent="0.2">
      <c r="A36" s="806">
        <v>6</v>
      </c>
      <c r="B36" s="841" t="s">
        <v>608</v>
      </c>
      <c r="C36" s="1441">
        <f>F20+G20</f>
        <v>75301</v>
      </c>
      <c r="D36" s="1441">
        <f>H20</f>
        <v>44425</v>
      </c>
      <c r="E36" s="1441">
        <f>J20</f>
        <v>44425</v>
      </c>
    </row>
    <row r="37" spans="1:5" ht="26.25" customHeight="1" x14ac:dyDescent="0.2">
      <c r="A37" s="806">
        <v>7</v>
      </c>
      <c r="B37" s="841" t="s">
        <v>606</v>
      </c>
      <c r="C37" s="842"/>
      <c r="D37" s="842"/>
      <c r="E37" s="842"/>
    </row>
    <row r="38" spans="1:5" ht="27" customHeight="1" x14ac:dyDescent="0.2">
      <c r="A38" s="806">
        <v>8</v>
      </c>
      <c r="B38" s="841" t="s">
        <v>607</v>
      </c>
      <c r="C38" s="842"/>
      <c r="D38" s="842"/>
      <c r="E38" s="842"/>
    </row>
    <row r="39" spans="1:5" ht="13.5" thickBot="1" x14ac:dyDescent="0.25">
      <c r="A39" s="813">
        <v>11</v>
      </c>
      <c r="B39" s="843" t="s">
        <v>138</v>
      </c>
      <c r="C39" s="1442">
        <f>F25</f>
        <v>11250</v>
      </c>
      <c r="D39" s="1442">
        <f>H25</f>
        <v>10000</v>
      </c>
      <c r="E39" s="1442">
        <f>J25</f>
        <v>10000</v>
      </c>
    </row>
    <row r="41" spans="1:5" x14ac:dyDescent="0.2">
      <c r="A41" s="60" t="s">
        <v>11</v>
      </c>
    </row>
    <row r="43" spans="1:5" ht="14.25" x14ac:dyDescent="0.2">
      <c r="A43" s="1426" t="s">
        <v>89</v>
      </c>
      <c r="B43" s="43" t="s">
        <v>141</v>
      </c>
    </row>
    <row r="44" spans="1:5" ht="14.25" x14ac:dyDescent="0.2">
      <c r="A44" s="1426" t="s">
        <v>94</v>
      </c>
      <c r="B44" s="43" t="s">
        <v>142</v>
      </c>
    </row>
    <row r="45" spans="1:5" ht="14.25" x14ac:dyDescent="0.2">
      <c r="A45" s="1426" t="s">
        <v>95</v>
      </c>
      <c r="B45" s="43" t="s">
        <v>139</v>
      </c>
    </row>
    <row r="46" spans="1:5" ht="14.25" x14ac:dyDescent="0.2">
      <c r="A46" s="1426" t="s">
        <v>96</v>
      </c>
      <c r="B46" s="43" t="s">
        <v>140</v>
      </c>
    </row>
  </sheetData>
  <mergeCells count="4">
    <mergeCell ref="A13:B13"/>
    <mergeCell ref="A14:B14"/>
    <mergeCell ref="A9:K9"/>
    <mergeCell ref="A10:K10"/>
  </mergeCells>
  <phoneticPr fontId="16" type="noConversion"/>
  <dataValidations count="2">
    <dataValidation type="list" allowBlank="1" showInputMessage="1" showErrorMessage="1" prompt="Please identify costs as One-time or ongoing by selecting from the drop-down list." sqref="E15:E25">
      <formula1>"One-Time, On-Going"</formula1>
    </dataValidation>
    <dataValidation allowBlank="1" showInputMessage="1" showErrorMessage="1" promptTitle="Date Format" prompt="E.g:  &quot;August 1, 2011&quot;" sqref="K7"/>
  </dataValidations>
  <pageMargins left="0.75" right="0.75" top="1" bottom="1" header="0.5" footer="0.5"/>
  <pageSetup scale="65"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7">
    <tabColor rgb="FFFFFF00"/>
  </sheetPr>
  <dimension ref="A1:N73"/>
  <sheetViews>
    <sheetView showGridLines="0" zoomScaleNormal="100" workbookViewId="0"/>
  </sheetViews>
  <sheetFormatPr defaultRowHeight="12.75" x14ac:dyDescent="0.2"/>
  <cols>
    <col min="1" max="1" width="9.140625" style="43"/>
    <col min="2" max="2" width="9.140625" style="43" customWidth="1"/>
    <col min="3" max="16384" width="9.140625" style="43"/>
  </cols>
  <sheetData>
    <row r="1" spans="1:14" ht="15.75" x14ac:dyDescent="0.2">
      <c r="B1" s="84"/>
    </row>
    <row r="2" spans="1:14" ht="18" x14ac:dyDescent="0.25">
      <c r="B2" s="85"/>
      <c r="C2" s="1042"/>
      <c r="D2" s="1042"/>
      <c r="E2" s="1042"/>
      <c r="F2" s="1042"/>
      <c r="G2" s="1042"/>
      <c r="H2" s="86"/>
      <c r="I2" s="86"/>
      <c r="J2" s="86"/>
      <c r="K2" s="86"/>
      <c r="L2" s="86"/>
      <c r="M2" s="86"/>
      <c r="N2" s="86"/>
    </row>
    <row r="3" spans="1:14" ht="18" x14ac:dyDescent="0.2">
      <c r="B3" s="1547" t="s">
        <v>620</v>
      </c>
      <c r="C3" s="1547"/>
      <c r="D3" s="1547"/>
      <c r="E3" s="1547"/>
      <c r="F3" s="1547"/>
      <c r="G3" s="1547"/>
      <c r="H3" s="1547"/>
      <c r="I3" s="1547"/>
      <c r="J3" s="1547"/>
      <c r="K3" s="1547"/>
      <c r="L3" s="1547"/>
    </row>
    <row r="4" spans="1:14" ht="15" x14ac:dyDescent="0.2">
      <c r="B4" s="87"/>
    </row>
    <row r="5" spans="1:14" ht="52.5" customHeight="1" x14ac:dyDescent="0.2">
      <c r="A5" s="1548" t="s">
        <v>1035</v>
      </c>
      <c r="B5" s="1549"/>
      <c r="C5" s="1549"/>
      <c r="D5" s="1549"/>
      <c r="E5" s="1549"/>
      <c r="F5" s="1549"/>
      <c r="G5" s="1549"/>
      <c r="H5" s="1549"/>
      <c r="I5" s="1549"/>
      <c r="J5" s="1549"/>
      <c r="K5" s="1549"/>
      <c r="L5" s="1549"/>
      <c r="M5" s="86"/>
      <c r="N5" s="86"/>
    </row>
    <row r="6" spans="1:14" ht="15" customHeight="1" x14ac:dyDescent="0.2">
      <c r="A6" s="87"/>
      <c r="C6" s="86"/>
      <c r="D6" s="86"/>
      <c r="E6" s="86"/>
      <c r="F6" s="86"/>
      <c r="G6" s="86"/>
      <c r="H6" s="86"/>
      <c r="I6" s="86"/>
      <c r="J6" s="86"/>
      <c r="K6" s="86"/>
      <c r="L6" s="86"/>
      <c r="M6" s="86"/>
      <c r="N6" s="86"/>
    </row>
    <row r="7" spans="1:14" ht="15" customHeight="1" x14ac:dyDescent="0.2">
      <c r="A7" s="88"/>
      <c r="C7" s="86"/>
      <c r="D7" s="86"/>
      <c r="E7" s="86"/>
      <c r="F7" s="86"/>
      <c r="G7" s="86"/>
      <c r="H7" s="86"/>
      <c r="I7" s="86"/>
      <c r="J7" s="86"/>
      <c r="K7" s="86"/>
    </row>
    <row r="8" spans="1:14" ht="15" x14ac:dyDescent="0.2">
      <c r="A8" s="89"/>
      <c r="B8" s="90"/>
    </row>
    <row r="9" spans="1:14" ht="15" x14ac:dyDescent="0.2">
      <c r="A9" s="89"/>
      <c r="B9" s="90"/>
    </row>
    <row r="10" spans="1:14" ht="15" x14ac:dyDescent="0.2">
      <c r="A10" s="89"/>
      <c r="B10" s="90"/>
    </row>
    <row r="11" spans="1:14" ht="15" x14ac:dyDescent="0.2">
      <c r="A11" s="89"/>
      <c r="B11" s="91"/>
    </row>
    <row r="12" spans="1:14" s="92" customFormat="1" ht="15" x14ac:dyDescent="0.2">
      <c r="A12" s="89"/>
      <c r="B12" s="91"/>
    </row>
    <row r="13" spans="1:14" s="92" customFormat="1" ht="15" x14ac:dyDescent="0.2">
      <c r="A13" s="89"/>
      <c r="B13" s="90"/>
    </row>
    <row r="14" spans="1:14" ht="15" x14ac:dyDescent="0.2">
      <c r="A14" s="89"/>
      <c r="B14" s="91"/>
    </row>
    <row r="15" spans="1:14" s="92" customFormat="1" ht="15" x14ac:dyDescent="0.2">
      <c r="A15" s="89"/>
      <c r="B15" s="91"/>
    </row>
    <row r="16" spans="1:14" s="92" customFormat="1" ht="15" x14ac:dyDescent="0.2">
      <c r="A16" s="89"/>
      <c r="B16" s="91"/>
    </row>
    <row r="17" spans="2:2" s="92" customFormat="1" ht="15" x14ac:dyDescent="0.2">
      <c r="B17" s="87"/>
    </row>
    <row r="18" spans="2:2" ht="15" x14ac:dyDescent="0.2">
      <c r="B18" s="88"/>
    </row>
    <row r="19" spans="2:2" ht="15" x14ac:dyDescent="0.2">
      <c r="B19" s="93"/>
    </row>
    <row r="20" spans="2:2" x14ac:dyDescent="0.2">
      <c r="B20" s="94"/>
    </row>
    <row r="21" spans="2:2" s="92" customFormat="1" ht="15.75" x14ac:dyDescent="0.2">
      <c r="B21" s="95"/>
    </row>
    <row r="22" spans="2:2" s="92" customFormat="1" ht="15" x14ac:dyDescent="0.2">
      <c r="B22" s="94"/>
    </row>
    <row r="23" spans="2:2" s="92" customFormat="1" ht="15" x14ac:dyDescent="0.2">
      <c r="B23" s="88"/>
    </row>
    <row r="24" spans="2:2" s="92" customFormat="1" ht="15" x14ac:dyDescent="0.2">
      <c r="B24" s="93"/>
    </row>
    <row r="25" spans="2:2" x14ac:dyDescent="0.2">
      <c r="B25" s="94"/>
    </row>
    <row r="26" spans="2:2" x14ac:dyDescent="0.2">
      <c r="B26" s="94"/>
    </row>
    <row r="27" spans="2:2" s="92" customFormat="1" ht="15" x14ac:dyDescent="0.2">
      <c r="B27" s="94"/>
    </row>
    <row r="28" spans="2:2" s="92" customFormat="1" ht="15" x14ac:dyDescent="0.2">
      <c r="B28" s="87"/>
    </row>
    <row r="29" spans="2:2" s="92" customFormat="1" ht="15" x14ac:dyDescent="0.2">
      <c r="B29" s="88"/>
    </row>
    <row r="30" spans="2:2" ht="15" x14ac:dyDescent="0.2">
      <c r="B30" s="96"/>
    </row>
    <row r="31" spans="2:2" ht="15" x14ac:dyDescent="0.2">
      <c r="B31" s="87"/>
    </row>
    <row r="32" spans="2:2" ht="15" x14ac:dyDescent="0.2">
      <c r="B32" s="88"/>
    </row>
    <row r="33" spans="2:2" ht="15" x14ac:dyDescent="0.2">
      <c r="B33" s="93"/>
    </row>
    <row r="34" spans="2:2" x14ac:dyDescent="0.2">
      <c r="B34" s="94"/>
    </row>
    <row r="35" spans="2:2" x14ac:dyDescent="0.2">
      <c r="B35" s="94"/>
    </row>
    <row r="36" spans="2:2" x14ac:dyDescent="0.2">
      <c r="B36" s="94"/>
    </row>
    <row r="37" spans="2:2" s="92" customFormat="1" ht="15" x14ac:dyDescent="0.2">
      <c r="B37" s="94"/>
    </row>
    <row r="38" spans="2:2" s="92" customFormat="1" ht="15" x14ac:dyDescent="0.2">
      <c r="B38" s="94"/>
    </row>
    <row r="39" spans="2:2" s="92" customFormat="1" ht="15" x14ac:dyDescent="0.2">
      <c r="B39" s="94"/>
    </row>
    <row r="40" spans="2:2" s="92" customFormat="1" ht="15" x14ac:dyDescent="0.2">
      <c r="B40" s="97"/>
    </row>
    <row r="41" spans="2:2" s="92" customFormat="1" ht="15" x14ac:dyDescent="0.2">
      <c r="B41" s="98"/>
    </row>
    <row r="42" spans="2:2" s="92" customFormat="1" ht="15" x14ac:dyDescent="0.2">
      <c r="B42" s="88"/>
    </row>
    <row r="43" spans="2:2" s="92" customFormat="1" ht="15" x14ac:dyDescent="0.2">
      <c r="B43" s="87"/>
    </row>
    <row r="44" spans="2:2" x14ac:dyDescent="0.2">
      <c r="B44" s="97"/>
    </row>
    <row r="45" spans="2:2" ht="15" x14ac:dyDescent="0.2">
      <c r="B45" s="90"/>
    </row>
    <row r="46" spans="2:2" x14ac:dyDescent="0.2">
      <c r="B46" s="97"/>
    </row>
    <row r="47" spans="2:2" s="92" customFormat="1" ht="15" x14ac:dyDescent="0.2">
      <c r="B47" s="87"/>
    </row>
    <row r="48" spans="2:2" s="92" customFormat="1" ht="15" x14ac:dyDescent="0.2">
      <c r="B48" s="97"/>
    </row>
    <row r="49" spans="2:2" s="92" customFormat="1" ht="15" x14ac:dyDescent="0.2">
      <c r="B49" s="87"/>
    </row>
    <row r="50" spans="2:2" s="92" customFormat="1" ht="15" x14ac:dyDescent="0.2">
      <c r="B50" s="88"/>
    </row>
    <row r="51" spans="2:2" s="92" customFormat="1" ht="15" x14ac:dyDescent="0.2">
      <c r="B51" s="96"/>
    </row>
    <row r="52" spans="2:2" ht="15" x14ac:dyDescent="0.2">
      <c r="B52" s="98"/>
    </row>
    <row r="53" spans="2:2" ht="15" x14ac:dyDescent="0.2">
      <c r="B53" s="88"/>
    </row>
    <row r="54" spans="2:2" ht="15" x14ac:dyDescent="0.2">
      <c r="B54" s="93"/>
    </row>
    <row r="55" spans="2:2" x14ac:dyDescent="0.2">
      <c r="B55" s="94"/>
    </row>
    <row r="56" spans="2:2" x14ac:dyDescent="0.2">
      <c r="B56" s="99"/>
    </row>
    <row r="57" spans="2:2" ht="15.75" x14ac:dyDescent="0.2">
      <c r="B57" s="95"/>
    </row>
    <row r="58" spans="2:2" s="92" customFormat="1" ht="15" x14ac:dyDescent="0.2">
      <c r="B58" s="94"/>
    </row>
    <row r="59" spans="2:2" s="92" customFormat="1" ht="15" x14ac:dyDescent="0.2">
      <c r="B59" s="93"/>
    </row>
    <row r="60" spans="2:2" s="92" customFormat="1" ht="15" x14ac:dyDescent="0.2">
      <c r="B60" s="88"/>
    </row>
    <row r="61" spans="2:2" s="92" customFormat="1" ht="15" x14ac:dyDescent="0.2">
      <c r="B61" s="96"/>
    </row>
    <row r="62" spans="2:2" ht="15" x14ac:dyDescent="0.2">
      <c r="B62" s="87"/>
    </row>
    <row r="63" spans="2:2" ht="15" x14ac:dyDescent="0.2">
      <c r="B63" s="88"/>
    </row>
    <row r="64" spans="2:2" x14ac:dyDescent="0.2">
      <c r="B64" s="97"/>
    </row>
    <row r="65" spans="2:2" ht="15" x14ac:dyDescent="0.2">
      <c r="B65" s="93"/>
    </row>
    <row r="66" spans="2:2" ht="15" x14ac:dyDescent="0.2">
      <c r="B66" s="88"/>
    </row>
    <row r="67" spans="2:2" s="92" customFormat="1" ht="15" x14ac:dyDescent="0.2">
      <c r="B67" s="97"/>
    </row>
    <row r="68" spans="2:2" ht="15" x14ac:dyDescent="0.2">
      <c r="B68" s="93"/>
    </row>
    <row r="69" spans="2:2" ht="15" x14ac:dyDescent="0.2">
      <c r="B69" s="98"/>
    </row>
    <row r="70" spans="2:2" s="92" customFormat="1" ht="15.75" x14ac:dyDescent="0.2">
      <c r="B70" s="85"/>
    </row>
    <row r="71" spans="2:2" ht="15" x14ac:dyDescent="0.2">
      <c r="B71" s="98"/>
    </row>
    <row r="72" spans="2:2" ht="15.75" x14ac:dyDescent="0.2">
      <c r="B72" s="85"/>
    </row>
    <row r="73" spans="2:2" ht="15.75" x14ac:dyDescent="0.2">
      <c r="B73" s="85"/>
    </row>
  </sheetData>
  <sheetProtection password="F8BD" sheet="1" objects="1" scenarios="1"/>
  <mergeCells count="2">
    <mergeCell ref="B3:L3"/>
    <mergeCell ref="A5:L5"/>
  </mergeCells>
  <pageMargins left="0.7" right="0.7" top="0.75" bottom="0.75" header="0.3" footer="0.3"/>
  <pageSetup scale="84" orientation="portrait" r:id="rId1"/>
  <drawing r:id="rId2"/>
  <legacyDrawing r:id="rId3"/>
  <oleObjects>
    <mc:AlternateContent xmlns:mc="http://schemas.openxmlformats.org/markup-compatibility/2006">
      <mc:Choice Requires="x14">
        <oleObject progId="Acrobat Document" dvAspect="DVASPECT_ICON" shapeId="140295" r:id="rId4">
          <objectPr defaultSize="0" autoPict="0" r:id="rId5">
            <anchor moveWithCells="1">
              <from>
                <xdr:col>3</xdr:col>
                <xdr:colOff>466725</xdr:colOff>
                <xdr:row>4</xdr:row>
                <xdr:rowOff>638175</xdr:rowOff>
              </from>
              <to>
                <xdr:col>7</xdr:col>
                <xdr:colOff>66675</xdr:colOff>
                <xdr:row>12</xdr:row>
                <xdr:rowOff>171450</xdr:rowOff>
              </to>
            </anchor>
          </objectPr>
        </oleObject>
      </mc:Choice>
      <mc:Fallback>
        <oleObject progId="Acrobat Document" dvAspect="DVASPECT_ICON" shapeId="140295" r:id="rId4"/>
      </mc:Fallback>
    </mc:AlternateContent>
  </oleObjec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7" tint="0.39997558519241921"/>
    <pageSetUpPr fitToPage="1"/>
  </sheetPr>
  <dimension ref="A1:G173"/>
  <sheetViews>
    <sheetView showGridLines="0" zoomScaleNormal="100" workbookViewId="0">
      <selection activeCell="A132" sqref="A132:F160"/>
    </sheetView>
  </sheetViews>
  <sheetFormatPr defaultRowHeight="12.75" x14ac:dyDescent="0.2"/>
  <cols>
    <col min="1" max="2" width="20.7109375" style="43" customWidth="1"/>
    <col min="3" max="3" width="15.7109375" style="43" customWidth="1"/>
    <col min="4" max="4" width="15.85546875" style="43" customWidth="1"/>
    <col min="5" max="5" width="14.85546875" style="43" customWidth="1"/>
    <col min="6" max="6" width="13.7109375" style="43" customWidth="1"/>
    <col min="7" max="7" width="17.28515625" style="43" customWidth="1"/>
    <col min="8" max="16384" width="9.140625" style="43"/>
  </cols>
  <sheetData>
    <row r="1" spans="1:7" x14ac:dyDescent="0.2">
      <c r="F1" s="562" t="s">
        <v>301</v>
      </c>
      <c r="G1" s="61" t="str">
        <f>EBNUMBER</f>
        <v>EB-2016-0066</v>
      </c>
    </row>
    <row r="2" spans="1:7" x14ac:dyDescent="0.2">
      <c r="F2" s="562" t="s">
        <v>302</v>
      </c>
      <c r="G2" s="62"/>
    </row>
    <row r="3" spans="1:7" x14ac:dyDescent="0.2">
      <c r="F3" s="562" t="s">
        <v>303</v>
      </c>
      <c r="G3" s="62"/>
    </row>
    <row r="4" spans="1:7" x14ac:dyDescent="0.2">
      <c r="F4" s="562" t="s">
        <v>304</v>
      </c>
      <c r="G4" s="62"/>
    </row>
    <row r="5" spans="1:7" x14ac:dyDescent="0.2">
      <c r="F5" s="562" t="s">
        <v>305</v>
      </c>
      <c r="G5" s="63"/>
    </row>
    <row r="6" spans="1:7" x14ac:dyDescent="0.2">
      <c r="F6" s="562"/>
      <c r="G6" s="61"/>
    </row>
    <row r="7" spans="1:7" x14ac:dyDescent="0.2">
      <c r="F7" s="562" t="s">
        <v>306</v>
      </c>
      <c r="G7" s="63"/>
    </row>
    <row r="9" spans="1:7" ht="18" x14ac:dyDescent="0.25">
      <c r="A9" s="1547" t="s">
        <v>33</v>
      </c>
      <c r="B9" s="1547"/>
      <c r="C9" s="1547"/>
      <c r="D9" s="1547"/>
      <c r="E9" s="1547"/>
      <c r="F9" s="1547"/>
      <c r="G9" s="64"/>
    </row>
    <row r="10" spans="1:7" ht="21" x14ac:dyDescent="0.25">
      <c r="A10" s="1547" t="s">
        <v>1010</v>
      </c>
      <c r="B10" s="1547"/>
      <c r="C10" s="1547"/>
      <c r="D10" s="1547"/>
      <c r="E10" s="1547"/>
      <c r="F10" s="1547"/>
      <c r="G10" s="64"/>
    </row>
    <row r="12" spans="1:7" x14ac:dyDescent="0.2">
      <c r="B12" s="473" t="s">
        <v>26</v>
      </c>
      <c r="C12" s="844">
        <v>2013</v>
      </c>
    </row>
    <row r="13" spans="1:7" x14ac:dyDescent="0.2">
      <c r="C13" s="473"/>
      <c r="D13" s="845"/>
    </row>
    <row r="14" spans="1:7" ht="15.75" x14ac:dyDescent="0.25">
      <c r="A14" s="1925" t="s">
        <v>242</v>
      </c>
      <c r="B14" s="1925"/>
      <c r="C14" s="1925"/>
      <c r="D14" s="1925"/>
      <c r="E14" s="1925"/>
      <c r="F14" s="1925"/>
    </row>
    <row r="15" spans="1:7" ht="13.5" thickBot="1" x14ac:dyDescent="0.25"/>
    <row r="16" spans="1:7" ht="13.5" customHeight="1" x14ac:dyDescent="0.2">
      <c r="A16" s="1926" t="s">
        <v>175</v>
      </c>
      <c r="B16" s="1927"/>
      <c r="C16" s="1939" t="s">
        <v>178</v>
      </c>
      <c r="D16" s="1939" t="s">
        <v>611</v>
      </c>
      <c r="E16" s="1931" t="s">
        <v>179</v>
      </c>
      <c r="F16" s="1931" t="s">
        <v>180</v>
      </c>
      <c r="G16" s="1949"/>
    </row>
    <row r="17" spans="1:7" ht="17.25" customHeight="1" x14ac:dyDescent="0.2">
      <c r="A17" s="1942" t="s">
        <v>176</v>
      </c>
      <c r="B17" s="1944" t="s">
        <v>177</v>
      </c>
      <c r="C17" s="1940"/>
      <c r="D17" s="1940"/>
      <c r="E17" s="1932"/>
      <c r="F17" s="1932"/>
      <c r="G17" s="1949"/>
    </row>
    <row r="18" spans="1:7" x14ac:dyDescent="0.2">
      <c r="A18" s="1943"/>
      <c r="B18" s="1945"/>
      <c r="C18" s="1941"/>
      <c r="D18" s="1941"/>
      <c r="E18" s="846" t="s">
        <v>170</v>
      </c>
      <c r="F18" s="846" t="s">
        <v>170</v>
      </c>
      <c r="G18" s="847"/>
    </row>
    <row r="19" spans="1:7" ht="51" x14ac:dyDescent="0.2">
      <c r="A19" s="771" t="s">
        <v>327</v>
      </c>
      <c r="B19" s="578" t="s">
        <v>1300</v>
      </c>
      <c r="C19" s="1443" t="s">
        <v>1302</v>
      </c>
      <c r="D19" s="1444" t="s">
        <v>264</v>
      </c>
      <c r="E19" s="578">
        <f>268000+8000</f>
        <v>276000</v>
      </c>
      <c r="F19" s="578">
        <f>268000+8000</f>
        <v>276000</v>
      </c>
      <c r="G19" s="848"/>
    </row>
    <row r="20" spans="1:7" ht="38.25" x14ac:dyDescent="0.2">
      <c r="A20" s="771" t="s">
        <v>327</v>
      </c>
      <c r="B20" s="578" t="s">
        <v>1301</v>
      </c>
      <c r="C20" s="1445" t="s">
        <v>1304</v>
      </c>
      <c r="D20" s="1445" t="s">
        <v>1303</v>
      </c>
      <c r="E20" s="578">
        <v>241000</v>
      </c>
      <c r="F20" s="578">
        <v>200000</v>
      </c>
      <c r="G20" s="848"/>
    </row>
    <row r="21" spans="1:7" x14ac:dyDescent="0.2">
      <c r="A21" s="771"/>
      <c r="B21" s="578"/>
      <c r="C21" s="578"/>
      <c r="D21" s="578"/>
      <c r="E21" s="578"/>
      <c r="F21" s="578"/>
      <c r="G21" s="848"/>
    </row>
    <row r="22" spans="1:7" x14ac:dyDescent="0.2">
      <c r="A22" s="771"/>
      <c r="B22" s="578"/>
      <c r="C22" s="578"/>
      <c r="D22" s="578"/>
      <c r="E22" s="578"/>
      <c r="F22" s="578"/>
      <c r="G22" s="848"/>
    </row>
    <row r="23" spans="1:7" x14ac:dyDescent="0.2">
      <c r="A23" s="771"/>
      <c r="B23" s="578"/>
      <c r="C23" s="578"/>
      <c r="D23" s="578"/>
      <c r="E23" s="578"/>
      <c r="F23" s="578"/>
      <c r="G23" s="848"/>
    </row>
    <row r="24" spans="1:7" x14ac:dyDescent="0.2">
      <c r="A24" s="771"/>
      <c r="B24" s="578"/>
      <c r="C24" s="578"/>
      <c r="D24" s="578"/>
      <c r="E24" s="578"/>
      <c r="F24" s="578"/>
      <c r="G24" s="848"/>
    </row>
    <row r="25" spans="1:7" x14ac:dyDescent="0.2">
      <c r="A25" s="771"/>
      <c r="B25" s="578"/>
      <c r="C25" s="578"/>
      <c r="D25" s="578"/>
      <c r="E25" s="578"/>
      <c r="F25" s="578"/>
      <c r="G25" s="848"/>
    </row>
    <row r="26" spans="1:7" ht="13.5" thickBot="1" x14ac:dyDescent="0.25">
      <c r="A26" s="849"/>
      <c r="B26" s="850"/>
      <c r="C26" s="850"/>
      <c r="D26" s="850"/>
      <c r="E26" s="850"/>
      <c r="F26" s="850"/>
      <c r="G26" s="848"/>
    </row>
    <row r="28" spans="1:7" ht="15.75" x14ac:dyDescent="0.25">
      <c r="A28" s="1925" t="s">
        <v>241</v>
      </c>
      <c r="B28" s="1925"/>
      <c r="C28" s="1925"/>
      <c r="D28" s="1925"/>
      <c r="E28" s="1925"/>
      <c r="F28" s="1925"/>
    </row>
    <row r="29" spans="1:7" ht="13.5" thickBot="1" x14ac:dyDescent="0.25"/>
    <row r="30" spans="1:7" ht="13.5" customHeight="1" x14ac:dyDescent="0.2">
      <c r="A30" s="1926" t="s">
        <v>175</v>
      </c>
      <c r="B30" s="1927"/>
      <c r="C30" s="1928" t="s">
        <v>178</v>
      </c>
      <c r="D30" s="1928" t="s">
        <v>611</v>
      </c>
      <c r="E30" s="1931" t="s">
        <v>240</v>
      </c>
      <c r="F30" s="1933" t="s">
        <v>243</v>
      </c>
    </row>
    <row r="31" spans="1:7" ht="17.25" customHeight="1" x14ac:dyDescent="0.2">
      <c r="A31" s="1935" t="s">
        <v>176</v>
      </c>
      <c r="B31" s="1937" t="s">
        <v>177</v>
      </c>
      <c r="C31" s="1929"/>
      <c r="D31" s="1929"/>
      <c r="E31" s="1932"/>
      <c r="F31" s="1934"/>
    </row>
    <row r="32" spans="1:7" x14ac:dyDescent="0.2">
      <c r="A32" s="1936"/>
      <c r="B32" s="1938"/>
      <c r="C32" s="1930"/>
      <c r="D32" s="1930"/>
      <c r="E32" s="846" t="s">
        <v>171</v>
      </c>
      <c r="F32" s="851" t="s">
        <v>170</v>
      </c>
    </row>
    <row r="33" spans="1:6" ht="51" x14ac:dyDescent="0.2">
      <c r="A33" s="771" t="s">
        <v>327</v>
      </c>
      <c r="B33" s="578" t="s">
        <v>1300</v>
      </c>
      <c r="C33" s="1443" t="s">
        <v>1302</v>
      </c>
      <c r="D33" s="1444" t="s">
        <v>264</v>
      </c>
      <c r="E33" s="578">
        <v>100</v>
      </c>
      <c r="F33" s="579">
        <f>268000+8000</f>
        <v>276000</v>
      </c>
    </row>
    <row r="34" spans="1:6" ht="38.25" x14ac:dyDescent="0.2">
      <c r="A34" s="771" t="s">
        <v>327</v>
      </c>
      <c r="B34" s="578" t="s">
        <v>1301</v>
      </c>
      <c r="C34" s="1445" t="s">
        <v>1304</v>
      </c>
      <c r="D34" s="1445" t="s">
        <v>1303</v>
      </c>
      <c r="E34" s="578">
        <v>100</v>
      </c>
      <c r="F34" s="579">
        <v>241000</v>
      </c>
    </row>
    <row r="35" spans="1:6" x14ac:dyDescent="0.2">
      <c r="A35" s="771"/>
      <c r="B35" s="578"/>
      <c r="C35" s="578"/>
      <c r="D35" s="578"/>
      <c r="E35" s="578"/>
      <c r="F35" s="579"/>
    </row>
    <row r="36" spans="1:6" x14ac:dyDescent="0.2">
      <c r="A36" s="771"/>
      <c r="B36" s="578"/>
      <c r="C36" s="578"/>
      <c r="D36" s="578"/>
      <c r="E36" s="578"/>
      <c r="F36" s="579"/>
    </row>
    <row r="37" spans="1:6" x14ac:dyDescent="0.2">
      <c r="A37" s="771"/>
      <c r="B37" s="578"/>
      <c r="C37" s="578"/>
      <c r="D37" s="578"/>
      <c r="E37" s="578"/>
      <c r="F37" s="579"/>
    </row>
    <row r="38" spans="1:6" x14ac:dyDescent="0.2">
      <c r="A38" s="771"/>
      <c r="B38" s="578"/>
      <c r="C38" s="578"/>
      <c r="D38" s="578"/>
      <c r="E38" s="578"/>
      <c r="F38" s="579"/>
    </row>
    <row r="39" spans="1:6" x14ac:dyDescent="0.2">
      <c r="A39" s="771"/>
      <c r="B39" s="578"/>
      <c r="C39" s="578"/>
      <c r="D39" s="578"/>
      <c r="E39" s="578"/>
      <c r="F39" s="579"/>
    </row>
    <row r="40" spans="1:6" ht="13.5" thickBot="1" x14ac:dyDescent="0.25">
      <c r="A40" s="849"/>
      <c r="B40" s="850"/>
      <c r="C40" s="850"/>
      <c r="D40" s="850"/>
      <c r="E40" s="850"/>
      <c r="F40" s="852"/>
    </row>
    <row r="42" spans="1:6" x14ac:dyDescent="0.2">
      <c r="B42" s="473" t="s">
        <v>26</v>
      </c>
      <c r="C42" s="844">
        <v>2014</v>
      </c>
    </row>
    <row r="43" spans="1:6" x14ac:dyDescent="0.2">
      <c r="C43" s="473"/>
      <c r="D43" s="845"/>
    </row>
    <row r="44" spans="1:6" ht="15.75" x14ac:dyDescent="0.25">
      <c r="A44" s="1925" t="s">
        <v>242</v>
      </c>
      <c r="B44" s="1925"/>
      <c r="C44" s="1925"/>
      <c r="D44" s="1925"/>
      <c r="E44" s="1925"/>
      <c r="F44" s="1925"/>
    </row>
    <row r="45" spans="1:6" ht="13.5" thickBot="1" x14ac:dyDescent="0.25"/>
    <row r="46" spans="1:6" x14ac:dyDescent="0.2">
      <c r="A46" s="1926" t="s">
        <v>175</v>
      </c>
      <c r="B46" s="1927"/>
      <c r="C46" s="1939" t="s">
        <v>178</v>
      </c>
      <c r="D46" s="1939" t="s">
        <v>611</v>
      </c>
      <c r="E46" s="1931" t="s">
        <v>179</v>
      </c>
      <c r="F46" s="1931" t="s">
        <v>180</v>
      </c>
    </row>
    <row r="47" spans="1:6" x14ac:dyDescent="0.2">
      <c r="A47" s="1942" t="s">
        <v>176</v>
      </c>
      <c r="B47" s="1944" t="s">
        <v>177</v>
      </c>
      <c r="C47" s="1940"/>
      <c r="D47" s="1940"/>
      <c r="E47" s="1932"/>
      <c r="F47" s="1932"/>
    </row>
    <row r="48" spans="1:6" x14ac:dyDescent="0.2">
      <c r="A48" s="1943"/>
      <c r="B48" s="1945"/>
      <c r="C48" s="1941"/>
      <c r="D48" s="1941"/>
      <c r="E48" s="846" t="s">
        <v>170</v>
      </c>
      <c r="F48" s="846" t="s">
        <v>170</v>
      </c>
    </row>
    <row r="49" spans="1:6" ht="51" x14ac:dyDescent="0.2">
      <c r="A49" s="771" t="s">
        <v>327</v>
      </c>
      <c r="B49" s="578" t="s">
        <v>1300</v>
      </c>
      <c r="C49" s="1443" t="s">
        <v>1302</v>
      </c>
      <c r="D49" s="1444" t="s">
        <v>264</v>
      </c>
      <c r="E49" s="578">
        <f>241000+8000</f>
        <v>249000</v>
      </c>
      <c r="F49" s="578">
        <f>241000+8000</f>
        <v>249000</v>
      </c>
    </row>
    <row r="50" spans="1:6" ht="38.25" x14ac:dyDescent="0.2">
      <c r="A50" s="771" t="s">
        <v>327</v>
      </c>
      <c r="B50" s="578" t="s">
        <v>1301</v>
      </c>
      <c r="C50" s="1445" t="s">
        <v>1304</v>
      </c>
      <c r="D50" s="1445" t="s">
        <v>1303</v>
      </c>
      <c r="E50" s="578">
        <v>249000</v>
      </c>
      <c r="F50" s="578">
        <v>207500</v>
      </c>
    </row>
    <row r="51" spans="1:6" x14ac:dyDescent="0.2">
      <c r="A51" s="771"/>
      <c r="B51" s="578"/>
      <c r="C51" s="578"/>
      <c r="D51" s="578"/>
      <c r="E51" s="578"/>
      <c r="F51" s="578"/>
    </row>
    <row r="52" spans="1:6" x14ac:dyDescent="0.2">
      <c r="A52" s="771"/>
      <c r="B52" s="578"/>
      <c r="C52" s="578"/>
      <c r="D52" s="578"/>
      <c r="E52" s="578"/>
      <c r="F52" s="578"/>
    </row>
    <row r="53" spans="1:6" x14ac:dyDescent="0.2">
      <c r="A53" s="771"/>
      <c r="B53" s="578"/>
      <c r="C53" s="578"/>
      <c r="D53" s="578"/>
      <c r="E53" s="578"/>
      <c r="F53" s="578"/>
    </row>
    <row r="54" spans="1:6" x14ac:dyDescent="0.2">
      <c r="A54" s="771"/>
      <c r="B54" s="578"/>
      <c r="C54" s="578"/>
      <c r="D54" s="578"/>
      <c r="E54" s="578"/>
      <c r="F54" s="578"/>
    </row>
    <row r="55" spans="1:6" x14ac:dyDescent="0.2">
      <c r="A55" s="771"/>
      <c r="B55" s="578"/>
      <c r="C55" s="578"/>
      <c r="D55" s="578"/>
      <c r="E55" s="578"/>
      <c r="F55" s="578"/>
    </row>
    <row r="56" spans="1:6" ht="13.5" thickBot="1" x14ac:dyDescent="0.25">
      <c r="A56" s="849"/>
      <c r="B56" s="850"/>
      <c r="C56" s="850"/>
      <c r="D56" s="850"/>
      <c r="E56" s="850"/>
      <c r="F56" s="850"/>
    </row>
    <row r="58" spans="1:6" ht="15.75" x14ac:dyDescent="0.25">
      <c r="A58" s="1925" t="s">
        <v>241</v>
      </c>
      <c r="B58" s="1925"/>
      <c r="C58" s="1925"/>
      <c r="D58" s="1925"/>
      <c r="E58" s="1925"/>
      <c r="F58" s="1925"/>
    </row>
    <row r="59" spans="1:6" ht="13.5" thickBot="1" x14ac:dyDescent="0.25"/>
    <row r="60" spans="1:6" x14ac:dyDescent="0.2">
      <c r="A60" s="1926" t="s">
        <v>175</v>
      </c>
      <c r="B60" s="1927"/>
      <c r="C60" s="1928" t="s">
        <v>178</v>
      </c>
      <c r="D60" s="1928" t="s">
        <v>611</v>
      </c>
      <c r="E60" s="1931" t="s">
        <v>240</v>
      </c>
      <c r="F60" s="1933" t="s">
        <v>243</v>
      </c>
    </row>
    <row r="61" spans="1:6" x14ac:dyDescent="0.2">
      <c r="A61" s="1935" t="s">
        <v>176</v>
      </c>
      <c r="B61" s="1937" t="s">
        <v>177</v>
      </c>
      <c r="C61" s="1929"/>
      <c r="D61" s="1929"/>
      <c r="E61" s="1932"/>
      <c r="F61" s="1934"/>
    </row>
    <row r="62" spans="1:6" x14ac:dyDescent="0.2">
      <c r="A62" s="1936"/>
      <c r="B62" s="1938"/>
      <c r="C62" s="1930"/>
      <c r="D62" s="1930"/>
      <c r="E62" s="846" t="s">
        <v>171</v>
      </c>
      <c r="F62" s="851" t="s">
        <v>170</v>
      </c>
    </row>
    <row r="63" spans="1:6" ht="51" x14ac:dyDescent="0.2">
      <c r="A63" s="771" t="s">
        <v>327</v>
      </c>
      <c r="B63" s="578" t="s">
        <v>1300</v>
      </c>
      <c r="C63" s="1443" t="s">
        <v>1302</v>
      </c>
      <c r="D63" s="1444" t="s">
        <v>264</v>
      </c>
      <c r="E63" s="578">
        <v>100</v>
      </c>
      <c r="F63" s="578">
        <f>241000+8000</f>
        <v>249000</v>
      </c>
    </row>
    <row r="64" spans="1:6" ht="38.25" x14ac:dyDescent="0.2">
      <c r="A64" s="771" t="s">
        <v>327</v>
      </c>
      <c r="B64" s="578" t="s">
        <v>1301</v>
      </c>
      <c r="C64" s="1445" t="s">
        <v>1304</v>
      </c>
      <c r="D64" s="1445" t="s">
        <v>1303</v>
      </c>
      <c r="E64" s="578">
        <v>100</v>
      </c>
      <c r="F64" s="579">
        <v>249000</v>
      </c>
    </row>
    <row r="65" spans="1:6" x14ac:dyDescent="0.2">
      <c r="A65" s="771"/>
      <c r="B65" s="578"/>
      <c r="C65" s="578"/>
      <c r="D65" s="578"/>
      <c r="E65" s="578"/>
      <c r="F65" s="579"/>
    </row>
    <row r="66" spans="1:6" x14ac:dyDescent="0.2">
      <c r="A66" s="771"/>
      <c r="B66" s="578"/>
      <c r="C66" s="578"/>
      <c r="D66" s="578"/>
      <c r="E66" s="578"/>
      <c r="F66" s="579"/>
    </row>
    <row r="67" spans="1:6" x14ac:dyDescent="0.2">
      <c r="A67" s="771"/>
      <c r="B67" s="578"/>
      <c r="C67" s="578"/>
      <c r="D67" s="578"/>
      <c r="E67" s="578"/>
      <c r="F67" s="579"/>
    </row>
    <row r="68" spans="1:6" x14ac:dyDescent="0.2">
      <c r="A68" s="771"/>
      <c r="B68" s="578"/>
      <c r="C68" s="578"/>
      <c r="D68" s="578"/>
      <c r="E68" s="578"/>
      <c r="F68" s="579"/>
    </row>
    <row r="69" spans="1:6" x14ac:dyDescent="0.2">
      <c r="A69" s="771"/>
      <c r="B69" s="578"/>
      <c r="C69" s="578"/>
      <c r="D69" s="578"/>
      <c r="E69" s="578"/>
      <c r="F69" s="579"/>
    </row>
    <row r="70" spans="1:6" ht="13.5" thickBot="1" x14ac:dyDescent="0.25">
      <c r="A70" s="849"/>
      <c r="B70" s="850"/>
      <c r="C70" s="850"/>
      <c r="D70" s="850"/>
      <c r="E70" s="850"/>
      <c r="F70" s="852"/>
    </row>
    <row r="72" spans="1:6" x14ac:dyDescent="0.2">
      <c r="B72" s="473" t="s">
        <v>26</v>
      </c>
      <c r="C72" s="844">
        <v>2015</v>
      </c>
    </row>
    <row r="73" spans="1:6" x14ac:dyDescent="0.2">
      <c r="C73" s="473"/>
      <c r="D73" s="845"/>
    </row>
    <row r="74" spans="1:6" ht="15.75" x14ac:dyDescent="0.25">
      <c r="A74" s="1925" t="s">
        <v>242</v>
      </c>
      <c r="B74" s="1925"/>
      <c r="C74" s="1925"/>
      <c r="D74" s="1925"/>
      <c r="E74" s="1925"/>
      <c r="F74" s="1925"/>
    </row>
    <row r="75" spans="1:6" ht="13.5" thickBot="1" x14ac:dyDescent="0.25"/>
    <row r="76" spans="1:6" x14ac:dyDescent="0.2">
      <c r="A76" s="1926" t="s">
        <v>175</v>
      </c>
      <c r="B76" s="1927"/>
      <c r="C76" s="1939" t="s">
        <v>178</v>
      </c>
      <c r="D76" s="1939" t="s">
        <v>611</v>
      </c>
      <c r="E76" s="1931" t="s">
        <v>179</v>
      </c>
      <c r="F76" s="1931" t="s">
        <v>180</v>
      </c>
    </row>
    <row r="77" spans="1:6" x14ac:dyDescent="0.2">
      <c r="A77" s="1942" t="s">
        <v>176</v>
      </c>
      <c r="B77" s="1944" t="s">
        <v>177</v>
      </c>
      <c r="C77" s="1940"/>
      <c r="D77" s="1940"/>
      <c r="E77" s="1932"/>
      <c r="F77" s="1932"/>
    </row>
    <row r="78" spans="1:6" x14ac:dyDescent="0.2">
      <c r="A78" s="1943"/>
      <c r="B78" s="1945"/>
      <c r="C78" s="1941"/>
      <c r="D78" s="1941"/>
      <c r="E78" s="846" t="s">
        <v>170</v>
      </c>
      <c r="F78" s="846" t="s">
        <v>170</v>
      </c>
    </row>
    <row r="79" spans="1:6" ht="51" x14ac:dyDescent="0.2">
      <c r="A79" s="771" t="s">
        <v>327</v>
      </c>
      <c r="B79" s="578" t="s">
        <v>1300</v>
      </c>
      <c r="C79" s="1443" t="s">
        <v>1302</v>
      </c>
      <c r="D79" s="1444" t="s">
        <v>264</v>
      </c>
      <c r="E79" s="578">
        <f>124000+8000</f>
        <v>132000</v>
      </c>
      <c r="F79" s="578">
        <f>124000+8000</f>
        <v>132000</v>
      </c>
    </row>
    <row r="80" spans="1:6" ht="38.25" x14ac:dyDescent="0.2">
      <c r="A80" s="771" t="s">
        <v>327</v>
      </c>
      <c r="B80" s="578" t="s">
        <v>1301</v>
      </c>
      <c r="C80" s="1445" t="s">
        <v>1304</v>
      </c>
      <c r="D80" s="1445" t="s">
        <v>1303</v>
      </c>
      <c r="E80" s="578">
        <v>335000</v>
      </c>
      <c r="F80" s="578">
        <v>279167</v>
      </c>
    </row>
    <row r="81" spans="1:6" x14ac:dyDescent="0.2">
      <c r="A81" s="771"/>
      <c r="B81" s="578"/>
      <c r="C81" s="578"/>
      <c r="D81" s="578"/>
      <c r="E81" s="578"/>
      <c r="F81" s="578"/>
    </row>
    <row r="82" spans="1:6" x14ac:dyDescent="0.2">
      <c r="A82" s="771"/>
      <c r="B82" s="578"/>
      <c r="C82" s="578"/>
      <c r="D82" s="578"/>
      <c r="E82" s="578"/>
      <c r="F82" s="578"/>
    </row>
    <row r="83" spans="1:6" x14ac:dyDescent="0.2">
      <c r="A83" s="771"/>
      <c r="B83" s="578"/>
      <c r="C83" s="578"/>
      <c r="D83" s="578"/>
      <c r="E83" s="578"/>
      <c r="F83" s="578"/>
    </row>
    <row r="84" spans="1:6" x14ac:dyDescent="0.2">
      <c r="A84" s="771"/>
      <c r="B84" s="578"/>
      <c r="C84" s="578"/>
      <c r="D84" s="578"/>
      <c r="E84" s="578"/>
      <c r="F84" s="578"/>
    </row>
    <row r="85" spans="1:6" x14ac:dyDescent="0.2">
      <c r="A85" s="771"/>
      <c r="B85" s="578"/>
      <c r="C85" s="578"/>
      <c r="D85" s="578"/>
      <c r="E85" s="578"/>
      <c r="F85" s="578"/>
    </row>
    <row r="86" spans="1:6" ht="13.5" thickBot="1" x14ac:dyDescent="0.25">
      <c r="A86" s="849"/>
      <c r="B86" s="850"/>
      <c r="C86" s="850"/>
      <c r="D86" s="850"/>
      <c r="E86" s="850"/>
      <c r="F86" s="850"/>
    </row>
    <row r="88" spans="1:6" ht="15.75" x14ac:dyDescent="0.25">
      <c r="A88" s="1925" t="s">
        <v>241</v>
      </c>
      <c r="B88" s="1925"/>
      <c r="C88" s="1925"/>
      <c r="D88" s="1925"/>
      <c r="E88" s="1925"/>
      <c r="F88" s="1925"/>
    </row>
    <row r="89" spans="1:6" ht="13.5" thickBot="1" x14ac:dyDescent="0.25"/>
    <row r="90" spans="1:6" x14ac:dyDescent="0.2">
      <c r="A90" s="1926" t="s">
        <v>175</v>
      </c>
      <c r="B90" s="1927"/>
      <c r="C90" s="1928" t="s">
        <v>178</v>
      </c>
      <c r="D90" s="1928" t="s">
        <v>611</v>
      </c>
      <c r="E90" s="1931" t="s">
        <v>240</v>
      </c>
      <c r="F90" s="1933" t="s">
        <v>243</v>
      </c>
    </row>
    <row r="91" spans="1:6" x14ac:dyDescent="0.2">
      <c r="A91" s="1935" t="s">
        <v>176</v>
      </c>
      <c r="B91" s="1937" t="s">
        <v>177</v>
      </c>
      <c r="C91" s="1929"/>
      <c r="D91" s="1929"/>
      <c r="E91" s="1932"/>
      <c r="F91" s="1934"/>
    </row>
    <row r="92" spans="1:6" x14ac:dyDescent="0.2">
      <c r="A92" s="1936"/>
      <c r="B92" s="1938"/>
      <c r="C92" s="1930"/>
      <c r="D92" s="1930"/>
      <c r="E92" s="846" t="s">
        <v>171</v>
      </c>
      <c r="F92" s="851" t="s">
        <v>170</v>
      </c>
    </row>
    <row r="93" spans="1:6" ht="51" x14ac:dyDescent="0.2">
      <c r="A93" s="771" t="s">
        <v>327</v>
      </c>
      <c r="B93" s="578" t="s">
        <v>1300</v>
      </c>
      <c r="C93" s="1443" t="s">
        <v>1302</v>
      </c>
      <c r="D93" s="1444" t="s">
        <v>264</v>
      </c>
      <c r="E93" s="578">
        <v>100</v>
      </c>
      <c r="F93" s="579">
        <f>124000+8000</f>
        <v>132000</v>
      </c>
    </row>
    <row r="94" spans="1:6" ht="38.25" x14ac:dyDescent="0.2">
      <c r="A94" s="771" t="s">
        <v>327</v>
      </c>
      <c r="B94" s="578" t="s">
        <v>1301</v>
      </c>
      <c r="C94" s="1445" t="s">
        <v>1304</v>
      </c>
      <c r="D94" s="1445" t="s">
        <v>1303</v>
      </c>
      <c r="E94" s="578">
        <v>100</v>
      </c>
      <c r="F94" s="579">
        <v>335000</v>
      </c>
    </row>
    <row r="95" spans="1:6" x14ac:dyDescent="0.2">
      <c r="A95" s="771"/>
      <c r="B95" s="578"/>
      <c r="C95" s="578"/>
      <c r="D95" s="578"/>
      <c r="E95" s="578"/>
      <c r="F95" s="579"/>
    </row>
    <row r="96" spans="1:6" x14ac:dyDescent="0.2">
      <c r="A96" s="771"/>
      <c r="B96" s="578"/>
      <c r="C96" s="578"/>
      <c r="D96" s="578"/>
      <c r="E96" s="578"/>
      <c r="F96" s="579"/>
    </row>
    <row r="97" spans="1:6" x14ac:dyDescent="0.2">
      <c r="A97" s="771"/>
      <c r="B97" s="578"/>
      <c r="C97" s="578"/>
      <c r="D97" s="578"/>
      <c r="E97" s="578"/>
      <c r="F97" s="579"/>
    </row>
    <row r="98" spans="1:6" x14ac:dyDescent="0.2">
      <c r="A98" s="771"/>
      <c r="B98" s="578"/>
      <c r="C98" s="578"/>
      <c r="D98" s="578"/>
      <c r="E98" s="578"/>
      <c r="F98" s="579"/>
    </row>
    <row r="99" spans="1:6" x14ac:dyDescent="0.2">
      <c r="A99" s="771"/>
      <c r="B99" s="578"/>
      <c r="C99" s="578"/>
      <c r="D99" s="578"/>
      <c r="E99" s="578"/>
      <c r="F99" s="579"/>
    </row>
    <row r="100" spans="1:6" ht="13.5" thickBot="1" x14ac:dyDescent="0.25">
      <c r="A100" s="849"/>
      <c r="B100" s="850"/>
      <c r="C100" s="850"/>
      <c r="D100" s="850"/>
      <c r="E100" s="850"/>
      <c r="F100" s="852"/>
    </row>
    <row r="102" spans="1:6" x14ac:dyDescent="0.2">
      <c r="B102" s="473" t="s">
        <v>26</v>
      </c>
      <c r="C102" s="844">
        <v>2016</v>
      </c>
    </row>
    <row r="103" spans="1:6" x14ac:dyDescent="0.2">
      <c r="C103" s="473"/>
      <c r="D103" s="845"/>
    </row>
    <row r="104" spans="1:6" ht="15.75" x14ac:dyDescent="0.25">
      <c r="A104" s="1925" t="s">
        <v>242</v>
      </c>
      <c r="B104" s="1925"/>
      <c r="C104" s="1925"/>
      <c r="D104" s="1925"/>
      <c r="E104" s="1925"/>
      <c r="F104" s="1925"/>
    </row>
    <row r="105" spans="1:6" ht="13.5" thickBot="1" x14ac:dyDescent="0.25"/>
    <row r="106" spans="1:6" x14ac:dyDescent="0.2">
      <c r="A106" s="1926" t="s">
        <v>175</v>
      </c>
      <c r="B106" s="1927"/>
      <c r="C106" s="1939" t="s">
        <v>178</v>
      </c>
      <c r="D106" s="1939" t="s">
        <v>611</v>
      </c>
      <c r="E106" s="1931" t="s">
        <v>179</v>
      </c>
      <c r="F106" s="1931" t="s">
        <v>180</v>
      </c>
    </row>
    <row r="107" spans="1:6" x14ac:dyDescent="0.2">
      <c r="A107" s="1942" t="s">
        <v>176</v>
      </c>
      <c r="B107" s="1944" t="s">
        <v>177</v>
      </c>
      <c r="C107" s="1940"/>
      <c r="D107" s="1940"/>
      <c r="E107" s="1932"/>
      <c r="F107" s="1932"/>
    </row>
    <row r="108" spans="1:6" x14ac:dyDescent="0.2">
      <c r="A108" s="1943"/>
      <c r="B108" s="1945"/>
      <c r="C108" s="1941"/>
      <c r="D108" s="1941"/>
      <c r="E108" s="846" t="s">
        <v>170</v>
      </c>
      <c r="F108" s="846" t="s">
        <v>170</v>
      </c>
    </row>
    <row r="109" spans="1:6" ht="51" x14ac:dyDescent="0.2">
      <c r="A109" s="771" t="s">
        <v>327</v>
      </c>
      <c r="B109" s="578" t="s">
        <v>1300</v>
      </c>
      <c r="C109" s="1443" t="s">
        <v>1302</v>
      </c>
      <c r="D109" s="1444" t="s">
        <v>264</v>
      </c>
      <c r="E109" s="578">
        <f>295000+8000</f>
        <v>303000</v>
      </c>
      <c r="F109" s="578">
        <f>295000+8000</f>
        <v>303000</v>
      </c>
    </row>
    <row r="110" spans="1:6" ht="38.25" x14ac:dyDescent="0.2">
      <c r="A110" s="771" t="s">
        <v>327</v>
      </c>
      <c r="B110" s="578" t="s">
        <v>1301</v>
      </c>
      <c r="C110" s="1445" t="s">
        <v>1304</v>
      </c>
      <c r="D110" s="1445" t="s">
        <v>1303</v>
      </c>
      <c r="E110" s="578">
        <v>341000</v>
      </c>
      <c r="F110" s="578">
        <v>284167</v>
      </c>
    </row>
    <row r="111" spans="1:6" x14ac:dyDescent="0.2">
      <c r="A111" s="771"/>
      <c r="B111" s="578"/>
      <c r="C111" s="578"/>
      <c r="D111" s="578"/>
      <c r="E111" s="578"/>
      <c r="F111" s="578"/>
    </row>
    <row r="112" spans="1:6" x14ac:dyDescent="0.2">
      <c r="A112" s="771"/>
      <c r="B112" s="578"/>
      <c r="C112" s="578"/>
      <c r="D112" s="578"/>
      <c r="E112" s="578"/>
      <c r="F112" s="578"/>
    </row>
    <row r="113" spans="1:6" x14ac:dyDescent="0.2">
      <c r="A113" s="771"/>
      <c r="B113" s="578"/>
      <c r="C113" s="578"/>
      <c r="D113" s="578"/>
      <c r="E113" s="578"/>
      <c r="F113" s="578"/>
    </row>
    <row r="114" spans="1:6" x14ac:dyDescent="0.2">
      <c r="A114" s="771"/>
      <c r="B114" s="578"/>
      <c r="C114" s="578"/>
      <c r="D114" s="578"/>
      <c r="E114" s="578"/>
      <c r="F114" s="578"/>
    </row>
    <row r="115" spans="1:6" x14ac:dyDescent="0.2">
      <c r="A115" s="771"/>
      <c r="B115" s="578"/>
      <c r="C115" s="578"/>
      <c r="D115" s="578"/>
      <c r="E115" s="578"/>
      <c r="F115" s="578"/>
    </row>
    <row r="116" spans="1:6" ht="13.5" thickBot="1" x14ac:dyDescent="0.25">
      <c r="A116" s="849"/>
      <c r="B116" s="850"/>
      <c r="C116" s="850"/>
      <c r="D116" s="850"/>
      <c r="E116" s="850"/>
      <c r="F116" s="850"/>
    </row>
    <row r="118" spans="1:6" ht="15.75" x14ac:dyDescent="0.25">
      <c r="A118" s="1925" t="s">
        <v>241</v>
      </c>
      <c r="B118" s="1925"/>
      <c r="C118" s="1925"/>
      <c r="D118" s="1925"/>
      <c r="E118" s="1925"/>
      <c r="F118" s="1925"/>
    </row>
    <row r="119" spans="1:6" ht="13.5" thickBot="1" x14ac:dyDescent="0.25"/>
    <row r="120" spans="1:6" x14ac:dyDescent="0.2">
      <c r="A120" s="1926" t="s">
        <v>175</v>
      </c>
      <c r="B120" s="1927"/>
      <c r="C120" s="1928" t="s">
        <v>178</v>
      </c>
      <c r="D120" s="1928" t="s">
        <v>611</v>
      </c>
      <c r="E120" s="1931" t="s">
        <v>240</v>
      </c>
      <c r="F120" s="1933" t="s">
        <v>243</v>
      </c>
    </row>
    <row r="121" spans="1:6" x14ac:dyDescent="0.2">
      <c r="A121" s="1935" t="s">
        <v>176</v>
      </c>
      <c r="B121" s="1937" t="s">
        <v>177</v>
      </c>
      <c r="C121" s="1929"/>
      <c r="D121" s="1929"/>
      <c r="E121" s="1932"/>
      <c r="F121" s="1934"/>
    </row>
    <row r="122" spans="1:6" x14ac:dyDescent="0.2">
      <c r="A122" s="1936"/>
      <c r="B122" s="1938"/>
      <c r="C122" s="1930"/>
      <c r="D122" s="1930"/>
      <c r="E122" s="846" t="s">
        <v>171</v>
      </c>
      <c r="F122" s="851" t="s">
        <v>170</v>
      </c>
    </row>
    <row r="123" spans="1:6" ht="51" x14ac:dyDescent="0.2">
      <c r="A123" s="771" t="s">
        <v>327</v>
      </c>
      <c r="B123" s="578" t="s">
        <v>1300</v>
      </c>
      <c r="C123" s="1443" t="s">
        <v>1302</v>
      </c>
      <c r="D123" s="1444" t="s">
        <v>264</v>
      </c>
      <c r="E123" s="578">
        <f>295000+8000</f>
        <v>303000</v>
      </c>
      <c r="F123" s="578">
        <f>295000+8000</f>
        <v>303000</v>
      </c>
    </row>
    <row r="124" spans="1:6" ht="38.25" x14ac:dyDescent="0.2">
      <c r="A124" s="771" t="s">
        <v>327</v>
      </c>
      <c r="B124" s="578" t="s">
        <v>1301</v>
      </c>
      <c r="C124" s="1445" t="s">
        <v>1304</v>
      </c>
      <c r="D124" s="1445" t="s">
        <v>1303</v>
      </c>
      <c r="E124" s="578">
        <v>341000</v>
      </c>
      <c r="F124" s="578">
        <v>284167</v>
      </c>
    </row>
    <row r="125" spans="1:6" x14ac:dyDescent="0.2">
      <c r="A125" s="771"/>
      <c r="B125" s="578"/>
      <c r="C125" s="578"/>
      <c r="D125" s="578"/>
      <c r="E125" s="578"/>
      <c r="F125" s="579"/>
    </row>
    <row r="126" spans="1:6" x14ac:dyDescent="0.2">
      <c r="A126" s="771"/>
      <c r="B126" s="578"/>
      <c r="C126" s="578"/>
      <c r="D126" s="578"/>
      <c r="E126" s="578"/>
      <c r="F126" s="579"/>
    </row>
    <row r="127" spans="1:6" x14ac:dyDescent="0.2">
      <c r="A127" s="771"/>
      <c r="B127" s="578"/>
      <c r="C127" s="578"/>
      <c r="D127" s="578"/>
      <c r="E127" s="578"/>
      <c r="F127" s="579"/>
    </row>
    <row r="128" spans="1:6" x14ac:dyDescent="0.2">
      <c r="A128" s="771"/>
      <c r="B128" s="578"/>
      <c r="C128" s="578"/>
      <c r="D128" s="578"/>
      <c r="E128" s="578"/>
      <c r="F128" s="579"/>
    </row>
    <row r="129" spans="1:6" x14ac:dyDescent="0.2">
      <c r="A129" s="771"/>
      <c r="B129" s="578"/>
      <c r="C129" s="578"/>
      <c r="D129" s="578"/>
      <c r="E129" s="578"/>
      <c r="F129" s="579"/>
    </row>
    <row r="130" spans="1:6" ht="13.5" thickBot="1" x14ac:dyDescent="0.25">
      <c r="A130" s="849"/>
      <c r="B130" s="850"/>
      <c r="C130" s="850"/>
      <c r="D130" s="850"/>
      <c r="E130" s="850"/>
      <c r="F130" s="852"/>
    </row>
    <row r="132" spans="1:6" x14ac:dyDescent="0.2">
      <c r="B132" s="473" t="s">
        <v>26</v>
      </c>
      <c r="C132" s="844">
        <v>2017</v>
      </c>
    </row>
    <row r="133" spans="1:6" x14ac:dyDescent="0.2">
      <c r="C133" s="473"/>
      <c r="D133" s="845"/>
    </row>
    <row r="134" spans="1:6" ht="15.75" x14ac:dyDescent="0.25">
      <c r="A134" s="1925" t="s">
        <v>242</v>
      </c>
      <c r="B134" s="1925"/>
      <c r="C134" s="1925"/>
      <c r="D134" s="1925"/>
      <c r="E134" s="1925"/>
      <c r="F134" s="1925"/>
    </row>
    <row r="135" spans="1:6" ht="13.5" thickBot="1" x14ac:dyDescent="0.25"/>
    <row r="136" spans="1:6" x14ac:dyDescent="0.2">
      <c r="A136" s="1926" t="s">
        <v>175</v>
      </c>
      <c r="B136" s="1927"/>
      <c r="C136" s="1939" t="s">
        <v>178</v>
      </c>
      <c r="D136" s="1939" t="s">
        <v>611</v>
      </c>
      <c r="E136" s="1931" t="s">
        <v>179</v>
      </c>
      <c r="F136" s="1931" t="s">
        <v>180</v>
      </c>
    </row>
    <row r="137" spans="1:6" x14ac:dyDescent="0.2">
      <c r="A137" s="1942" t="s">
        <v>176</v>
      </c>
      <c r="B137" s="1944" t="s">
        <v>177</v>
      </c>
      <c r="C137" s="1940"/>
      <c r="D137" s="1940"/>
      <c r="E137" s="1932"/>
      <c r="F137" s="1932"/>
    </row>
    <row r="138" spans="1:6" x14ac:dyDescent="0.2">
      <c r="A138" s="1943"/>
      <c r="B138" s="1945"/>
      <c r="C138" s="1941"/>
      <c r="D138" s="1941"/>
      <c r="E138" s="846" t="s">
        <v>170</v>
      </c>
      <c r="F138" s="846" t="s">
        <v>170</v>
      </c>
    </row>
    <row r="139" spans="1:6" ht="51" x14ac:dyDescent="0.2">
      <c r="A139" s="771" t="s">
        <v>327</v>
      </c>
      <c r="B139" s="578" t="s">
        <v>1300</v>
      </c>
      <c r="C139" s="1443" t="s">
        <v>1302</v>
      </c>
      <c r="D139" s="1444" t="s">
        <v>264</v>
      </c>
      <c r="E139" s="578">
        <f>295000+8000</f>
        <v>303000</v>
      </c>
      <c r="F139" s="578">
        <f>295000+8000</f>
        <v>303000</v>
      </c>
    </row>
    <row r="140" spans="1:6" ht="38.25" x14ac:dyDescent="0.2">
      <c r="A140" s="771" t="s">
        <v>327</v>
      </c>
      <c r="B140" s="578" t="s">
        <v>1301</v>
      </c>
      <c r="C140" s="1445" t="s">
        <v>1304</v>
      </c>
      <c r="D140" s="1445" t="s">
        <v>1303</v>
      </c>
      <c r="E140" s="578">
        <v>341000</v>
      </c>
      <c r="F140" s="578">
        <v>284167</v>
      </c>
    </row>
    <row r="141" spans="1:6" x14ac:dyDescent="0.2">
      <c r="A141" s="771"/>
      <c r="B141" s="578"/>
      <c r="C141" s="578"/>
      <c r="D141" s="578"/>
      <c r="E141" s="578"/>
      <c r="F141" s="578"/>
    </row>
    <row r="142" spans="1:6" x14ac:dyDescent="0.2">
      <c r="A142" s="771"/>
      <c r="B142" s="578"/>
      <c r="C142" s="578"/>
      <c r="D142" s="578"/>
      <c r="E142" s="578"/>
      <c r="F142" s="578"/>
    </row>
    <row r="143" spans="1:6" x14ac:dyDescent="0.2">
      <c r="A143" s="771"/>
      <c r="B143" s="578"/>
      <c r="C143" s="578"/>
      <c r="D143" s="578"/>
      <c r="E143" s="578"/>
      <c r="F143" s="578"/>
    </row>
    <row r="144" spans="1:6" x14ac:dyDescent="0.2">
      <c r="A144" s="771"/>
      <c r="B144" s="578"/>
      <c r="C144" s="578"/>
      <c r="D144" s="578"/>
      <c r="E144" s="578"/>
      <c r="F144" s="578"/>
    </row>
    <row r="145" spans="1:6" x14ac:dyDescent="0.2">
      <c r="A145" s="771"/>
      <c r="B145" s="578"/>
      <c r="C145" s="578"/>
      <c r="D145" s="578"/>
      <c r="E145" s="578"/>
      <c r="F145" s="578"/>
    </row>
    <row r="146" spans="1:6" ht="13.5" thickBot="1" x14ac:dyDescent="0.25">
      <c r="A146" s="849"/>
      <c r="B146" s="850"/>
      <c r="C146" s="850"/>
      <c r="D146" s="850"/>
      <c r="E146" s="850"/>
      <c r="F146" s="850"/>
    </row>
    <row r="148" spans="1:6" ht="15.75" x14ac:dyDescent="0.25">
      <c r="A148" s="1925" t="s">
        <v>241</v>
      </c>
      <c r="B148" s="1925"/>
      <c r="C148" s="1925"/>
      <c r="D148" s="1925"/>
      <c r="E148" s="1925"/>
      <c r="F148" s="1925"/>
    </row>
    <row r="149" spans="1:6" ht="13.5" thickBot="1" x14ac:dyDescent="0.25"/>
    <row r="150" spans="1:6" x14ac:dyDescent="0.2">
      <c r="A150" s="1926" t="s">
        <v>175</v>
      </c>
      <c r="B150" s="1927"/>
      <c r="C150" s="1928" t="s">
        <v>178</v>
      </c>
      <c r="D150" s="1928" t="s">
        <v>611</v>
      </c>
      <c r="E150" s="1931" t="s">
        <v>240</v>
      </c>
      <c r="F150" s="1933" t="s">
        <v>243</v>
      </c>
    </row>
    <row r="151" spans="1:6" x14ac:dyDescent="0.2">
      <c r="A151" s="1935" t="s">
        <v>176</v>
      </c>
      <c r="B151" s="1937" t="s">
        <v>177</v>
      </c>
      <c r="C151" s="1929"/>
      <c r="D151" s="1929"/>
      <c r="E151" s="1932"/>
      <c r="F151" s="1934"/>
    </row>
    <row r="152" spans="1:6" x14ac:dyDescent="0.2">
      <c r="A152" s="1936"/>
      <c r="B152" s="1938"/>
      <c r="C152" s="1930"/>
      <c r="D152" s="1930"/>
      <c r="E152" s="846" t="s">
        <v>171</v>
      </c>
      <c r="F152" s="851" t="s">
        <v>170</v>
      </c>
    </row>
    <row r="153" spans="1:6" ht="51" x14ac:dyDescent="0.2">
      <c r="A153" s="771" t="s">
        <v>327</v>
      </c>
      <c r="B153" s="578" t="s">
        <v>1300</v>
      </c>
      <c r="C153" s="1443" t="s">
        <v>1302</v>
      </c>
      <c r="D153" s="1444" t="s">
        <v>264</v>
      </c>
      <c r="E153" s="578">
        <f>295000+8000</f>
        <v>303000</v>
      </c>
      <c r="F153" s="578">
        <f>295000+8000</f>
        <v>303000</v>
      </c>
    </row>
    <row r="154" spans="1:6" ht="38.25" x14ac:dyDescent="0.2">
      <c r="A154" s="771" t="s">
        <v>327</v>
      </c>
      <c r="B154" s="578" t="s">
        <v>1301</v>
      </c>
      <c r="C154" s="1445" t="s">
        <v>1304</v>
      </c>
      <c r="D154" s="1445" t="s">
        <v>1303</v>
      </c>
      <c r="E154" s="578">
        <v>341000</v>
      </c>
      <c r="F154" s="578">
        <v>284167</v>
      </c>
    </row>
    <row r="155" spans="1:6" x14ac:dyDescent="0.2">
      <c r="A155" s="771"/>
      <c r="B155" s="578"/>
      <c r="C155" s="578"/>
      <c r="D155" s="578"/>
      <c r="E155" s="578"/>
      <c r="F155" s="579"/>
    </row>
    <row r="156" spans="1:6" x14ac:dyDescent="0.2">
      <c r="A156" s="771"/>
      <c r="B156" s="578"/>
      <c r="C156" s="578"/>
      <c r="D156" s="578"/>
      <c r="E156" s="578"/>
      <c r="F156" s="579"/>
    </row>
    <row r="157" spans="1:6" x14ac:dyDescent="0.2">
      <c r="A157" s="771"/>
      <c r="B157" s="578"/>
      <c r="C157" s="578"/>
      <c r="D157" s="578"/>
      <c r="E157" s="578"/>
      <c r="F157" s="579"/>
    </row>
    <row r="158" spans="1:6" x14ac:dyDescent="0.2">
      <c r="A158" s="771"/>
      <c r="B158" s="578"/>
      <c r="C158" s="578"/>
      <c r="D158" s="578"/>
      <c r="E158" s="578"/>
      <c r="F158" s="579"/>
    </row>
    <row r="159" spans="1:6" x14ac:dyDescent="0.2">
      <c r="A159" s="771"/>
      <c r="B159" s="578"/>
      <c r="C159" s="578"/>
      <c r="D159" s="578"/>
      <c r="E159" s="578"/>
      <c r="F159" s="579"/>
    </row>
    <row r="160" spans="1:6" ht="13.5" thickBot="1" x14ac:dyDescent="0.25">
      <c r="A160" s="849"/>
      <c r="B160" s="850"/>
      <c r="C160" s="850"/>
      <c r="D160" s="850"/>
      <c r="E160" s="850"/>
      <c r="F160" s="852"/>
    </row>
    <row r="161" spans="1:7" ht="18" customHeight="1" x14ac:dyDescent="0.2">
      <c r="A161" s="853" t="s">
        <v>98</v>
      </c>
      <c r="B161" s="854"/>
      <c r="C161" s="854"/>
      <c r="D161" s="854"/>
      <c r="E161" s="854"/>
      <c r="F161" s="854"/>
      <c r="G161" s="854"/>
    </row>
    <row r="162" spans="1:7" x14ac:dyDescent="0.2">
      <c r="A162" s="853">
        <v>1</v>
      </c>
      <c r="B162" s="1948" t="s">
        <v>628</v>
      </c>
      <c r="C162" s="1948"/>
      <c r="D162" s="1948"/>
      <c r="E162" s="1948"/>
      <c r="F162" s="1948"/>
      <c r="G162" s="1083"/>
    </row>
    <row r="163" spans="1:7" x14ac:dyDescent="0.2">
      <c r="A163" s="1083"/>
      <c r="B163" s="1948"/>
      <c r="C163" s="1948"/>
      <c r="D163" s="1948"/>
      <c r="E163" s="1948"/>
      <c r="F163" s="1948"/>
      <c r="G163" s="1083"/>
    </row>
    <row r="165" spans="1:7" x14ac:dyDescent="0.2">
      <c r="A165" s="855" t="s">
        <v>625</v>
      </c>
    </row>
    <row r="166" spans="1:7" ht="27" customHeight="1" x14ac:dyDescent="0.2">
      <c r="A166" s="1946" t="s">
        <v>612</v>
      </c>
      <c r="B166" s="1947"/>
      <c r="C166" s="1947"/>
      <c r="D166" s="1947"/>
      <c r="E166" s="1947"/>
      <c r="F166" s="1947"/>
    </row>
    <row r="167" spans="1:7" ht="15" x14ac:dyDescent="0.2">
      <c r="A167" s="856"/>
    </row>
    <row r="168" spans="1:7" x14ac:dyDescent="0.2">
      <c r="A168" s="855" t="s">
        <v>626</v>
      </c>
    </row>
    <row r="169" spans="1:7" ht="51.75" customHeight="1" x14ac:dyDescent="0.2">
      <c r="A169" s="1946" t="s">
        <v>613</v>
      </c>
      <c r="B169" s="1947"/>
      <c r="C169" s="1947"/>
      <c r="D169" s="1947"/>
      <c r="E169" s="1947"/>
      <c r="F169" s="1947"/>
    </row>
    <row r="170" spans="1:7" ht="15" x14ac:dyDescent="0.2">
      <c r="A170" s="856"/>
    </row>
    <row r="171" spans="1:7" x14ac:dyDescent="0.2">
      <c r="A171" s="855" t="s">
        <v>627</v>
      </c>
    </row>
    <row r="172" spans="1:7" ht="38.25" customHeight="1" x14ac:dyDescent="0.2">
      <c r="A172" s="1946" t="s">
        <v>614</v>
      </c>
      <c r="B172" s="1947"/>
      <c r="C172" s="1947"/>
      <c r="D172" s="1947"/>
      <c r="E172" s="1947"/>
      <c r="F172" s="1947"/>
    </row>
    <row r="173" spans="1:7" ht="15" x14ac:dyDescent="0.2">
      <c r="A173" s="87"/>
    </row>
  </sheetData>
  <mergeCells count="87">
    <mergeCell ref="G16:G17"/>
    <mergeCell ref="A30:B30"/>
    <mergeCell ref="C30:C32"/>
    <mergeCell ref="D30:D32"/>
    <mergeCell ref="F30:F31"/>
    <mergeCell ref="E30:E31"/>
    <mergeCell ref="A31:A32"/>
    <mergeCell ref="B31:B32"/>
    <mergeCell ref="A28:F28"/>
    <mergeCell ref="A166:F166"/>
    <mergeCell ref="A169:F169"/>
    <mergeCell ref="A172:F172"/>
    <mergeCell ref="A14:F14"/>
    <mergeCell ref="A9:F9"/>
    <mergeCell ref="A10:F10"/>
    <mergeCell ref="B162:F163"/>
    <mergeCell ref="A17:A18"/>
    <mergeCell ref="B17:B18"/>
    <mergeCell ref="C16:C18"/>
    <mergeCell ref="D16:D18"/>
    <mergeCell ref="A16:B16"/>
    <mergeCell ref="E16:E17"/>
    <mergeCell ref="F16:F17"/>
    <mergeCell ref="A44:F44"/>
    <mergeCell ref="A46:B46"/>
    <mergeCell ref="C46:C48"/>
    <mergeCell ref="D46:D48"/>
    <mergeCell ref="E46:E47"/>
    <mergeCell ref="F46:F47"/>
    <mergeCell ref="A47:A48"/>
    <mergeCell ref="B47:B48"/>
    <mergeCell ref="A58:F58"/>
    <mergeCell ref="A60:B60"/>
    <mergeCell ref="C60:C62"/>
    <mergeCell ref="D60:D62"/>
    <mergeCell ref="E60:E61"/>
    <mergeCell ref="F60:F61"/>
    <mergeCell ref="A61:A62"/>
    <mergeCell ref="B61:B62"/>
    <mergeCell ref="A74:F74"/>
    <mergeCell ref="A76:B76"/>
    <mergeCell ref="C76:C78"/>
    <mergeCell ref="D76:D78"/>
    <mergeCell ref="E76:E77"/>
    <mergeCell ref="F76:F77"/>
    <mergeCell ref="A77:A78"/>
    <mergeCell ref="B77:B78"/>
    <mergeCell ref="A88:F88"/>
    <mergeCell ref="A90:B90"/>
    <mergeCell ref="C90:C92"/>
    <mergeCell ref="D90:D92"/>
    <mergeCell ref="E90:E91"/>
    <mergeCell ref="F90:F91"/>
    <mergeCell ref="A91:A92"/>
    <mergeCell ref="B91:B92"/>
    <mergeCell ref="A104:F104"/>
    <mergeCell ref="A106:B106"/>
    <mergeCell ref="C106:C108"/>
    <mergeCell ref="D106:D108"/>
    <mergeCell ref="E106:E107"/>
    <mergeCell ref="F106:F107"/>
    <mergeCell ref="A107:A108"/>
    <mergeCell ref="B107:B108"/>
    <mergeCell ref="A118:F118"/>
    <mergeCell ref="A120:B120"/>
    <mergeCell ref="C120:C122"/>
    <mergeCell ref="D120:D122"/>
    <mergeCell ref="E120:E121"/>
    <mergeCell ref="F120:F121"/>
    <mergeCell ref="A121:A122"/>
    <mergeCell ref="B121:B122"/>
    <mergeCell ref="A134:F134"/>
    <mergeCell ref="A136:B136"/>
    <mergeCell ref="C136:C138"/>
    <mergeCell ref="D136:D138"/>
    <mergeCell ref="E136:E137"/>
    <mergeCell ref="F136:F137"/>
    <mergeCell ref="A137:A138"/>
    <mergeCell ref="B137:B138"/>
    <mergeCell ref="A148:F148"/>
    <mergeCell ref="A150:B150"/>
    <mergeCell ref="C150:C152"/>
    <mergeCell ref="D150:D152"/>
    <mergeCell ref="E150:E151"/>
    <mergeCell ref="F150:F151"/>
    <mergeCell ref="A151:A152"/>
    <mergeCell ref="B151:B152"/>
  </mergeCells>
  <phoneticPr fontId="16" type="noConversion"/>
  <dataValidations count="1">
    <dataValidation allowBlank="1" showInputMessage="1" showErrorMessage="1" promptTitle="Date Format" prompt="E.g:  &quot;August 1, 2011&quot;" sqref="G7"/>
  </dataValidations>
  <pageMargins left="0.75" right="0.75" top="1" bottom="1" header="0.5" footer="0.5"/>
  <pageSetup scale="6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5" tint="0.39997558519241921"/>
    <pageSetUpPr autoPageBreaks="0" fitToPage="1"/>
  </sheetPr>
  <dimension ref="A1:P64"/>
  <sheetViews>
    <sheetView showGridLines="0" zoomScaleNormal="100" workbookViewId="0">
      <selection activeCell="O56" sqref="O56"/>
    </sheetView>
  </sheetViews>
  <sheetFormatPr defaultRowHeight="12.75" x14ac:dyDescent="0.2"/>
  <cols>
    <col min="1" max="1" width="6.42578125" style="52" customWidth="1"/>
    <col min="2" max="2" width="5.5703125" style="52" customWidth="1"/>
    <col min="3" max="3" width="16.5703125" style="52" customWidth="1"/>
    <col min="4" max="4" width="3" style="52" customWidth="1"/>
    <col min="5" max="5" width="11.140625" style="52" customWidth="1"/>
    <col min="6" max="6" width="1.42578125" style="52" customWidth="1"/>
    <col min="7" max="7" width="3.42578125" style="52" customWidth="1"/>
    <col min="8" max="8" width="1.42578125" style="52" customWidth="1"/>
    <col min="9" max="9" width="13.7109375" style="52" customWidth="1"/>
    <col min="10" max="10" width="3.28515625" style="52" customWidth="1"/>
    <col min="11" max="11" width="12.85546875" style="52" customWidth="1"/>
    <col min="12" max="12" width="1.42578125" style="52" customWidth="1"/>
    <col min="13" max="13" width="3.5703125" style="52" customWidth="1"/>
    <col min="14" max="14" width="1.7109375" style="52" customWidth="1"/>
    <col min="15" max="15" width="14" style="52" customWidth="1"/>
    <col min="16" max="16" width="2.140625" style="52" customWidth="1"/>
    <col min="17" max="255" width="9.140625" style="52"/>
    <col min="256" max="256" width="2.85546875" style="52" customWidth="1"/>
    <col min="257" max="257" width="6.42578125" style="52" customWidth="1"/>
    <col min="258" max="258" width="3.85546875" style="52" customWidth="1"/>
    <col min="259" max="259" width="16.5703125" style="52" customWidth="1"/>
    <col min="260" max="260" width="3" style="52" customWidth="1"/>
    <col min="261" max="261" width="11.140625" style="52" customWidth="1"/>
    <col min="262" max="262" width="1.42578125" style="52" customWidth="1"/>
    <col min="263" max="263" width="3.42578125" style="52" customWidth="1"/>
    <col min="264" max="264" width="1.42578125" style="52" customWidth="1"/>
    <col min="265" max="265" width="12.5703125" style="52" customWidth="1"/>
    <col min="266" max="266" width="3.28515625" style="52" customWidth="1"/>
    <col min="267" max="267" width="12.85546875" style="52" customWidth="1"/>
    <col min="268" max="268" width="1.42578125" style="52" customWidth="1"/>
    <col min="269" max="269" width="3.5703125" style="52" customWidth="1"/>
    <col min="270" max="270" width="1.7109375" style="52" customWidth="1"/>
    <col min="271" max="271" width="14" style="52" customWidth="1"/>
    <col min="272" max="272" width="2.140625" style="52" customWidth="1"/>
    <col min="273" max="511" width="9.140625" style="52"/>
    <col min="512" max="512" width="2.85546875" style="52" customWidth="1"/>
    <col min="513" max="513" width="6.42578125" style="52" customWidth="1"/>
    <col min="514" max="514" width="3.85546875" style="52" customWidth="1"/>
    <col min="515" max="515" width="16.5703125" style="52" customWidth="1"/>
    <col min="516" max="516" width="3" style="52" customWidth="1"/>
    <col min="517" max="517" width="11.140625" style="52" customWidth="1"/>
    <col min="518" max="518" width="1.42578125" style="52" customWidth="1"/>
    <col min="519" max="519" width="3.42578125" style="52" customWidth="1"/>
    <col min="520" max="520" width="1.42578125" style="52" customWidth="1"/>
    <col min="521" max="521" width="12.5703125" style="52" customWidth="1"/>
    <col min="522" max="522" width="3.28515625" style="52" customWidth="1"/>
    <col min="523" max="523" width="12.85546875" style="52" customWidth="1"/>
    <col min="524" max="524" width="1.42578125" style="52" customWidth="1"/>
    <col min="525" max="525" width="3.5703125" style="52" customWidth="1"/>
    <col min="526" max="526" width="1.7109375" style="52" customWidth="1"/>
    <col min="527" max="527" width="14" style="52" customWidth="1"/>
    <col min="528" max="528" width="2.140625" style="52" customWidth="1"/>
    <col min="529" max="767" width="9.140625" style="52"/>
    <col min="768" max="768" width="2.85546875" style="52" customWidth="1"/>
    <col min="769" max="769" width="6.42578125" style="52" customWidth="1"/>
    <col min="770" max="770" width="3.85546875" style="52" customWidth="1"/>
    <col min="771" max="771" width="16.5703125" style="52" customWidth="1"/>
    <col min="772" max="772" width="3" style="52" customWidth="1"/>
    <col min="773" max="773" width="11.140625" style="52" customWidth="1"/>
    <col min="774" max="774" width="1.42578125" style="52" customWidth="1"/>
    <col min="775" max="775" width="3.42578125" style="52" customWidth="1"/>
    <col min="776" max="776" width="1.42578125" style="52" customWidth="1"/>
    <col min="777" max="777" width="12.5703125" style="52" customWidth="1"/>
    <col min="778" max="778" width="3.28515625" style="52" customWidth="1"/>
    <col min="779" max="779" width="12.85546875" style="52" customWidth="1"/>
    <col min="780" max="780" width="1.42578125" style="52" customWidth="1"/>
    <col min="781" max="781" width="3.5703125" style="52" customWidth="1"/>
    <col min="782" max="782" width="1.7109375" style="52" customWidth="1"/>
    <col min="783" max="783" width="14" style="52" customWidth="1"/>
    <col min="784" max="784" width="2.140625" style="52" customWidth="1"/>
    <col min="785" max="1023" width="9.140625" style="52"/>
    <col min="1024" max="1024" width="2.85546875" style="52" customWidth="1"/>
    <col min="1025" max="1025" width="6.42578125" style="52" customWidth="1"/>
    <col min="1026" max="1026" width="3.85546875" style="52" customWidth="1"/>
    <col min="1027" max="1027" width="16.5703125" style="52" customWidth="1"/>
    <col min="1028" max="1028" width="3" style="52" customWidth="1"/>
    <col min="1029" max="1029" width="11.140625" style="52" customWidth="1"/>
    <col min="1030" max="1030" width="1.42578125" style="52" customWidth="1"/>
    <col min="1031" max="1031" width="3.42578125" style="52" customWidth="1"/>
    <col min="1032" max="1032" width="1.42578125" style="52" customWidth="1"/>
    <col min="1033" max="1033" width="12.5703125" style="52" customWidth="1"/>
    <col min="1034" max="1034" width="3.28515625" style="52" customWidth="1"/>
    <col min="1035" max="1035" width="12.85546875" style="52" customWidth="1"/>
    <col min="1036" max="1036" width="1.42578125" style="52" customWidth="1"/>
    <col min="1037" max="1037" width="3.5703125" style="52" customWidth="1"/>
    <col min="1038" max="1038" width="1.7109375" style="52" customWidth="1"/>
    <col min="1039" max="1039" width="14" style="52" customWidth="1"/>
    <col min="1040" max="1040" width="2.140625" style="52" customWidth="1"/>
    <col min="1041" max="1279" width="9.140625" style="52"/>
    <col min="1280" max="1280" width="2.85546875" style="52" customWidth="1"/>
    <col min="1281" max="1281" width="6.42578125" style="52" customWidth="1"/>
    <col min="1282" max="1282" width="3.85546875" style="52" customWidth="1"/>
    <col min="1283" max="1283" width="16.5703125" style="52" customWidth="1"/>
    <col min="1284" max="1284" width="3" style="52" customWidth="1"/>
    <col min="1285" max="1285" width="11.140625" style="52" customWidth="1"/>
    <col min="1286" max="1286" width="1.42578125" style="52" customWidth="1"/>
    <col min="1287" max="1287" width="3.42578125" style="52" customWidth="1"/>
    <col min="1288" max="1288" width="1.42578125" style="52" customWidth="1"/>
    <col min="1289" max="1289" width="12.5703125" style="52" customWidth="1"/>
    <col min="1290" max="1290" width="3.28515625" style="52" customWidth="1"/>
    <col min="1291" max="1291" width="12.85546875" style="52" customWidth="1"/>
    <col min="1292" max="1292" width="1.42578125" style="52" customWidth="1"/>
    <col min="1293" max="1293" width="3.5703125" style="52" customWidth="1"/>
    <col min="1294" max="1294" width="1.7109375" style="52" customWidth="1"/>
    <col min="1295" max="1295" width="14" style="52" customWidth="1"/>
    <col min="1296" max="1296" width="2.140625" style="52" customWidth="1"/>
    <col min="1297" max="1535" width="9.140625" style="52"/>
    <col min="1536" max="1536" width="2.85546875" style="52" customWidth="1"/>
    <col min="1537" max="1537" width="6.42578125" style="52" customWidth="1"/>
    <col min="1538" max="1538" width="3.85546875" style="52" customWidth="1"/>
    <col min="1539" max="1539" width="16.5703125" style="52" customWidth="1"/>
    <col min="1540" max="1540" width="3" style="52" customWidth="1"/>
    <col min="1541" max="1541" width="11.140625" style="52" customWidth="1"/>
    <col min="1542" max="1542" width="1.42578125" style="52" customWidth="1"/>
    <col min="1543" max="1543" width="3.42578125" style="52" customWidth="1"/>
    <col min="1544" max="1544" width="1.42578125" style="52" customWidth="1"/>
    <col min="1545" max="1545" width="12.5703125" style="52" customWidth="1"/>
    <col min="1546" max="1546" width="3.28515625" style="52" customWidth="1"/>
    <col min="1547" max="1547" width="12.85546875" style="52" customWidth="1"/>
    <col min="1548" max="1548" width="1.42578125" style="52" customWidth="1"/>
    <col min="1549" max="1549" width="3.5703125" style="52" customWidth="1"/>
    <col min="1550" max="1550" width="1.7109375" style="52" customWidth="1"/>
    <col min="1551" max="1551" width="14" style="52" customWidth="1"/>
    <col min="1552" max="1552" width="2.140625" style="52" customWidth="1"/>
    <col min="1553" max="1791" width="9.140625" style="52"/>
    <col min="1792" max="1792" width="2.85546875" style="52" customWidth="1"/>
    <col min="1793" max="1793" width="6.42578125" style="52" customWidth="1"/>
    <col min="1794" max="1794" width="3.85546875" style="52" customWidth="1"/>
    <col min="1795" max="1795" width="16.5703125" style="52" customWidth="1"/>
    <col min="1796" max="1796" width="3" style="52" customWidth="1"/>
    <col min="1797" max="1797" width="11.140625" style="52" customWidth="1"/>
    <col min="1798" max="1798" width="1.42578125" style="52" customWidth="1"/>
    <col min="1799" max="1799" width="3.42578125" style="52" customWidth="1"/>
    <col min="1800" max="1800" width="1.42578125" style="52" customWidth="1"/>
    <col min="1801" max="1801" width="12.5703125" style="52" customWidth="1"/>
    <col min="1802" max="1802" width="3.28515625" style="52" customWidth="1"/>
    <col min="1803" max="1803" width="12.85546875" style="52" customWidth="1"/>
    <col min="1804" max="1804" width="1.42578125" style="52" customWidth="1"/>
    <col min="1805" max="1805" width="3.5703125" style="52" customWidth="1"/>
    <col min="1806" max="1806" width="1.7109375" style="52" customWidth="1"/>
    <col min="1807" max="1807" width="14" style="52" customWidth="1"/>
    <col min="1808" max="1808" width="2.140625" style="52" customWidth="1"/>
    <col min="1809" max="2047" width="9.140625" style="52"/>
    <col min="2048" max="2048" width="2.85546875" style="52" customWidth="1"/>
    <col min="2049" max="2049" width="6.42578125" style="52" customWidth="1"/>
    <col min="2050" max="2050" width="3.85546875" style="52" customWidth="1"/>
    <col min="2051" max="2051" width="16.5703125" style="52" customWidth="1"/>
    <col min="2052" max="2052" width="3" style="52" customWidth="1"/>
    <col min="2053" max="2053" width="11.140625" style="52" customWidth="1"/>
    <col min="2054" max="2054" width="1.42578125" style="52" customWidth="1"/>
    <col min="2055" max="2055" width="3.42578125" style="52" customWidth="1"/>
    <col min="2056" max="2056" width="1.42578125" style="52" customWidth="1"/>
    <col min="2057" max="2057" width="12.5703125" style="52" customWidth="1"/>
    <col min="2058" max="2058" width="3.28515625" style="52" customWidth="1"/>
    <col min="2059" max="2059" width="12.85546875" style="52" customWidth="1"/>
    <col min="2060" max="2060" width="1.42578125" style="52" customWidth="1"/>
    <col min="2061" max="2061" width="3.5703125" style="52" customWidth="1"/>
    <col min="2062" max="2062" width="1.7109375" style="52" customWidth="1"/>
    <col min="2063" max="2063" width="14" style="52" customWidth="1"/>
    <col min="2064" max="2064" width="2.140625" style="52" customWidth="1"/>
    <col min="2065" max="2303" width="9.140625" style="52"/>
    <col min="2304" max="2304" width="2.85546875" style="52" customWidth="1"/>
    <col min="2305" max="2305" width="6.42578125" style="52" customWidth="1"/>
    <col min="2306" max="2306" width="3.85546875" style="52" customWidth="1"/>
    <col min="2307" max="2307" width="16.5703125" style="52" customWidth="1"/>
    <col min="2308" max="2308" width="3" style="52" customWidth="1"/>
    <col min="2309" max="2309" width="11.140625" style="52" customWidth="1"/>
    <col min="2310" max="2310" width="1.42578125" style="52" customWidth="1"/>
    <col min="2311" max="2311" width="3.42578125" style="52" customWidth="1"/>
    <col min="2312" max="2312" width="1.42578125" style="52" customWidth="1"/>
    <col min="2313" max="2313" width="12.5703125" style="52" customWidth="1"/>
    <col min="2314" max="2314" width="3.28515625" style="52" customWidth="1"/>
    <col min="2315" max="2315" width="12.85546875" style="52" customWidth="1"/>
    <col min="2316" max="2316" width="1.42578125" style="52" customWidth="1"/>
    <col min="2317" max="2317" width="3.5703125" style="52" customWidth="1"/>
    <col min="2318" max="2318" width="1.7109375" style="52" customWidth="1"/>
    <col min="2319" max="2319" width="14" style="52" customWidth="1"/>
    <col min="2320" max="2320" width="2.140625" style="52" customWidth="1"/>
    <col min="2321" max="2559" width="9.140625" style="52"/>
    <col min="2560" max="2560" width="2.85546875" style="52" customWidth="1"/>
    <col min="2561" max="2561" width="6.42578125" style="52" customWidth="1"/>
    <col min="2562" max="2562" width="3.85546875" style="52" customWidth="1"/>
    <col min="2563" max="2563" width="16.5703125" style="52" customWidth="1"/>
    <col min="2564" max="2564" width="3" style="52" customWidth="1"/>
    <col min="2565" max="2565" width="11.140625" style="52" customWidth="1"/>
    <col min="2566" max="2566" width="1.42578125" style="52" customWidth="1"/>
    <col min="2567" max="2567" width="3.42578125" style="52" customWidth="1"/>
    <col min="2568" max="2568" width="1.42578125" style="52" customWidth="1"/>
    <col min="2569" max="2569" width="12.5703125" style="52" customWidth="1"/>
    <col min="2570" max="2570" width="3.28515625" style="52" customWidth="1"/>
    <col min="2571" max="2571" width="12.85546875" style="52" customWidth="1"/>
    <col min="2572" max="2572" width="1.42578125" style="52" customWidth="1"/>
    <col min="2573" max="2573" width="3.5703125" style="52" customWidth="1"/>
    <col min="2574" max="2574" width="1.7109375" style="52" customWidth="1"/>
    <col min="2575" max="2575" width="14" style="52" customWidth="1"/>
    <col min="2576" max="2576" width="2.140625" style="52" customWidth="1"/>
    <col min="2577" max="2815" width="9.140625" style="52"/>
    <col min="2816" max="2816" width="2.85546875" style="52" customWidth="1"/>
    <col min="2817" max="2817" width="6.42578125" style="52" customWidth="1"/>
    <col min="2818" max="2818" width="3.85546875" style="52" customWidth="1"/>
    <col min="2819" max="2819" width="16.5703125" style="52" customWidth="1"/>
    <col min="2820" max="2820" width="3" style="52" customWidth="1"/>
    <col min="2821" max="2821" width="11.140625" style="52" customWidth="1"/>
    <col min="2822" max="2822" width="1.42578125" style="52" customWidth="1"/>
    <col min="2823" max="2823" width="3.42578125" style="52" customWidth="1"/>
    <col min="2824" max="2824" width="1.42578125" style="52" customWidth="1"/>
    <col min="2825" max="2825" width="12.5703125" style="52" customWidth="1"/>
    <col min="2826" max="2826" width="3.28515625" style="52" customWidth="1"/>
    <col min="2827" max="2827" width="12.85546875" style="52" customWidth="1"/>
    <col min="2828" max="2828" width="1.42578125" style="52" customWidth="1"/>
    <col min="2829" max="2829" width="3.5703125" style="52" customWidth="1"/>
    <col min="2830" max="2830" width="1.7109375" style="52" customWidth="1"/>
    <col min="2831" max="2831" width="14" style="52" customWidth="1"/>
    <col min="2832" max="2832" width="2.140625" style="52" customWidth="1"/>
    <col min="2833" max="3071" width="9.140625" style="52"/>
    <col min="3072" max="3072" width="2.85546875" style="52" customWidth="1"/>
    <col min="3073" max="3073" width="6.42578125" style="52" customWidth="1"/>
    <col min="3074" max="3074" width="3.85546875" style="52" customWidth="1"/>
    <col min="3075" max="3075" width="16.5703125" style="52" customWidth="1"/>
    <col min="3076" max="3076" width="3" style="52" customWidth="1"/>
    <col min="3077" max="3077" width="11.140625" style="52" customWidth="1"/>
    <col min="3078" max="3078" width="1.42578125" style="52" customWidth="1"/>
    <col min="3079" max="3079" width="3.42578125" style="52" customWidth="1"/>
    <col min="3080" max="3080" width="1.42578125" style="52" customWidth="1"/>
    <col min="3081" max="3081" width="12.5703125" style="52" customWidth="1"/>
    <col min="3082" max="3082" width="3.28515625" style="52" customWidth="1"/>
    <col min="3083" max="3083" width="12.85546875" style="52" customWidth="1"/>
    <col min="3084" max="3084" width="1.42578125" style="52" customWidth="1"/>
    <col min="3085" max="3085" width="3.5703125" style="52" customWidth="1"/>
    <col min="3086" max="3086" width="1.7109375" style="52" customWidth="1"/>
    <col min="3087" max="3087" width="14" style="52" customWidth="1"/>
    <col min="3088" max="3088" width="2.140625" style="52" customWidth="1"/>
    <col min="3089" max="3327" width="9.140625" style="52"/>
    <col min="3328" max="3328" width="2.85546875" style="52" customWidth="1"/>
    <col min="3329" max="3329" width="6.42578125" style="52" customWidth="1"/>
    <col min="3330" max="3330" width="3.85546875" style="52" customWidth="1"/>
    <col min="3331" max="3331" width="16.5703125" style="52" customWidth="1"/>
    <col min="3332" max="3332" width="3" style="52" customWidth="1"/>
    <col min="3333" max="3333" width="11.140625" style="52" customWidth="1"/>
    <col min="3334" max="3334" width="1.42578125" style="52" customWidth="1"/>
    <col min="3335" max="3335" width="3.42578125" style="52" customWidth="1"/>
    <col min="3336" max="3336" width="1.42578125" style="52" customWidth="1"/>
    <col min="3337" max="3337" width="12.5703125" style="52" customWidth="1"/>
    <col min="3338" max="3338" width="3.28515625" style="52" customWidth="1"/>
    <col min="3339" max="3339" width="12.85546875" style="52" customWidth="1"/>
    <col min="3340" max="3340" width="1.42578125" style="52" customWidth="1"/>
    <col min="3341" max="3341" width="3.5703125" style="52" customWidth="1"/>
    <col min="3342" max="3342" width="1.7109375" style="52" customWidth="1"/>
    <col min="3343" max="3343" width="14" style="52" customWidth="1"/>
    <col min="3344" max="3344" width="2.140625" style="52" customWidth="1"/>
    <col min="3345" max="3583" width="9.140625" style="52"/>
    <col min="3584" max="3584" width="2.85546875" style="52" customWidth="1"/>
    <col min="3585" max="3585" width="6.42578125" style="52" customWidth="1"/>
    <col min="3586" max="3586" width="3.85546875" style="52" customWidth="1"/>
    <col min="3587" max="3587" width="16.5703125" style="52" customWidth="1"/>
    <col min="3588" max="3588" width="3" style="52" customWidth="1"/>
    <col min="3589" max="3589" width="11.140625" style="52" customWidth="1"/>
    <col min="3590" max="3590" width="1.42578125" style="52" customWidth="1"/>
    <col min="3591" max="3591" width="3.42578125" style="52" customWidth="1"/>
    <col min="3592" max="3592" width="1.42578125" style="52" customWidth="1"/>
    <col min="3593" max="3593" width="12.5703125" style="52" customWidth="1"/>
    <col min="3594" max="3594" width="3.28515625" style="52" customWidth="1"/>
    <col min="3595" max="3595" width="12.85546875" style="52" customWidth="1"/>
    <col min="3596" max="3596" width="1.42578125" style="52" customWidth="1"/>
    <col min="3597" max="3597" width="3.5703125" style="52" customWidth="1"/>
    <col min="3598" max="3598" width="1.7109375" style="52" customWidth="1"/>
    <col min="3599" max="3599" width="14" style="52" customWidth="1"/>
    <col min="3600" max="3600" width="2.140625" style="52" customWidth="1"/>
    <col min="3601" max="3839" width="9.140625" style="52"/>
    <col min="3840" max="3840" width="2.85546875" style="52" customWidth="1"/>
    <col min="3841" max="3841" width="6.42578125" style="52" customWidth="1"/>
    <col min="3842" max="3842" width="3.85546875" style="52" customWidth="1"/>
    <col min="3843" max="3843" width="16.5703125" style="52" customWidth="1"/>
    <col min="3844" max="3844" width="3" style="52" customWidth="1"/>
    <col min="3845" max="3845" width="11.140625" style="52" customWidth="1"/>
    <col min="3846" max="3846" width="1.42578125" style="52" customWidth="1"/>
    <col min="3847" max="3847" width="3.42578125" style="52" customWidth="1"/>
    <col min="3848" max="3848" width="1.42578125" style="52" customWidth="1"/>
    <col min="3849" max="3849" width="12.5703125" style="52" customWidth="1"/>
    <col min="3850" max="3850" width="3.28515625" style="52" customWidth="1"/>
    <col min="3851" max="3851" width="12.85546875" style="52" customWidth="1"/>
    <col min="3852" max="3852" width="1.42578125" style="52" customWidth="1"/>
    <col min="3853" max="3853" width="3.5703125" style="52" customWidth="1"/>
    <col min="3854" max="3854" width="1.7109375" style="52" customWidth="1"/>
    <col min="3855" max="3855" width="14" style="52" customWidth="1"/>
    <col min="3856" max="3856" width="2.140625" style="52" customWidth="1"/>
    <col min="3857" max="4095" width="9.140625" style="52"/>
    <col min="4096" max="4096" width="2.85546875" style="52" customWidth="1"/>
    <col min="4097" max="4097" width="6.42578125" style="52" customWidth="1"/>
    <col min="4098" max="4098" width="3.85546875" style="52" customWidth="1"/>
    <col min="4099" max="4099" width="16.5703125" style="52" customWidth="1"/>
    <col min="4100" max="4100" width="3" style="52" customWidth="1"/>
    <col min="4101" max="4101" width="11.140625" style="52" customWidth="1"/>
    <col min="4102" max="4102" width="1.42578125" style="52" customWidth="1"/>
    <col min="4103" max="4103" width="3.42578125" style="52" customWidth="1"/>
    <col min="4104" max="4104" width="1.42578125" style="52" customWidth="1"/>
    <col min="4105" max="4105" width="12.5703125" style="52" customWidth="1"/>
    <col min="4106" max="4106" width="3.28515625" style="52" customWidth="1"/>
    <col min="4107" max="4107" width="12.85546875" style="52" customWidth="1"/>
    <col min="4108" max="4108" width="1.42578125" style="52" customWidth="1"/>
    <col min="4109" max="4109" width="3.5703125" style="52" customWidth="1"/>
    <col min="4110" max="4110" width="1.7109375" style="52" customWidth="1"/>
    <col min="4111" max="4111" width="14" style="52" customWidth="1"/>
    <col min="4112" max="4112" width="2.140625" style="52" customWidth="1"/>
    <col min="4113" max="4351" width="9.140625" style="52"/>
    <col min="4352" max="4352" width="2.85546875" style="52" customWidth="1"/>
    <col min="4353" max="4353" width="6.42578125" style="52" customWidth="1"/>
    <col min="4354" max="4354" width="3.85546875" style="52" customWidth="1"/>
    <col min="4355" max="4355" width="16.5703125" style="52" customWidth="1"/>
    <col min="4356" max="4356" width="3" style="52" customWidth="1"/>
    <col min="4357" max="4357" width="11.140625" style="52" customWidth="1"/>
    <col min="4358" max="4358" width="1.42578125" style="52" customWidth="1"/>
    <col min="4359" max="4359" width="3.42578125" style="52" customWidth="1"/>
    <col min="4360" max="4360" width="1.42578125" style="52" customWidth="1"/>
    <col min="4361" max="4361" width="12.5703125" style="52" customWidth="1"/>
    <col min="4362" max="4362" width="3.28515625" style="52" customWidth="1"/>
    <col min="4363" max="4363" width="12.85546875" style="52" customWidth="1"/>
    <col min="4364" max="4364" width="1.42578125" style="52" customWidth="1"/>
    <col min="4365" max="4365" width="3.5703125" style="52" customWidth="1"/>
    <col min="4366" max="4366" width="1.7109375" style="52" customWidth="1"/>
    <col min="4367" max="4367" width="14" style="52" customWidth="1"/>
    <col min="4368" max="4368" width="2.140625" style="52" customWidth="1"/>
    <col min="4369" max="4607" width="9.140625" style="52"/>
    <col min="4608" max="4608" width="2.85546875" style="52" customWidth="1"/>
    <col min="4609" max="4609" width="6.42578125" style="52" customWidth="1"/>
    <col min="4610" max="4610" width="3.85546875" style="52" customWidth="1"/>
    <col min="4611" max="4611" width="16.5703125" style="52" customWidth="1"/>
    <col min="4612" max="4612" width="3" style="52" customWidth="1"/>
    <col min="4613" max="4613" width="11.140625" style="52" customWidth="1"/>
    <col min="4614" max="4614" width="1.42578125" style="52" customWidth="1"/>
    <col min="4615" max="4615" width="3.42578125" style="52" customWidth="1"/>
    <col min="4616" max="4616" width="1.42578125" style="52" customWidth="1"/>
    <col min="4617" max="4617" width="12.5703125" style="52" customWidth="1"/>
    <col min="4618" max="4618" width="3.28515625" style="52" customWidth="1"/>
    <col min="4619" max="4619" width="12.85546875" style="52" customWidth="1"/>
    <col min="4620" max="4620" width="1.42578125" style="52" customWidth="1"/>
    <col min="4621" max="4621" width="3.5703125" style="52" customWidth="1"/>
    <col min="4622" max="4622" width="1.7109375" style="52" customWidth="1"/>
    <col min="4623" max="4623" width="14" style="52" customWidth="1"/>
    <col min="4624" max="4624" width="2.140625" style="52" customWidth="1"/>
    <col min="4625" max="4863" width="9.140625" style="52"/>
    <col min="4864" max="4864" width="2.85546875" style="52" customWidth="1"/>
    <col min="4865" max="4865" width="6.42578125" style="52" customWidth="1"/>
    <col min="4866" max="4866" width="3.85546875" style="52" customWidth="1"/>
    <col min="4867" max="4867" width="16.5703125" style="52" customWidth="1"/>
    <col min="4868" max="4868" width="3" style="52" customWidth="1"/>
    <col min="4869" max="4869" width="11.140625" style="52" customWidth="1"/>
    <col min="4870" max="4870" width="1.42578125" style="52" customWidth="1"/>
    <col min="4871" max="4871" width="3.42578125" style="52" customWidth="1"/>
    <col min="4872" max="4872" width="1.42578125" style="52" customWidth="1"/>
    <col min="4873" max="4873" width="12.5703125" style="52" customWidth="1"/>
    <col min="4874" max="4874" width="3.28515625" style="52" customWidth="1"/>
    <col min="4875" max="4875" width="12.85546875" style="52" customWidth="1"/>
    <col min="4876" max="4876" width="1.42578125" style="52" customWidth="1"/>
    <col min="4877" max="4877" width="3.5703125" style="52" customWidth="1"/>
    <col min="4878" max="4878" width="1.7109375" style="52" customWidth="1"/>
    <col min="4879" max="4879" width="14" style="52" customWidth="1"/>
    <col min="4880" max="4880" width="2.140625" style="52" customWidth="1"/>
    <col min="4881" max="5119" width="9.140625" style="52"/>
    <col min="5120" max="5120" width="2.85546875" style="52" customWidth="1"/>
    <col min="5121" max="5121" width="6.42578125" style="52" customWidth="1"/>
    <col min="5122" max="5122" width="3.85546875" style="52" customWidth="1"/>
    <col min="5123" max="5123" width="16.5703125" style="52" customWidth="1"/>
    <col min="5124" max="5124" width="3" style="52" customWidth="1"/>
    <col min="5125" max="5125" width="11.140625" style="52" customWidth="1"/>
    <col min="5126" max="5126" width="1.42578125" style="52" customWidth="1"/>
    <col min="5127" max="5127" width="3.42578125" style="52" customWidth="1"/>
    <col min="5128" max="5128" width="1.42578125" style="52" customWidth="1"/>
    <col min="5129" max="5129" width="12.5703125" style="52" customWidth="1"/>
    <col min="5130" max="5130" width="3.28515625" style="52" customWidth="1"/>
    <col min="5131" max="5131" width="12.85546875" style="52" customWidth="1"/>
    <col min="5132" max="5132" width="1.42578125" style="52" customWidth="1"/>
    <col min="5133" max="5133" width="3.5703125" style="52" customWidth="1"/>
    <col min="5134" max="5134" width="1.7109375" style="52" customWidth="1"/>
    <col min="5135" max="5135" width="14" style="52" customWidth="1"/>
    <col min="5136" max="5136" width="2.140625" style="52" customWidth="1"/>
    <col min="5137" max="5375" width="9.140625" style="52"/>
    <col min="5376" max="5376" width="2.85546875" style="52" customWidth="1"/>
    <col min="5377" max="5377" width="6.42578125" style="52" customWidth="1"/>
    <col min="5378" max="5378" width="3.85546875" style="52" customWidth="1"/>
    <col min="5379" max="5379" width="16.5703125" style="52" customWidth="1"/>
    <col min="5380" max="5380" width="3" style="52" customWidth="1"/>
    <col min="5381" max="5381" width="11.140625" style="52" customWidth="1"/>
    <col min="5382" max="5382" width="1.42578125" style="52" customWidth="1"/>
    <col min="5383" max="5383" width="3.42578125" style="52" customWidth="1"/>
    <col min="5384" max="5384" width="1.42578125" style="52" customWidth="1"/>
    <col min="5385" max="5385" width="12.5703125" style="52" customWidth="1"/>
    <col min="5386" max="5386" width="3.28515625" style="52" customWidth="1"/>
    <col min="5387" max="5387" width="12.85546875" style="52" customWidth="1"/>
    <col min="5388" max="5388" width="1.42578125" style="52" customWidth="1"/>
    <col min="5389" max="5389" width="3.5703125" style="52" customWidth="1"/>
    <col min="5390" max="5390" width="1.7109375" style="52" customWidth="1"/>
    <col min="5391" max="5391" width="14" style="52" customWidth="1"/>
    <col min="5392" max="5392" width="2.140625" style="52" customWidth="1"/>
    <col min="5393" max="5631" width="9.140625" style="52"/>
    <col min="5632" max="5632" width="2.85546875" style="52" customWidth="1"/>
    <col min="5633" max="5633" width="6.42578125" style="52" customWidth="1"/>
    <col min="5634" max="5634" width="3.85546875" style="52" customWidth="1"/>
    <col min="5635" max="5635" width="16.5703125" style="52" customWidth="1"/>
    <col min="5636" max="5636" width="3" style="52" customWidth="1"/>
    <col min="5637" max="5637" width="11.140625" style="52" customWidth="1"/>
    <col min="5638" max="5638" width="1.42578125" style="52" customWidth="1"/>
    <col min="5639" max="5639" width="3.42578125" style="52" customWidth="1"/>
    <col min="5640" max="5640" width="1.42578125" style="52" customWidth="1"/>
    <col min="5641" max="5641" width="12.5703125" style="52" customWidth="1"/>
    <col min="5642" max="5642" width="3.28515625" style="52" customWidth="1"/>
    <col min="5643" max="5643" width="12.85546875" style="52" customWidth="1"/>
    <col min="5644" max="5644" width="1.42578125" style="52" customWidth="1"/>
    <col min="5645" max="5645" width="3.5703125" style="52" customWidth="1"/>
    <col min="5646" max="5646" width="1.7109375" style="52" customWidth="1"/>
    <col min="5647" max="5647" width="14" style="52" customWidth="1"/>
    <col min="5648" max="5648" width="2.140625" style="52" customWidth="1"/>
    <col min="5649" max="5887" width="9.140625" style="52"/>
    <col min="5888" max="5888" width="2.85546875" style="52" customWidth="1"/>
    <col min="5889" max="5889" width="6.42578125" style="52" customWidth="1"/>
    <col min="5890" max="5890" width="3.85546875" style="52" customWidth="1"/>
    <col min="5891" max="5891" width="16.5703125" style="52" customWidth="1"/>
    <col min="5892" max="5892" width="3" style="52" customWidth="1"/>
    <col min="5893" max="5893" width="11.140625" style="52" customWidth="1"/>
    <col min="5894" max="5894" width="1.42578125" style="52" customWidth="1"/>
    <col min="5895" max="5895" width="3.42578125" style="52" customWidth="1"/>
    <col min="5896" max="5896" width="1.42578125" style="52" customWidth="1"/>
    <col min="5897" max="5897" width="12.5703125" style="52" customWidth="1"/>
    <col min="5898" max="5898" width="3.28515625" style="52" customWidth="1"/>
    <col min="5899" max="5899" width="12.85546875" style="52" customWidth="1"/>
    <col min="5900" max="5900" width="1.42578125" style="52" customWidth="1"/>
    <col min="5901" max="5901" width="3.5703125" style="52" customWidth="1"/>
    <col min="5902" max="5902" width="1.7109375" style="52" customWidth="1"/>
    <col min="5903" max="5903" width="14" style="52" customWidth="1"/>
    <col min="5904" max="5904" width="2.140625" style="52" customWidth="1"/>
    <col min="5905" max="6143" width="9.140625" style="52"/>
    <col min="6144" max="6144" width="2.85546875" style="52" customWidth="1"/>
    <col min="6145" max="6145" width="6.42578125" style="52" customWidth="1"/>
    <col min="6146" max="6146" width="3.85546875" style="52" customWidth="1"/>
    <col min="6147" max="6147" width="16.5703125" style="52" customWidth="1"/>
    <col min="6148" max="6148" width="3" style="52" customWidth="1"/>
    <col min="6149" max="6149" width="11.140625" style="52" customWidth="1"/>
    <col min="6150" max="6150" width="1.42578125" style="52" customWidth="1"/>
    <col min="6151" max="6151" width="3.42578125" style="52" customWidth="1"/>
    <col min="6152" max="6152" width="1.42578125" style="52" customWidth="1"/>
    <col min="6153" max="6153" width="12.5703125" style="52" customWidth="1"/>
    <col min="6154" max="6154" width="3.28515625" style="52" customWidth="1"/>
    <col min="6155" max="6155" width="12.85546875" style="52" customWidth="1"/>
    <col min="6156" max="6156" width="1.42578125" style="52" customWidth="1"/>
    <col min="6157" max="6157" width="3.5703125" style="52" customWidth="1"/>
    <col min="6158" max="6158" width="1.7109375" style="52" customWidth="1"/>
    <col min="6159" max="6159" width="14" style="52" customWidth="1"/>
    <col min="6160" max="6160" width="2.140625" style="52" customWidth="1"/>
    <col min="6161" max="6399" width="9.140625" style="52"/>
    <col min="6400" max="6400" width="2.85546875" style="52" customWidth="1"/>
    <col min="6401" max="6401" width="6.42578125" style="52" customWidth="1"/>
    <col min="6402" max="6402" width="3.85546875" style="52" customWidth="1"/>
    <col min="6403" max="6403" width="16.5703125" style="52" customWidth="1"/>
    <col min="6404" max="6404" width="3" style="52" customWidth="1"/>
    <col min="6405" max="6405" width="11.140625" style="52" customWidth="1"/>
    <col min="6406" max="6406" width="1.42578125" style="52" customWidth="1"/>
    <col min="6407" max="6407" width="3.42578125" style="52" customWidth="1"/>
    <col min="6408" max="6408" width="1.42578125" style="52" customWidth="1"/>
    <col min="6409" max="6409" width="12.5703125" style="52" customWidth="1"/>
    <col min="6410" max="6410" width="3.28515625" style="52" customWidth="1"/>
    <col min="6411" max="6411" width="12.85546875" style="52" customWidth="1"/>
    <col min="6412" max="6412" width="1.42578125" style="52" customWidth="1"/>
    <col min="6413" max="6413" width="3.5703125" style="52" customWidth="1"/>
    <col min="6414" max="6414" width="1.7109375" style="52" customWidth="1"/>
    <col min="6415" max="6415" width="14" style="52" customWidth="1"/>
    <col min="6416" max="6416" width="2.140625" style="52" customWidth="1"/>
    <col min="6417" max="6655" width="9.140625" style="52"/>
    <col min="6656" max="6656" width="2.85546875" style="52" customWidth="1"/>
    <col min="6657" max="6657" width="6.42578125" style="52" customWidth="1"/>
    <col min="6658" max="6658" width="3.85546875" style="52" customWidth="1"/>
    <col min="6659" max="6659" width="16.5703125" style="52" customWidth="1"/>
    <col min="6660" max="6660" width="3" style="52" customWidth="1"/>
    <col min="6661" max="6661" width="11.140625" style="52" customWidth="1"/>
    <col min="6662" max="6662" width="1.42578125" style="52" customWidth="1"/>
    <col min="6663" max="6663" width="3.42578125" style="52" customWidth="1"/>
    <col min="6664" max="6664" width="1.42578125" style="52" customWidth="1"/>
    <col min="6665" max="6665" width="12.5703125" style="52" customWidth="1"/>
    <col min="6666" max="6666" width="3.28515625" style="52" customWidth="1"/>
    <col min="6667" max="6667" width="12.85546875" style="52" customWidth="1"/>
    <col min="6668" max="6668" width="1.42578125" style="52" customWidth="1"/>
    <col min="6669" max="6669" width="3.5703125" style="52" customWidth="1"/>
    <col min="6670" max="6670" width="1.7109375" style="52" customWidth="1"/>
    <col min="6671" max="6671" width="14" style="52" customWidth="1"/>
    <col min="6672" max="6672" width="2.140625" style="52" customWidth="1"/>
    <col min="6673" max="6911" width="9.140625" style="52"/>
    <col min="6912" max="6912" width="2.85546875" style="52" customWidth="1"/>
    <col min="6913" max="6913" width="6.42578125" style="52" customWidth="1"/>
    <col min="6914" max="6914" width="3.85546875" style="52" customWidth="1"/>
    <col min="6915" max="6915" width="16.5703125" style="52" customWidth="1"/>
    <col min="6916" max="6916" width="3" style="52" customWidth="1"/>
    <col min="6917" max="6917" width="11.140625" style="52" customWidth="1"/>
    <col min="6918" max="6918" width="1.42578125" style="52" customWidth="1"/>
    <col min="6919" max="6919" width="3.42578125" style="52" customWidth="1"/>
    <col min="6920" max="6920" width="1.42578125" style="52" customWidth="1"/>
    <col min="6921" max="6921" width="12.5703125" style="52" customWidth="1"/>
    <col min="6922" max="6922" width="3.28515625" style="52" customWidth="1"/>
    <col min="6923" max="6923" width="12.85546875" style="52" customWidth="1"/>
    <col min="6924" max="6924" width="1.42578125" style="52" customWidth="1"/>
    <col min="6925" max="6925" width="3.5703125" style="52" customWidth="1"/>
    <col min="6926" max="6926" width="1.7109375" style="52" customWidth="1"/>
    <col min="6927" max="6927" width="14" style="52" customWidth="1"/>
    <col min="6928" max="6928" width="2.140625" style="52" customWidth="1"/>
    <col min="6929" max="7167" width="9.140625" style="52"/>
    <col min="7168" max="7168" width="2.85546875" style="52" customWidth="1"/>
    <col min="7169" max="7169" width="6.42578125" style="52" customWidth="1"/>
    <col min="7170" max="7170" width="3.85546875" style="52" customWidth="1"/>
    <col min="7171" max="7171" width="16.5703125" style="52" customWidth="1"/>
    <col min="7172" max="7172" width="3" style="52" customWidth="1"/>
    <col min="7173" max="7173" width="11.140625" style="52" customWidth="1"/>
    <col min="7174" max="7174" width="1.42578125" style="52" customWidth="1"/>
    <col min="7175" max="7175" width="3.42578125" style="52" customWidth="1"/>
    <col min="7176" max="7176" width="1.42578125" style="52" customWidth="1"/>
    <col min="7177" max="7177" width="12.5703125" style="52" customWidth="1"/>
    <col min="7178" max="7178" width="3.28515625" style="52" customWidth="1"/>
    <col min="7179" max="7179" width="12.85546875" style="52" customWidth="1"/>
    <col min="7180" max="7180" width="1.42578125" style="52" customWidth="1"/>
    <col min="7181" max="7181" width="3.5703125" style="52" customWidth="1"/>
    <col min="7182" max="7182" width="1.7109375" style="52" customWidth="1"/>
    <col min="7183" max="7183" width="14" style="52" customWidth="1"/>
    <col min="7184" max="7184" width="2.140625" style="52" customWidth="1"/>
    <col min="7185" max="7423" width="9.140625" style="52"/>
    <col min="7424" max="7424" width="2.85546875" style="52" customWidth="1"/>
    <col min="7425" max="7425" width="6.42578125" style="52" customWidth="1"/>
    <col min="7426" max="7426" width="3.85546875" style="52" customWidth="1"/>
    <col min="7427" max="7427" width="16.5703125" style="52" customWidth="1"/>
    <col min="7428" max="7428" width="3" style="52" customWidth="1"/>
    <col min="7429" max="7429" width="11.140625" style="52" customWidth="1"/>
    <col min="7430" max="7430" width="1.42578125" style="52" customWidth="1"/>
    <col min="7431" max="7431" width="3.42578125" style="52" customWidth="1"/>
    <col min="7432" max="7432" width="1.42578125" style="52" customWidth="1"/>
    <col min="7433" max="7433" width="12.5703125" style="52" customWidth="1"/>
    <col min="7434" max="7434" width="3.28515625" style="52" customWidth="1"/>
    <col min="7435" max="7435" width="12.85546875" style="52" customWidth="1"/>
    <col min="7436" max="7436" width="1.42578125" style="52" customWidth="1"/>
    <col min="7437" max="7437" width="3.5703125" style="52" customWidth="1"/>
    <col min="7438" max="7438" width="1.7109375" style="52" customWidth="1"/>
    <col min="7439" max="7439" width="14" style="52" customWidth="1"/>
    <col min="7440" max="7440" width="2.140625" style="52" customWidth="1"/>
    <col min="7441" max="7679" width="9.140625" style="52"/>
    <col min="7680" max="7680" width="2.85546875" style="52" customWidth="1"/>
    <col min="7681" max="7681" width="6.42578125" style="52" customWidth="1"/>
    <col min="7682" max="7682" width="3.85546875" style="52" customWidth="1"/>
    <col min="7683" max="7683" width="16.5703125" style="52" customWidth="1"/>
    <col min="7684" max="7684" width="3" style="52" customWidth="1"/>
    <col min="7685" max="7685" width="11.140625" style="52" customWidth="1"/>
    <col min="7686" max="7686" width="1.42578125" style="52" customWidth="1"/>
    <col min="7687" max="7687" width="3.42578125" style="52" customWidth="1"/>
    <col min="7688" max="7688" width="1.42578125" style="52" customWidth="1"/>
    <col min="7689" max="7689" width="12.5703125" style="52" customWidth="1"/>
    <col min="7690" max="7690" width="3.28515625" style="52" customWidth="1"/>
    <col min="7691" max="7691" width="12.85546875" style="52" customWidth="1"/>
    <col min="7692" max="7692" width="1.42578125" style="52" customWidth="1"/>
    <col min="7693" max="7693" width="3.5703125" style="52" customWidth="1"/>
    <col min="7694" max="7694" width="1.7109375" style="52" customWidth="1"/>
    <col min="7695" max="7695" width="14" style="52" customWidth="1"/>
    <col min="7696" max="7696" width="2.140625" style="52" customWidth="1"/>
    <col min="7697" max="7935" width="9.140625" style="52"/>
    <col min="7936" max="7936" width="2.85546875" style="52" customWidth="1"/>
    <col min="7937" max="7937" width="6.42578125" style="52" customWidth="1"/>
    <col min="7938" max="7938" width="3.85546875" style="52" customWidth="1"/>
    <col min="7939" max="7939" width="16.5703125" style="52" customWidth="1"/>
    <col min="7940" max="7940" width="3" style="52" customWidth="1"/>
    <col min="7941" max="7941" width="11.140625" style="52" customWidth="1"/>
    <col min="7942" max="7942" width="1.42578125" style="52" customWidth="1"/>
    <col min="7943" max="7943" width="3.42578125" style="52" customWidth="1"/>
    <col min="7944" max="7944" width="1.42578125" style="52" customWidth="1"/>
    <col min="7945" max="7945" width="12.5703125" style="52" customWidth="1"/>
    <col min="7946" max="7946" width="3.28515625" style="52" customWidth="1"/>
    <col min="7947" max="7947" width="12.85546875" style="52" customWidth="1"/>
    <col min="7948" max="7948" width="1.42578125" style="52" customWidth="1"/>
    <col min="7949" max="7949" width="3.5703125" style="52" customWidth="1"/>
    <col min="7950" max="7950" width="1.7109375" style="52" customWidth="1"/>
    <col min="7951" max="7951" width="14" style="52" customWidth="1"/>
    <col min="7952" max="7952" width="2.140625" style="52" customWidth="1"/>
    <col min="7953" max="8191" width="9.140625" style="52"/>
    <col min="8192" max="8192" width="2.85546875" style="52" customWidth="1"/>
    <col min="8193" max="8193" width="6.42578125" style="52" customWidth="1"/>
    <col min="8194" max="8194" width="3.85546875" style="52" customWidth="1"/>
    <col min="8195" max="8195" width="16.5703125" style="52" customWidth="1"/>
    <col min="8196" max="8196" width="3" style="52" customWidth="1"/>
    <col min="8197" max="8197" width="11.140625" style="52" customWidth="1"/>
    <col min="8198" max="8198" width="1.42578125" style="52" customWidth="1"/>
    <col min="8199" max="8199" width="3.42578125" style="52" customWidth="1"/>
    <col min="8200" max="8200" width="1.42578125" style="52" customWidth="1"/>
    <col min="8201" max="8201" width="12.5703125" style="52" customWidth="1"/>
    <col min="8202" max="8202" width="3.28515625" style="52" customWidth="1"/>
    <col min="8203" max="8203" width="12.85546875" style="52" customWidth="1"/>
    <col min="8204" max="8204" width="1.42578125" style="52" customWidth="1"/>
    <col min="8205" max="8205" width="3.5703125" style="52" customWidth="1"/>
    <col min="8206" max="8206" width="1.7109375" style="52" customWidth="1"/>
    <col min="8207" max="8207" width="14" style="52" customWidth="1"/>
    <col min="8208" max="8208" width="2.140625" style="52" customWidth="1"/>
    <col min="8209" max="8447" width="9.140625" style="52"/>
    <col min="8448" max="8448" width="2.85546875" style="52" customWidth="1"/>
    <col min="8449" max="8449" width="6.42578125" style="52" customWidth="1"/>
    <col min="8450" max="8450" width="3.85546875" style="52" customWidth="1"/>
    <col min="8451" max="8451" width="16.5703125" style="52" customWidth="1"/>
    <col min="8452" max="8452" width="3" style="52" customWidth="1"/>
    <col min="8453" max="8453" width="11.140625" style="52" customWidth="1"/>
    <col min="8454" max="8454" width="1.42578125" style="52" customWidth="1"/>
    <col min="8455" max="8455" width="3.42578125" style="52" customWidth="1"/>
    <col min="8456" max="8456" width="1.42578125" style="52" customWidth="1"/>
    <col min="8457" max="8457" width="12.5703125" style="52" customWidth="1"/>
    <col min="8458" max="8458" width="3.28515625" style="52" customWidth="1"/>
    <col min="8459" max="8459" width="12.85546875" style="52" customWidth="1"/>
    <col min="8460" max="8460" width="1.42578125" style="52" customWidth="1"/>
    <col min="8461" max="8461" width="3.5703125" style="52" customWidth="1"/>
    <col min="8462" max="8462" width="1.7109375" style="52" customWidth="1"/>
    <col min="8463" max="8463" width="14" style="52" customWidth="1"/>
    <col min="8464" max="8464" width="2.140625" style="52" customWidth="1"/>
    <col min="8465" max="8703" width="9.140625" style="52"/>
    <col min="8704" max="8704" width="2.85546875" style="52" customWidth="1"/>
    <col min="8705" max="8705" width="6.42578125" style="52" customWidth="1"/>
    <col min="8706" max="8706" width="3.85546875" style="52" customWidth="1"/>
    <col min="8707" max="8707" width="16.5703125" style="52" customWidth="1"/>
    <col min="8708" max="8708" width="3" style="52" customWidth="1"/>
    <col min="8709" max="8709" width="11.140625" style="52" customWidth="1"/>
    <col min="8710" max="8710" width="1.42578125" style="52" customWidth="1"/>
    <col min="8711" max="8711" width="3.42578125" style="52" customWidth="1"/>
    <col min="8712" max="8712" width="1.42578125" style="52" customWidth="1"/>
    <col min="8713" max="8713" width="12.5703125" style="52" customWidth="1"/>
    <col min="8714" max="8714" width="3.28515625" style="52" customWidth="1"/>
    <col min="8715" max="8715" width="12.85546875" style="52" customWidth="1"/>
    <col min="8716" max="8716" width="1.42578125" style="52" customWidth="1"/>
    <col min="8717" max="8717" width="3.5703125" style="52" customWidth="1"/>
    <col min="8718" max="8718" width="1.7109375" style="52" customWidth="1"/>
    <col min="8719" max="8719" width="14" style="52" customWidth="1"/>
    <col min="8720" max="8720" width="2.140625" style="52" customWidth="1"/>
    <col min="8721" max="8959" width="9.140625" style="52"/>
    <col min="8960" max="8960" width="2.85546875" style="52" customWidth="1"/>
    <col min="8961" max="8961" width="6.42578125" style="52" customWidth="1"/>
    <col min="8962" max="8962" width="3.85546875" style="52" customWidth="1"/>
    <col min="8963" max="8963" width="16.5703125" style="52" customWidth="1"/>
    <col min="8964" max="8964" width="3" style="52" customWidth="1"/>
    <col min="8965" max="8965" width="11.140625" style="52" customWidth="1"/>
    <col min="8966" max="8966" width="1.42578125" style="52" customWidth="1"/>
    <col min="8967" max="8967" width="3.42578125" style="52" customWidth="1"/>
    <col min="8968" max="8968" width="1.42578125" style="52" customWidth="1"/>
    <col min="8969" max="8969" width="12.5703125" style="52" customWidth="1"/>
    <col min="8970" max="8970" width="3.28515625" style="52" customWidth="1"/>
    <col min="8971" max="8971" width="12.85546875" style="52" customWidth="1"/>
    <col min="8972" max="8972" width="1.42578125" style="52" customWidth="1"/>
    <col min="8973" max="8973" width="3.5703125" style="52" customWidth="1"/>
    <col min="8974" max="8974" width="1.7109375" style="52" customWidth="1"/>
    <col min="8975" max="8975" width="14" style="52" customWidth="1"/>
    <col min="8976" max="8976" width="2.140625" style="52" customWidth="1"/>
    <col min="8977" max="9215" width="9.140625" style="52"/>
    <col min="9216" max="9216" width="2.85546875" style="52" customWidth="1"/>
    <col min="9217" max="9217" width="6.42578125" style="52" customWidth="1"/>
    <col min="9218" max="9218" width="3.85546875" style="52" customWidth="1"/>
    <col min="9219" max="9219" width="16.5703125" style="52" customWidth="1"/>
    <col min="9220" max="9220" width="3" style="52" customWidth="1"/>
    <col min="9221" max="9221" width="11.140625" style="52" customWidth="1"/>
    <col min="9222" max="9222" width="1.42578125" style="52" customWidth="1"/>
    <col min="9223" max="9223" width="3.42578125" style="52" customWidth="1"/>
    <col min="9224" max="9224" width="1.42578125" style="52" customWidth="1"/>
    <col min="9225" max="9225" width="12.5703125" style="52" customWidth="1"/>
    <col min="9226" max="9226" width="3.28515625" style="52" customWidth="1"/>
    <col min="9227" max="9227" width="12.85546875" style="52" customWidth="1"/>
    <col min="9228" max="9228" width="1.42578125" style="52" customWidth="1"/>
    <col min="9229" max="9229" width="3.5703125" style="52" customWidth="1"/>
    <col min="9230" max="9230" width="1.7109375" style="52" customWidth="1"/>
    <col min="9231" max="9231" width="14" style="52" customWidth="1"/>
    <col min="9232" max="9232" width="2.140625" style="52" customWidth="1"/>
    <col min="9233" max="9471" width="9.140625" style="52"/>
    <col min="9472" max="9472" width="2.85546875" style="52" customWidth="1"/>
    <col min="9473" max="9473" width="6.42578125" style="52" customWidth="1"/>
    <col min="9474" max="9474" width="3.85546875" style="52" customWidth="1"/>
    <col min="9475" max="9475" width="16.5703125" style="52" customWidth="1"/>
    <col min="9476" max="9476" width="3" style="52" customWidth="1"/>
    <col min="9477" max="9477" width="11.140625" style="52" customWidth="1"/>
    <col min="9478" max="9478" width="1.42578125" style="52" customWidth="1"/>
    <col min="9479" max="9479" width="3.42578125" style="52" customWidth="1"/>
    <col min="9480" max="9480" width="1.42578125" style="52" customWidth="1"/>
    <col min="9481" max="9481" width="12.5703125" style="52" customWidth="1"/>
    <col min="9482" max="9482" width="3.28515625" style="52" customWidth="1"/>
    <col min="9483" max="9483" width="12.85546875" style="52" customWidth="1"/>
    <col min="9484" max="9484" width="1.42578125" style="52" customWidth="1"/>
    <col min="9485" max="9485" width="3.5703125" style="52" customWidth="1"/>
    <col min="9486" max="9486" width="1.7109375" style="52" customWidth="1"/>
    <col min="9487" max="9487" width="14" style="52" customWidth="1"/>
    <col min="9488" max="9488" width="2.140625" style="52" customWidth="1"/>
    <col min="9489" max="9727" width="9.140625" style="52"/>
    <col min="9728" max="9728" width="2.85546875" style="52" customWidth="1"/>
    <col min="9729" max="9729" width="6.42578125" style="52" customWidth="1"/>
    <col min="9730" max="9730" width="3.85546875" style="52" customWidth="1"/>
    <col min="9731" max="9731" width="16.5703125" style="52" customWidth="1"/>
    <col min="9732" max="9732" width="3" style="52" customWidth="1"/>
    <col min="9733" max="9733" width="11.140625" style="52" customWidth="1"/>
    <col min="9734" max="9734" width="1.42578125" style="52" customWidth="1"/>
    <col min="9735" max="9735" width="3.42578125" style="52" customWidth="1"/>
    <col min="9736" max="9736" width="1.42578125" style="52" customWidth="1"/>
    <col min="9737" max="9737" width="12.5703125" style="52" customWidth="1"/>
    <col min="9738" max="9738" width="3.28515625" style="52" customWidth="1"/>
    <col min="9739" max="9739" width="12.85546875" style="52" customWidth="1"/>
    <col min="9740" max="9740" width="1.42578125" style="52" customWidth="1"/>
    <col min="9741" max="9741" width="3.5703125" style="52" customWidth="1"/>
    <col min="9742" max="9742" width="1.7109375" style="52" customWidth="1"/>
    <col min="9743" max="9743" width="14" style="52" customWidth="1"/>
    <col min="9744" max="9744" width="2.140625" style="52" customWidth="1"/>
    <col min="9745" max="9983" width="9.140625" style="52"/>
    <col min="9984" max="9984" width="2.85546875" style="52" customWidth="1"/>
    <col min="9985" max="9985" width="6.42578125" style="52" customWidth="1"/>
    <col min="9986" max="9986" width="3.85546875" style="52" customWidth="1"/>
    <col min="9987" max="9987" width="16.5703125" style="52" customWidth="1"/>
    <col min="9988" max="9988" width="3" style="52" customWidth="1"/>
    <col min="9989" max="9989" width="11.140625" style="52" customWidth="1"/>
    <col min="9990" max="9990" width="1.42578125" style="52" customWidth="1"/>
    <col min="9991" max="9991" width="3.42578125" style="52" customWidth="1"/>
    <col min="9992" max="9992" width="1.42578125" style="52" customWidth="1"/>
    <col min="9993" max="9993" width="12.5703125" style="52" customWidth="1"/>
    <col min="9994" max="9994" width="3.28515625" style="52" customWidth="1"/>
    <col min="9995" max="9995" width="12.85546875" style="52" customWidth="1"/>
    <col min="9996" max="9996" width="1.42578125" style="52" customWidth="1"/>
    <col min="9997" max="9997" width="3.5703125" style="52" customWidth="1"/>
    <col min="9998" max="9998" width="1.7109375" style="52" customWidth="1"/>
    <col min="9999" max="9999" width="14" style="52" customWidth="1"/>
    <col min="10000" max="10000" width="2.140625" style="52" customWidth="1"/>
    <col min="10001" max="10239" width="9.140625" style="52"/>
    <col min="10240" max="10240" width="2.85546875" style="52" customWidth="1"/>
    <col min="10241" max="10241" width="6.42578125" style="52" customWidth="1"/>
    <col min="10242" max="10242" width="3.85546875" style="52" customWidth="1"/>
    <col min="10243" max="10243" width="16.5703125" style="52" customWidth="1"/>
    <col min="10244" max="10244" width="3" style="52" customWidth="1"/>
    <col min="10245" max="10245" width="11.140625" style="52" customWidth="1"/>
    <col min="10246" max="10246" width="1.42578125" style="52" customWidth="1"/>
    <col min="10247" max="10247" width="3.42578125" style="52" customWidth="1"/>
    <col min="10248" max="10248" width="1.42578125" style="52" customWidth="1"/>
    <col min="10249" max="10249" width="12.5703125" style="52" customWidth="1"/>
    <col min="10250" max="10250" width="3.28515625" style="52" customWidth="1"/>
    <col min="10251" max="10251" width="12.85546875" style="52" customWidth="1"/>
    <col min="10252" max="10252" width="1.42578125" style="52" customWidth="1"/>
    <col min="10253" max="10253" width="3.5703125" style="52" customWidth="1"/>
    <col min="10254" max="10254" width="1.7109375" style="52" customWidth="1"/>
    <col min="10255" max="10255" width="14" style="52" customWidth="1"/>
    <col min="10256" max="10256" width="2.140625" style="52" customWidth="1"/>
    <col min="10257" max="10495" width="9.140625" style="52"/>
    <col min="10496" max="10496" width="2.85546875" style="52" customWidth="1"/>
    <col min="10497" max="10497" width="6.42578125" style="52" customWidth="1"/>
    <col min="10498" max="10498" width="3.85546875" style="52" customWidth="1"/>
    <col min="10499" max="10499" width="16.5703125" style="52" customWidth="1"/>
    <col min="10500" max="10500" width="3" style="52" customWidth="1"/>
    <col min="10501" max="10501" width="11.140625" style="52" customWidth="1"/>
    <col min="10502" max="10502" width="1.42578125" style="52" customWidth="1"/>
    <col min="10503" max="10503" width="3.42578125" style="52" customWidth="1"/>
    <col min="10504" max="10504" width="1.42578125" style="52" customWidth="1"/>
    <col min="10505" max="10505" width="12.5703125" style="52" customWidth="1"/>
    <col min="10506" max="10506" width="3.28515625" style="52" customWidth="1"/>
    <col min="10507" max="10507" width="12.85546875" style="52" customWidth="1"/>
    <col min="10508" max="10508" width="1.42578125" style="52" customWidth="1"/>
    <col min="10509" max="10509" width="3.5703125" style="52" customWidth="1"/>
    <col min="10510" max="10510" width="1.7109375" style="52" customWidth="1"/>
    <col min="10511" max="10511" width="14" style="52" customWidth="1"/>
    <col min="10512" max="10512" width="2.140625" style="52" customWidth="1"/>
    <col min="10513" max="10751" width="9.140625" style="52"/>
    <col min="10752" max="10752" width="2.85546875" style="52" customWidth="1"/>
    <col min="10753" max="10753" width="6.42578125" style="52" customWidth="1"/>
    <col min="10754" max="10754" width="3.85546875" style="52" customWidth="1"/>
    <col min="10755" max="10755" width="16.5703125" style="52" customWidth="1"/>
    <col min="10756" max="10756" width="3" style="52" customWidth="1"/>
    <col min="10757" max="10757" width="11.140625" style="52" customWidth="1"/>
    <col min="10758" max="10758" width="1.42578125" style="52" customWidth="1"/>
    <col min="10759" max="10759" width="3.42578125" style="52" customWidth="1"/>
    <col min="10760" max="10760" width="1.42578125" style="52" customWidth="1"/>
    <col min="10761" max="10761" width="12.5703125" style="52" customWidth="1"/>
    <col min="10762" max="10762" width="3.28515625" style="52" customWidth="1"/>
    <col min="10763" max="10763" width="12.85546875" style="52" customWidth="1"/>
    <col min="10764" max="10764" width="1.42578125" style="52" customWidth="1"/>
    <col min="10765" max="10765" width="3.5703125" style="52" customWidth="1"/>
    <col min="10766" max="10766" width="1.7109375" style="52" customWidth="1"/>
    <col min="10767" max="10767" width="14" style="52" customWidth="1"/>
    <col min="10768" max="10768" width="2.140625" style="52" customWidth="1"/>
    <col min="10769" max="11007" width="9.140625" style="52"/>
    <col min="11008" max="11008" width="2.85546875" style="52" customWidth="1"/>
    <col min="11009" max="11009" width="6.42578125" style="52" customWidth="1"/>
    <col min="11010" max="11010" width="3.85546875" style="52" customWidth="1"/>
    <col min="11011" max="11011" width="16.5703125" style="52" customWidth="1"/>
    <col min="11012" max="11012" width="3" style="52" customWidth="1"/>
    <col min="11013" max="11013" width="11.140625" style="52" customWidth="1"/>
    <col min="11014" max="11014" width="1.42578125" style="52" customWidth="1"/>
    <col min="11015" max="11015" width="3.42578125" style="52" customWidth="1"/>
    <col min="11016" max="11016" width="1.42578125" style="52" customWidth="1"/>
    <col min="11017" max="11017" width="12.5703125" style="52" customWidth="1"/>
    <col min="11018" max="11018" width="3.28515625" style="52" customWidth="1"/>
    <col min="11019" max="11019" width="12.85546875" style="52" customWidth="1"/>
    <col min="11020" max="11020" width="1.42578125" style="52" customWidth="1"/>
    <col min="11021" max="11021" width="3.5703125" style="52" customWidth="1"/>
    <col min="11022" max="11022" width="1.7109375" style="52" customWidth="1"/>
    <col min="11023" max="11023" width="14" style="52" customWidth="1"/>
    <col min="11024" max="11024" width="2.140625" style="52" customWidth="1"/>
    <col min="11025" max="11263" width="9.140625" style="52"/>
    <col min="11264" max="11264" width="2.85546875" style="52" customWidth="1"/>
    <col min="11265" max="11265" width="6.42578125" style="52" customWidth="1"/>
    <col min="11266" max="11266" width="3.85546875" style="52" customWidth="1"/>
    <col min="11267" max="11267" width="16.5703125" style="52" customWidth="1"/>
    <col min="11268" max="11268" width="3" style="52" customWidth="1"/>
    <col min="11269" max="11269" width="11.140625" style="52" customWidth="1"/>
    <col min="11270" max="11270" width="1.42578125" style="52" customWidth="1"/>
    <col min="11271" max="11271" width="3.42578125" style="52" customWidth="1"/>
    <col min="11272" max="11272" width="1.42578125" style="52" customWidth="1"/>
    <col min="11273" max="11273" width="12.5703125" style="52" customWidth="1"/>
    <col min="11274" max="11274" width="3.28515625" style="52" customWidth="1"/>
    <col min="11275" max="11275" width="12.85546875" style="52" customWidth="1"/>
    <col min="11276" max="11276" width="1.42578125" style="52" customWidth="1"/>
    <col min="11277" max="11277" width="3.5703125" style="52" customWidth="1"/>
    <col min="11278" max="11278" width="1.7109375" style="52" customWidth="1"/>
    <col min="11279" max="11279" width="14" style="52" customWidth="1"/>
    <col min="11280" max="11280" width="2.140625" style="52" customWidth="1"/>
    <col min="11281" max="11519" width="9.140625" style="52"/>
    <col min="11520" max="11520" width="2.85546875" style="52" customWidth="1"/>
    <col min="11521" max="11521" width="6.42578125" style="52" customWidth="1"/>
    <col min="11522" max="11522" width="3.85546875" style="52" customWidth="1"/>
    <col min="11523" max="11523" width="16.5703125" style="52" customWidth="1"/>
    <col min="11524" max="11524" width="3" style="52" customWidth="1"/>
    <col min="11525" max="11525" width="11.140625" style="52" customWidth="1"/>
    <col min="11526" max="11526" width="1.42578125" style="52" customWidth="1"/>
    <col min="11527" max="11527" width="3.42578125" style="52" customWidth="1"/>
    <col min="11528" max="11528" width="1.42578125" style="52" customWidth="1"/>
    <col min="11529" max="11529" width="12.5703125" style="52" customWidth="1"/>
    <col min="11530" max="11530" width="3.28515625" style="52" customWidth="1"/>
    <col min="11531" max="11531" width="12.85546875" style="52" customWidth="1"/>
    <col min="11532" max="11532" width="1.42578125" style="52" customWidth="1"/>
    <col min="11533" max="11533" width="3.5703125" style="52" customWidth="1"/>
    <col min="11534" max="11534" width="1.7109375" style="52" customWidth="1"/>
    <col min="11535" max="11535" width="14" style="52" customWidth="1"/>
    <col min="11536" max="11536" width="2.140625" style="52" customWidth="1"/>
    <col min="11537" max="11775" width="9.140625" style="52"/>
    <col min="11776" max="11776" width="2.85546875" style="52" customWidth="1"/>
    <col min="11777" max="11777" width="6.42578125" style="52" customWidth="1"/>
    <col min="11778" max="11778" width="3.85546875" style="52" customWidth="1"/>
    <col min="11779" max="11779" width="16.5703125" style="52" customWidth="1"/>
    <col min="11780" max="11780" width="3" style="52" customWidth="1"/>
    <col min="11781" max="11781" width="11.140625" style="52" customWidth="1"/>
    <col min="11782" max="11782" width="1.42578125" style="52" customWidth="1"/>
    <col min="11783" max="11783" width="3.42578125" style="52" customWidth="1"/>
    <col min="11784" max="11784" width="1.42578125" style="52" customWidth="1"/>
    <col min="11785" max="11785" width="12.5703125" style="52" customWidth="1"/>
    <col min="11786" max="11786" width="3.28515625" style="52" customWidth="1"/>
    <col min="11787" max="11787" width="12.85546875" style="52" customWidth="1"/>
    <col min="11788" max="11788" width="1.42578125" style="52" customWidth="1"/>
    <col min="11789" max="11789" width="3.5703125" style="52" customWidth="1"/>
    <col min="11790" max="11790" width="1.7109375" style="52" customWidth="1"/>
    <col min="11791" max="11791" width="14" style="52" customWidth="1"/>
    <col min="11792" max="11792" width="2.140625" style="52" customWidth="1"/>
    <col min="11793" max="12031" width="9.140625" style="52"/>
    <col min="12032" max="12032" width="2.85546875" style="52" customWidth="1"/>
    <col min="12033" max="12033" width="6.42578125" style="52" customWidth="1"/>
    <col min="12034" max="12034" width="3.85546875" style="52" customWidth="1"/>
    <col min="12035" max="12035" width="16.5703125" style="52" customWidth="1"/>
    <col min="12036" max="12036" width="3" style="52" customWidth="1"/>
    <col min="12037" max="12037" width="11.140625" style="52" customWidth="1"/>
    <col min="12038" max="12038" width="1.42578125" style="52" customWidth="1"/>
    <col min="12039" max="12039" width="3.42578125" style="52" customWidth="1"/>
    <col min="12040" max="12040" width="1.42578125" style="52" customWidth="1"/>
    <col min="12041" max="12041" width="12.5703125" style="52" customWidth="1"/>
    <col min="12042" max="12042" width="3.28515625" style="52" customWidth="1"/>
    <col min="12043" max="12043" width="12.85546875" style="52" customWidth="1"/>
    <col min="12044" max="12044" width="1.42578125" style="52" customWidth="1"/>
    <col min="12045" max="12045" width="3.5703125" style="52" customWidth="1"/>
    <col min="12046" max="12046" width="1.7109375" style="52" customWidth="1"/>
    <col min="12047" max="12047" width="14" style="52" customWidth="1"/>
    <col min="12048" max="12048" width="2.140625" style="52" customWidth="1"/>
    <col min="12049" max="12287" width="9.140625" style="52"/>
    <col min="12288" max="12288" width="2.85546875" style="52" customWidth="1"/>
    <col min="12289" max="12289" width="6.42578125" style="52" customWidth="1"/>
    <col min="12290" max="12290" width="3.85546875" style="52" customWidth="1"/>
    <col min="12291" max="12291" width="16.5703125" style="52" customWidth="1"/>
    <col min="12292" max="12292" width="3" style="52" customWidth="1"/>
    <col min="12293" max="12293" width="11.140625" style="52" customWidth="1"/>
    <col min="12294" max="12294" width="1.42578125" style="52" customWidth="1"/>
    <col min="12295" max="12295" width="3.42578125" style="52" customWidth="1"/>
    <col min="12296" max="12296" width="1.42578125" style="52" customWidth="1"/>
    <col min="12297" max="12297" width="12.5703125" style="52" customWidth="1"/>
    <col min="12298" max="12298" width="3.28515625" style="52" customWidth="1"/>
    <col min="12299" max="12299" width="12.85546875" style="52" customWidth="1"/>
    <col min="12300" max="12300" width="1.42578125" style="52" customWidth="1"/>
    <col min="12301" max="12301" width="3.5703125" style="52" customWidth="1"/>
    <col min="12302" max="12302" width="1.7109375" style="52" customWidth="1"/>
    <col min="12303" max="12303" width="14" style="52" customWidth="1"/>
    <col min="12304" max="12304" width="2.140625" style="52" customWidth="1"/>
    <col min="12305" max="12543" width="9.140625" style="52"/>
    <col min="12544" max="12544" width="2.85546875" style="52" customWidth="1"/>
    <col min="12545" max="12545" width="6.42578125" style="52" customWidth="1"/>
    <col min="12546" max="12546" width="3.85546875" style="52" customWidth="1"/>
    <col min="12547" max="12547" width="16.5703125" style="52" customWidth="1"/>
    <col min="12548" max="12548" width="3" style="52" customWidth="1"/>
    <col min="12549" max="12549" width="11.140625" style="52" customWidth="1"/>
    <col min="12550" max="12550" width="1.42578125" style="52" customWidth="1"/>
    <col min="12551" max="12551" width="3.42578125" style="52" customWidth="1"/>
    <col min="12552" max="12552" width="1.42578125" style="52" customWidth="1"/>
    <col min="12553" max="12553" width="12.5703125" style="52" customWidth="1"/>
    <col min="12554" max="12554" width="3.28515625" style="52" customWidth="1"/>
    <col min="12555" max="12555" width="12.85546875" style="52" customWidth="1"/>
    <col min="12556" max="12556" width="1.42578125" style="52" customWidth="1"/>
    <col min="12557" max="12557" width="3.5703125" style="52" customWidth="1"/>
    <col min="12558" max="12558" width="1.7109375" style="52" customWidth="1"/>
    <col min="12559" max="12559" width="14" style="52" customWidth="1"/>
    <col min="12560" max="12560" width="2.140625" style="52" customWidth="1"/>
    <col min="12561" max="12799" width="9.140625" style="52"/>
    <col min="12800" max="12800" width="2.85546875" style="52" customWidth="1"/>
    <col min="12801" max="12801" width="6.42578125" style="52" customWidth="1"/>
    <col min="12802" max="12802" width="3.85546875" style="52" customWidth="1"/>
    <col min="12803" max="12803" width="16.5703125" style="52" customWidth="1"/>
    <col min="12804" max="12804" width="3" style="52" customWidth="1"/>
    <col min="12805" max="12805" width="11.140625" style="52" customWidth="1"/>
    <col min="12806" max="12806" width="1.42578125" style="52" customWidth="1"/>
    <col min="12807" max="12807" width="3.42578125" style="52" customWidth="1"/>
    <col min="12808" max="12808" width="1.42578125" style="52" customWidth="1"/>
    <col min="12809" max="12809" width="12.5703125" style="52" customWidth="1"/>
    <col min="12810" max="12810" width="3.28515625" style="52" customWidth="1"/>
    <col min="12811" max="12811" width="12.85546875" style="52" customWidth="1"/>
    <col min="12812" max="12812" width="1.42578125" style="52" customWidth="1"/>
    <col min="12813" max="12813" width="3.5703125" style="52" customWidth="1"/>
    <col min="12814" max="12814" width="1.7109375" style="52" customWidth="1"/>
    <col min="12815" max="12815" width="14" style="52" customWidth="1"/>
    <col min="12816" max="12816" width="2.140625" style="52" customWidth="1"/>
    <col min="12817" max="13055" width="9.140625" style="52"/>
    <col min="13056" max="13056" width="2.85546875" style="52" customWidth="1"/>
    <col min="13057" max="13057" width="6.42578125" style="52" customWidth="1"/>
    <col min="13058" max="13058" width="3.85546875" style="52" customWidth="1"/>
    <col min="13059" max="13059" width="16.5703125" style="52" customWidth="1"/>
    <col min="13060" max="13060" width="3" style="52" customWidth="1"/>
    <col min="13061" max="13061" width="11.140625" style="52" customWidth="1"/>
    <col min="13062" max="13062" width="1.42578125" style="52" customWidth="1"/>
    <col min="13063" max="13063" width="3.42578125" style="52" customWidth="1"/>
    <col min="13064" max="13064" width="1.42578125" style="52" customWidth="1"/>
    <col min="13065" max="13065" width="12.5703125" style="52" customWidth="1"/>
    <col min="13066" max="13066" width="3.28515625" style="52" customWidth="1"/>
    <col min="13067" max="13067" width="12.85546875" style="52" customWidth="1"/>
    <col min="13068" max="13068" width="1.42578125" style="52" customWidth="1"/>
    <col min="13069" max="13069" width="3.5703125" style="52" customWidth="1"/>
    <col min="13070" max="13070" width="1.7109375" style="52" customWidth="1"/>
    <col min="13071" max="13071" width="14" style="52" customWidth="1"/>
    <col min="13072" max="13072" width="2.140625" style="52" customWidth="1"/>
    <col min="13073" max="13311" width="9.140625" style="52"/>
    <col min="13312" max="13312" width="2.85546875" style="52" customWidth="1"/>
    <col min="13313" max="13313" width="6.42578125" style="52" customWidth="1"/>
    <col min="13314" max="13314" width="3.85546875" style="52" customWidth="1"/>
    <col min="13315" max="13315" width="16.5703125" style="52" customWidth="1"/>
    <col min="13316" max="13316" width="3" style="52" customWidth="1"/>
    <col min="13317" max="13317" width="11.140625" style="52" customWidth="1"/>
    <col min="13318" max="13318" width="1.42578125" style="52" customWidth="1"/>
    <col min="13319" max="13319" width="3.42578125" style="52" customWidth="1"/>
    <col min="13320" max="13320" width="1.42578125" style="52" customWidth="1"/>
    <col min="13321" max="13321" width="12.5703125" style="52" customWidth="1"/>
    <col min="13322" max="13322" width="3.28515625" style="52" customWidth="1"/>
    <col min="13323" max="13323" width="12.85546875" style="52" customWidth="1"/>
    <col min="13324" max="13324" width="1.42578125" style="52" customWidth="1"/>
    <col min="13325" max="13325" width="3.5703125" style="52" customWidth="1"/>
    <col min="13326" max="13326" width="1.7109375" style="52" customWidth="1"/>
    <col min="13327" max="13327" width="14" style="52" customWidth="1"/>
    <col min="13328" max="13328" width="2.140625" style="52" customWidth="1"/>
    <col min="13329" max="13567" width="9.140625" style="52"/>
    <col min="13568" max="13568" width="2.85546875" style="52" customWidth="1"/>
    <col min="13569" max="13569" width="6.42578125" style="52" customWidth="1"/>
    <col min="13570" max="13570" width="3.85546875" style="52" customWidth="1"/>
    <col min="13571" max="13571" width="16.5703125" style="52" customWidth="1"/>
    <col min="13572" max="13572" width="3" style="52" customWidth="1"/>
    <col min="13573" max="13573" width="11.140625" style="52" customWidth="1"/>
    <col min="13574" max="13574" width="1.42578125" style="52" customWidth="1"/>
    <col min="13575" max="13575" width="3.42578125" style="52" customWidth="1"/>
    <col min="13576" max="13576" width="1.42578125" style="52" customWidth="1"/>
    <col min="13577" max="13577" width="12.5703125" style="52" customWidth="1"/>
    <col min="13578" max="13578" width="3.28515625" style="52" customWidth="1"/>
    <col min="13579" max="13579" width="12.85546875" style="52" customWidth="1"/>
    <col min="13580" max="13580" width="1.42578125" style="52" customWidth="1"/>
    <col min="13581" max="13581" width="3.5703125" style="52" customWidth="1"/>
    <col min="13582" max="13582" width="1.7109375" style="52" customWidth="1"/>
    <col min="13583" max="13583" width="14" style="52" customWidth="1"/>
    <col min="13584" max="13584" width="2.140625" style="52" customWidth="1"/>
    <col min="13585" max="13823" width="9.140625" style="52"/>
    <col min="13824" max="13824" width="2.85546875" style="52" customWidth="1"/>
    <col min="13825" max="13825" width="6.42578125" style="52" customWidth="1"/>
    <col min="13826" max="13826" width="3.85546875" style="52" customWidth="1"/>
    <col min="13827" max="13827" width="16.5703125" style="52" customWidth="1"/>
    <col min="13828" max="13828" width="3" style="52" customWidth="1"/>
    <col min="13829" max="13829" width="11.140625" style="52" customWidth="1"/>
    <col min="13830" max="13830" width="1.42578125" style="52" customWidth="1"/>
    <col min="13831" max="13831" width="3.42578125" style="52" customWidth="1"/>
    <col min="13832" max="13832" width="1.42578125" style="52" customWidth="1"/>
    <col min="13833" max="13833" width="12.5703125" style="52" customWidth="1"/>
    <col min="13834" max="13834" width="3.28515625" style="52" customWidth="1"/>
    <col min="13835" max="13835" width="12.85546875" style="52" customWidth="1"/>
    <col min="13836" max="13836" width="1.42578125" style="52" customWidth="1"/>
    <col min="13837" max="13837" width="3.5703125" style="52" customWidth="1"/>
    <col min="13838" max="13838" width="1.7109375" style="52" customWidth="1"/>
    <col min="13839" max="13839" width="14" style="52" customWidth="1"/>
    <col min="13840" max="13840" width="2.140625" style="52" customWidth="1"/>
    <col min="13841" max="14079" width="9.140625" style="52"/>
    <col min="14080" max="14080" width="2.85546875" style="52" customWidth="1"/>
    <col min="14081" max="14081" width="6.42578125" style="52" customWidth="1"/>
    <col min="14082" max="14082" width="3.85546875" style="52" customWidth="1"/>
    <col min="14083" max="14083" width="16.5703125" style="52" customWidth="1"/>
    <col min="14084" max="14084" width="3" style="52" customWidth="1"/>
    <col min="14085" max="14085" width="11.140625" style="52" customWidth="1"/>
    <col min="14086" max="14086" width="1.42578125" style="52" customWidth="1"/>
    <col min="14087" max="14087" width="3.42578125" style="52" customWidth="1"/>
    <col min="14088" max="14088" width="1.42578125" style="52" customWidth="1"/>
    <col min="14089" max="14089" width="12.5703125" style="52" customWidth="1"/>
    <col min="14090" max="14090" width="3.28515625" style="52" customWidth="1"/>
    <col min="14091" max="14091" width="12.85546875" style="52" customWidth="1"/>
    <col min="14092" max="14092" width="1.42578125" style="52" customWidth="1"/>
    <col min="14093" max="14093" width="3.5703125" style="52" customWidth="1"/>
    <col min="14094" max="14094" width="1.7109375" style="52" customWidth="1"/>
    <col min="14095" max="14095" width="14" style="52" customWidth="1"/>
    <col min="14096" max="14096" width="2.140625" style="52" customWidth="1"/>
    <col min="14097" max="14335" width="9.140625" style="52"/>
    <col min="14336" max="14336" width="2.85546875" style="52" customWidth="1"/>
    <col min="14337" max="14337" width="6.42578125" style="52" customWidth="1"/>
    <col min="14338" max="14338" width="3.85546875" style="52" customWidth="1"/>
    <col min="14339" max="14339" width="16.5703125" style="52" customWidth="1"/>
    <col min="14340" max="14340" width="3" style="52" customWidth="1"/>
    <col min="14341" max="14341" width="11.140625" style="52" customWidth="1"/>
    <col min="14342" max="14342" width="1.42578125" style="52" customWidth="1"/>
    <col min="14343" max="14343" width="3.42578125" style="52" customWidth="1"/>
    <col min="14344" max="14344" width="1.42578125" style="52" customWidth="1"/>
    <col min="14345" max="14345" width="12.5703125" style="52" customWidth="1"/>
    <col min="14346" max="14346" width="3.28515625" style="52" customWidth="1"/>
    <col min="14347" max="14347" width="12.85546875" style="52" customWidth="1"/>
    <col min="14348" max="14348" width="1.42578125" style="52" customWidth="1"/>
    <col min="14349" max="14349" width="3.5703125" style="52" customWidth="1"/>
    <col min="14350" max="14350" width="1.7109375" style="52" customWidth="1"/>
    <col min="14351" max="14351" width="14" style="52" customWidth="1"/>
    <col min="14352" max="14352" width="2.140625" style="52" customWidth="1"/>
    <col min="14353" max="14591" width="9.140625" style="52"/>
    <col min="14592" max="14592" width="2.85546875" style="52" customWidth="1"/>
    <col min="14593" max="14593" width="6.42578125" style="52" customWidth="1"/>
    <col min="14594" max="14594" width="3.85546875" style="52" customWidth="1"/>
    <col min="14595" max="14595" width="16.5703125" style="52" customWidth="1"/>
    <col min="14596" max="14596" width="3" style="52" customWidth="1"/>
    <col min="14597" max="14597" width="11.140625" style="52" customWidth="1"/>
    <col min="14598" max="14598" width="1.42578125" style="52" customWidth="1"/>
    <col min="14599" max="14599" width="3.42578125" style="52" customWidth="1"/>
    <col min="14600" max="14600" width="1.42578125" style="52" customWidth="1"/>
    <col min="14601" max="14601" width="12.5703125" style="52" customWidth="1"/>
    <col min="14602" max="14602" width="3.28515625" style="52" customWidth="1"/>
    <col min="14603" max="14603" width="12.85546875" style="52" customWidth="1"/>
    <col min="14604" max="14604" width="1.42578125" style="52" customWidth="1"/>
    <col min="14605" max="14605" width="3.5703125" style="52" customWidth="1"/>
    <col min="14606" max="14606" width="1.7109375" style="52" customWidth="1"/>
    <col min="14607" max="14607" width="14" style="52" customWidth="1"/>
    <col min="14608" max="14608" width="2.140625" style="52" customWidth="1"/>
    <col min="14609" max="14847" width="9.140625" style="52"/>
    <col min="14848" max="14848" width="2.85546875" style="52" customWidth="1"/>
    <col min="14849" max="14849" width="6.42578125" style="52" customWidth="1"/>
    <col min="14850" max="14850" width="3.85546875" style="52" customWidth="1"/>
    <col min="14851" max="14851" width="16.5703125" style="52" customWidth="1"/>
    <col min="14852" max="14852" width="3" style="52" customWidth="1"/>
    <col min="14853" max="14853" width="11.140625" style="52" customWidth="1"/>
    <col min="14854" max="14854" width="1.42578125" style="52" customWidth="1"/>
    <col min="14855" max="14855" width="3.42578125" style="52" customWidth="1"/>
    <col min="14856" max="14856" width="1.42578125" style="52" customWidth="1"/>
    <col min="14857" max="14857" width="12.5703125" style="52" customWidth="1"/>
    <col min="14858" max="14858" width="3.28515625" style="52" customWidth="1"/>
    <col min="14859" max="14859" width="12.85546875" style="52" customWidth="1"/>
    <col min="14860" max="14860" width="1.42578125" style="52" customWidth="1"/>
    <col min="14861" max="14861" width="3.5703125" style="52" customWidth="1"/>
    <col min="14862" max="14862" width="1.7109375" style="52" customWidth="1"/>
    <col min="14863" max="14863" width="14" style="52" customWidth="1"/>
    <col min="14864" max="14864" width="2.140625" style="52" customWidth="1"/>
    <col min="14865" max="15103" width="9.140625" style="52"/>
    <col min="15104" max="15104" width="2.85546875" style="52" customWidth="1"/>
    <col min="15105" max="15105" width="6.42578125" style="52" customWidth="1"/>
    <col min="15106" max="15106" width="3.85546875" style="52" customWidth="1"/>
    <col min="15107" max="15107" width="16.5703125" style="52" customWidth="1"/>
    <col min="15108" max="15108" width="3" style="52" customWidth="1"/>
    <col min="15109" max="15109" width="11.140625" style="52" customWidth="1"/>
    <col min="15110" max="15110" width="1.42578125" style="52" customWidth="1"/>
    <col min="15111" max="15111" width="3.42578125" style="52" customWidth="1"/>
    <col min="15112" max="15112" width="1.42578125" style="52" customWidth="1"/>
    <col min="15113" max="15113" width="12.5703125" style="52" customWidth="1"/>
    <col min="15114" max="15114" width="3.28515625" style="52" customWidth="1"/>
    <col min="15115" max="15115" width="12.85546875" style="52" customWidth="1"/>
    <col min="15116" max="15116" width="1.42578125" style="52" customWidth="1"/>
    <col min="15117" max="15117" width="3.5703125" style="52" customWidth="1"/>
    <col min="15118" max="15118" width="1.7109375" style="52" customWidth="1"/>
    <col min="15119" max="15119" width="14" style="52" customWidth="1"/>
    <col min="15120" max="15120" width="2.140625" style="52" customWidth="1"/>
    <col min="15121" max="15359" width="9.140625" style="52"/>
    <col min="15360" max="15360" width="2.85546875" style="52" customWidth="1"/>
    <col min="15361" max="15361" width="6.42578125" style="52" customWidth="1"/>
    <col min="15362" max="15362" width="3.85546875" style="52" customWidth="1"/>
    <col min="15363" max="15363" width="16.5703125" style="52" customWidth="1"/>
    <col min="15364" max="15364" width="3" style="52" customWidth="1"/>
    <col min="15365" max="15365" width="11.140625" style="52" customWidth="1"/>
    <col min="15366" max="15366" width="1.42578125" style="52" customWidth="1"/>
    <col min="15367" max="15367" width="3.42578125" style="52" customWidth="1"/>
    <col min="15368" max="15368" width="1.42578125" style="52" customWidth="1"/>
    <col min="15369" max="15369" width="12.5703125" style="52" customWidth="1"/>
    <col min="15370" max="15370" width="3.28515625" style="52" customWidth="1"/>
    <col min="15371" max="15371" width="12.85546875" style="52" customWidth="1"/>
    <col min="15372" max="15372" width="1.42578125" style="52" customWidth="1"/>
    <col min="15373" max="15373" width="3.5703125" style="52" customWidth="1"/>
    <col min="15374" max="15374" width="1.7109375" style="52" customWidth="1"/>
    <col min="15375" max="15375" width="14" style="52" customWidth="1"/>
    <col min="15376" max="15376" width="2.140625" style="52" customWidth="1"/>
    <col min="15377" max="15615" width="9.140625" style="52"/>
    <col min="15616" max="15616" width="2.85546875" style="52" customWidth="1"/>
    <col min="15617" max="15617" width="6.42578125" style="52" customWidth="1"/>
    <col min="15618" max="15618" width="3.85546875" style="52" customWidth="1"/>
    <col min="15619" max="15619" width="16.5703125" style="52" customWidth="1"/>
    <col min="15620" max="15620" width="3" style="52" customWidth="1"/>
    <col min="15621" max="15621" width="11.140625" style="52" customWidth="1"/>
    <col min="15622" max="15622" width="1.42578125" style="52" customWidth="1"/>
    <col min="15623" max="15623" width="3.42578125" style="52" customWidth="1"/>
    <col min="15624" max="15624" width="1.42578125" style="52" customWidth="1"/>
    <col min="15625" max="15625" width="12.5703125" style="52" customWidth="1"/>
    <col min="15626" max="15626" width="3.28515625" style="52" customWidth="1"/>
    <col min="15627" max="15627" width="12.85546875" style="52" customWidth="1"/>
    <col min="15628" max="15628" width="1.42578125" style="52" customWidth="1"/>
    <col min="15629" max="15629" width="3.5703125" style="52" customWidth="1"/>
    <col min="15630" max="15630" width="1.7109375" style="52" customWidth="1"/>
    <col min="15631" max="15631" width="14" style="52" customWidth="1"/>
    <col min="15632" max="15632" width="2.140625" style="52" customWidth="1"/>
    <col min="15633" max="15871" width="9.140625" style="52"/>
    <col min="15872" max="15872" width="2.85546875" style="52" customWidth="1"/>
    <col min="15873" max="15873" width="6.42578125" style="52" customWidth="1"/>
    <col min="15874" max="15874" width="3.85546875" style="52" customWidth="1"/>
    <col min="15875" max="15875" width="16.5703125" style="52" customWidth="1"/>
    <col min="15876" max="15876" width="3" style="52" customWidth="1"/>
    <col min="15877" max="15877" width="11.140625" style="52" customWidth="1"/>
    <col min="15878" max="15878" width="1.42578125" style="52" customWidth="1"/>
    <col min="15879" max="15879" width="3.42578125" style="52" customWidth="1"/>
    <col min="15880" max="15880" width="1.42578125" style="52" customWidth="1"/>
    <col min="15881" max="15881" width="12.5703125" style="52" customWidth="1"/>
    <col min="15882" max="15882" width="3.28515625" style="52" customWidth="1"/>
    <col min="15883" max="15883" width="12.85546875" style="52" customWidth="1"/>
    <col min="15884" max="15884" width="1.42578125" style="52" customWidth="1"/>
    <col min="15885" max="15885" width="3.5703125" style="52" customWidth="1"/>
    <col min="15886" max="15886" width="1.7109375" style="52" customWidth="1"/>
    <col min="15887" max="15887" width="14" style="52" customWidth="1"/>
    <col min="15888" max="15888" width="2.140625" style="52" customWidth="1"/>
    <col min="15889" max="16127" width="9.140625" style="52"/>
    <col min="16128" max="16128" width="2.85546875" style="52" customWidth="1"/>
    <col min="16129" max="16129" width="6.42578125" style="52" customWidth="1"/>
    <col min="16130" max="16130" width="3.85546875" style="52" customWidth="1"/>
    <col min="16131" max="16131" width="16.5703125" style="52" customWidth="1"/>
    <col min="16132" max="16132" width="3" style="52" customWidth="1"/>
    <col min="16133" max="16133" width="11.140625" style="52" customWidth="1"/>
    <col min="16134" max="16134" width="1.42578125" style="52" customWidth="1"/>
    <col min="16135" max="16135" width="3.42578125" style="52" customWidth="1"/>
    <col min="16136" max="16136" width="1.42578125" style="52" customWidth="1"/>
    <col min="16137" max="16137" width="12.5703125" style="52" customWidth="1"/>
    <col min="16138" max="16138" width="3.28515625" style="52" customWidth="1"/>
    <col min="16139" max="16139" width="12.85546875" style="52" customWidth="1"/>
    <col min="16140" max="16140" width="1.42578125" style="52" customWidth="1"/>
    <col min="16141" max="16141" width="3.5703125" style="52" customWidth="1"/>
    <col min="16142" max="16142" width="1.7109375" style="52" customWidth="1"/>
    <col min="16143" max="16143" width="14" style="52" customWidth="1"/>
    <col min="16144" max="16144" width="2.140625" style="52" customWidth="1"/>
    <col min="16145" max="16384" width="9.140625" style="52"/>
  </cols>
  <sheetData>
    <row r="1" spans="1:15" x14ac:dyDescent="0.2">
      <c r="K1" s="562" t="s">
        <v>301</v>
      </c>
      <c r="O1" s="61" t="str">
        <f>EBNUMBER</f>
        <v>EB-2016-0066</v>
      </c>
    </row>
    <row r="2" spans="1:15" x14ac:dyDescent="0.2">
      <c r="K2" s="562" t="s">
        <v>302</v>
      </c>
      <c r="O2" s="62"/>
    </row>
    <row r="3" spans="1:15" x14ac:dyDescent="0.2">
      <c r="K3" s="562" t="s">
        <v>303</v>
      </c>
      <c r="O3" s="62"/>
    </row>
    <row r="4" spans="1:15" x14ac:dyDescent="0.2">
      <c r="K4" s="562" t="s">
        <v>304</v>
      </c>
      <c r="O4" s="62"/>
    </row>
    <row r="5" spans="1:15" x14ac:dyDescent="0.2">
      <c r="K5" s="562" t="s">
        <v>305</v>
      </c>
      <c r="O5" s="63"/>
    </row>
    <row r="6" spans="1:15" x14ac:dyDescent="0.2">
      <c r="K6" s="562"/>
      <c r="O6" s="61"/>
    </row>
    <row r="7" spans="1:15" x14ac:dyDescent="0.2">
      <c r="K7" s="562" t="s">
        <v>306</v>
      </c>
      <c r="O7" s="63"/>
    </row>
    <row r="10" spans="1:15" ht="18" x14ac:dyDescent="0.25">
      <c r="C10" s="1591" t="s">
        <v>473</v>
      </c>
      <c r="D10" s="1591"/>
      <c r="E10" s="1591"/>
      <c r="F10" s="1591"/>
      <c r="G10" s="1591"/>
      <c r="H10" s="1591"/>
      <c r="I10" s="1591"/>
      <c r="J10" s="1591"/>
      <c r="K10" s="1591"/>
      <c r="L10" s="1591"/>
      <c r="M10" s="1591"/>
      <c r="N10" s="1591"/>
      <c r="O10" s="1591"/>
    </row>
    <row r="11" spans="1:15" ht="18" x14ac:dyDescent="0.2">
      <c r="C11" s="1950" t="s">
        <v>458</v>
      </c>
      <c r="D11" s="1950"/>
      <c r="E11" s="1950"/>
      <c r="F11" s="1950"/>
      <c r="G11" s="1950"/>
      <c r="H11" s="1950"/>
      <c r="I11" s="1950"/>
      <c r="J11" s="1950"/>
      <c r="K11" s="1950"/>
      <c r="L11" s="1950"/>
      <c r="M11" s="1950"/>
      <c r="N11" s="1950"/>
      <c r="O11" s="1950"/>
    </row>
    <row r="13" spans="1:15" x14ac:dyDescent="0.2">
      <c r="A13" s="1956" t="s">
        <v>1039</v>
      </c>
      <c r="B13" s="1956"/>
      <c r="C13" s="1956"/>
      <c r="D13" s="1956"/>
      <c r="E13" s="1956"/>
      <c r="F13" s="1956"/>
      <c r="G13" s="1956"/>
      <c r="H13" s="1956"/>
      <c r="I13" s="1956"/>
      <c r="J13" s="1956"/>
      <c r="K13" s="1956"/>
      <c r="L13" s="1956"/>
      <c r="M13" s="1956"/>
      <c r="N13" s="1956"/>
      <c r="O13" s="1956"/>
    </row>
    <row r="14" spans="1:15" x14ac:dyDescent="0.2">
      <c r="A14" s="1084"/>
      <c r="B14" s="1084"/>
      <c r="C14" s="1084"/>
      <c r="D14" s="1084"/>
      <c r="E14" s="1084"/>
      <c r="F14" s="1084"/>
      <c r="G14" s="1084"/>
      <c r="H14" s="1084"/>
      <c r="I14" s="1084"/>
      <c r="J14" s="1084"/>
      <c r="K14" s="1084"/>
      <c r="L14" s="1084"/>
      <c r="M14" s="1084"/>
      <c r="N14" s="1084"/>
      <c r="O14" s="1084"/>
    </row>
    <row r="15" spans="1:15" s="43" customFormat="1" x14ac:dyDescent="0.2">
      <c r="B15" s="52"/>
      <c r="C15" s="52"/>
      <c r="G15" s="473" t="s">
        <v>26</v>
      </c>
      <c r="H15" s="1954">
        <v>2012</v>
      </c>
      <c r="I15" s="1954"/>
      <c r="J15" s="1954"/>
    </row>
    <row r="17" spans="1:16" x14ac:dyDescent="0.2">
      <c r="A17" s="1951" t="s">
        <v>459</v>
      </c>
      <c r="B17" s="159"/>
      <c r="C17" s="159"/>
      <c r="D17" s="159"/>
      <c r="E17" s="159"/>
      <c r="F17" s="159"/>
      <c r="G17" s="159"/>
      <c r="H17" s="159"/>
      <c r="I17" s="159"/>
      <c r="J17" s="159"/>
      <c r="K17" s="159"/>
      <c r="L17" s="159"/>
      <c r="M17" s="159"/>
      <c r="N17" s="159"/>
      <c r="O17" s="159"/>
    </row>
    <row r="18" spans="1:16" x14ac:dyDescent="0.2">
      <c r="A18" s="1952"/>
      <c r="B18" s="159"/>
      <c r="C18" s="1085" t="s">
        <v>460</v>
      </c>
      <c r="D18" s="159"/>
      <c r="E18" s="1953" t="s">
        <v>461</v>
      </c>
      <c r="F18" s="1953"/>
      <c r="G18" s="1953"/>
      <c r="H18" s="1953"/>
      <c r="I18" s="1953"/>
      <c r="J18" s="857"/>
      <c r="K18" s="1085" t="s">
        <v>307</v>
      </c>
      <c r="L18" s="858"/>
      <c r="M18" s="159"/>
      <c r="N18" s="159"/>
      <c r="O18" s="1085" t="s">
        <v>462</v>
      </c>
    </row>
    <row r="19" spans="1:16" x14ac:dyDescent="0.2">
      <c r="A19" s="152"/>
      <c r="B19" s="159"/>
      <c r="C19" s="159"/>
      <c r="D19" s="159"/>
      <c r="E19" s="159"/>
      <c r="F19" s="159"/>
      <c r="G19" s="159"/>
      <c r="H19" s="159"/>
      <c r="I19" s="859"/>
      <c r="J19" s="859"/>
      <c r="K19" s="159"/>
      <c r="L19" s="159"/>
      <c r="M19" s="159"/>
      <c r="N19" s="159"/>
      <c r="O19" s="159"/>
    </row>
    <row r="20" spans="1:16" x14ac:dyDescent="0.2">
      <c r="A20" s="290"/>
      <c r="B20" s="159"/>
      <c r="C20" s="159"/>
      <c r="D20" s="159"/>
      <c r="E20" s="860" t="s">
        <v>308</v>
      </c>
      <c r="F20" s="861"/>
      <c r="G20" s="861"/>
      <c r="H20" s="861"/>
      <c r="I20" s="860" t="s">
        <v>309</v>
      </c>
      <c r="J20" s="159"/>
      <c r="K20" s="860" t="s">
        <v>308</v>
      </c>
      <c r="L20" s="861"/>
      <c r="M20" s="159"/>
      <c r="N20" s="159"/>
      <c r="O20" s="859" t="s">
        <v>309</v>
      </c>
      <c r="P20" s="159"/>
    </row>
    <row r="21" spans="1:16" x14ac:dyDescent="0.2">
      <c r="A21" s="290"/>
      <c r="B21" s="159"/>
      <c r="C21" s="862" t="s">
        <v>463</v>
      </c>
      <c r="D21" s="159"/>
      <c r="E21" s="159"/>
      <c r="F21" s="159"/>
      <c r="G21" s="159"/>
      <c r="H21" s="159"/>
      <c r="I21" s="159"/>
      <c r="J21" s="159"/>
      <c r="K21" s="159"/>
      <c r="L21" s="159"/>
      <c r="M21" s="159"/>
      <c r="N21" s="159"/>
      <c r="O21" s="159"/>
      <c r="P21" s="159"/>
    </row>
    <row r="22" spans="1:16" x14ac:dyDescent="0.2">
      <c r="A22" s="290">
        <v>1</v>
      </c>
      <c r="B22" s="159"/>
      <c r="C22" s="863" t="s">
        <v>464</v>
      </c>
      <c r="D22" s="159"/>
      <c r="E22" s="864">
        <v>0.56000000000000005</v>
      </c>
      <c r="F22" s="865"/>
      <c r="G22" s="32"/>
      <c r="H22" s="30"/>
      <c r="I22" s="866">
        <f>$I$31*E22</f>
        <v>7025249.2800000003</v>
      </c>
      <c r="J22" s="159"/>
      <c r="K22" s="864">
        <v>2.7099999999999999E-2</v>
      </c>
      <c r="L22" s="865"/>
      <c r="M22" s="32"/>
      <c r="N22" s="30"/>
      <c r="O22" s="866">
        <f>K22*I22</f>
        <v>190384.255488</v>
      </c>
      <c r="P22" s="159"/>
    </row>
    <row r="23" spans="1:16" x14ac:dyDescent="0.2">
      <c r="A23" s="290">
        <v>2</v>
      </c>
      <c r="B23" s="159"/>
      <c r="C23" s="863" t="s">
        <v>465</v>
      </c>
      <c r="D23" s="159"/>
      <c r="E23" s="867">
        <v>0.04</v>
      </c>
      <c r="F23" s="865"/>
      <c r="G23" s="31" t="s">
        <v>310</v>
      </c>
      <c r="H23" s="31"/>
      <c r="I23" s="868">
        <f>$I$31*E23</f>
        <v>501803.52000000002</v>
      </c>
      <c r="J23" s="159"/>
      <c r="K23" s="867">
        <v>2.0799999999999999E-2</v>
      </c>
      <c r="L23" s="865"/>
      <c r="M23" s="32"/>
      <c r="N23" s="30"/>
      <c r="O23" s="868">
        <f>K23*I23</f>
        <v>10437.513215999999</v>
      </c>
      <c r="P23" s="159"/>
    </row>
    <row r="24" spans="1:16" ht="13.5" thickBot="1" x14ac:dyDescent="0.25">
      <c r="A24" s="290">
        <v>3</v>
      </c>
      <c r="B24" s="159"/>
      <c r="C24" s="290" t="s">
        <v>466</v>
      </c>
      <c r="D24" s="159"/>
      <c r="E24" s="869">
        <f>SUM(E22:E23)</f>
        <v>0.60000000000000009</v>
      </c>
      <c r="F24" s="870"/>
      <c r="G24" s="869"/>
      <c r="H24" s="870"/>
      <c r="I24" s="871">
        <f>SUM(I22:I23)</f>
        <v>7527052.8000000007</v>
      </c>
      <c r="J24" s="159"/>
      <c r="K24" s="872">
        <f>IF(E24=0,0,SUMPRODUCT(E22:E23,K22:K23)/E24)</f>
        <v>2.6679999999999999E-2</v>
      </c>
      <c r="L24" s="865"/>
      <c r="M24" s="873"/>
      <c r="N24" s="194"/>
      <c r="O24" s="871">
        <f>SUM(O22:O23)</f>
        <v>200821.76870399999</v>
      </c>
      <c r="P24" s="159"/>
    </row>
    <row r="25" spans="1:16" ht="13.5" thickTop="1" x14ac:dyDescent="0.2">
      <c r="A25" s="290"/>
      <c r="B25" s="159"/>
      <c r="C25" s="159"/>
      <c r="D25" s="159"/>
      <c r="E25" s="874"/>
      <c r="F25" s="875"/>
      <c r="G25" s="874"/>
      <c r="H25" s="875"/>
      <c r="I25" s="876"/>
      <c r="J25" s="159"/>
      <c r="K25" s="877"/>
      <c r="L25" s="865"/>
      <c r="M25" s="194"/>
      <c r="N25" s="194"/>
      <c r="O25" s="876"/>
      <c r="P25" s="159"/>
    </row>
    <row r="26" spans="1:16" x14ac:dyDescent="0.2">
      <c r="A26" s="290"/>
      <c r="B26" s="159"/>
      <c r="C26" s="862" t="s">
        <v>467</v>
      </c>
      <c r="D26" s="159"/>
      <c r="E26" s="874"/>
      <c r="F26" s="875"/>
      <c r="G26" s="874"/>
      <c r="H26" s="875"/>
      <c r="I26" s="876"/>
      <c r="J26" s="159"/>
      <c r="K26" s="877"/>
      <c r="L26" s="865"/>
      <c r="M26" s="194"/>
      <c r="N26" s="194"/>
      <c r="O26" s="876"/>
      <c r="P26" s="159"/>
    </row>
    <row r="27" spans="1:16" x14ac:dyDescent="0.2">
      <c r="A27" s="878">
        <v>4</v>
      </c>
      <c r="B27" s="879"/>
      <c r="C27" s="880" t="s">
        <v>468</v>
      </c>
      <c r="D27" s="879"/>
      <c r="E27" s="881">
        <v>0.4</v>
      </c>
      <c r="F27" s="882"/>
      <c r="G27" s="32"/>
      <c r="H27" s="30"/>
      <c r="I27" s="883">
        <f>$I$31*E27</f>
        <v>5018035.2</v>
      </c>
      <c r="J27" s="879"/>
      <c r="K27" s="881">
        <v>9.1200000000000003E-2</v>
      </c>
      <c r="L27" s="882"/>
      <c r="M27" s="32"/>
      <c r="N27" s="30"/>
      <c r="O27" s="883">
        <f>K27*I27</f>
        <v>457644.81024000002</v>
      </c>
      <c r="P27" s="159"/>
    </row>
    <row r="28" spans="1:16" x14ac:dyDescent="0.2">
      <c r="A28" s="878">
        <v>5</v>
      </c>
      <c r="B28" s="879"/>
      <c r="C28" s="880" t="s">
        <v>469</v>
      </c>
      <c r="D28" s="879"/>
      <c r="E28" s="884">
        <v>0</v>
      </c>
      <c r="F28" s="882"/>
      <c r="G28" s="32"/>
      <c r="H28" s="30"/>
      <c r="I28" s="885">
        <f>$I$31*E28</f>
        <v>0</v>
      </c>
      <c r="J28" s="879"/>
      <c r="K28" s="884">
        <v>0</v>
      </c>
      <c r="L28" s="882"/>
      <c r="M28" s="32"/>
      <c r="N28" s="30"/>
      <c r="O28" s="885">
        <f>K28*I28</f>
        <v>0</v>
      </c>
      <c r="P28" s="159"/>
    </row>
    <row r="29" spans="1:16" ht="13.5" thickBot="1" x14ac:dyDescent="0.25">
      <c r="A29" s="290">
        <v>6</v>
      </c>
      <c r="B29" s="159"/>
      <c r="C29" s="290" t="s">
        <v>470</v>
      </c>
      <c r="D29" s="159"/>
      <c r="E29" s="869">
        <f>SUM(E27:E28)</f>
        <v>0.4</v>
      </c>
      <c r="F29" s="869"/>
      <c r="G29" s="869"/>
      <c r="H29" s="870"/>
      <c r="I29" s="871">
        <f>SUM(I27:I28)</f>
        <v>5018035.2</v>
      </c>
      <c r="J29" s="159"/>
      <c r="K29" s="872">
        <f>IF(E29=0,0,SUMPRODUCT(E27:E28,K27:K28)/E29)</f>
        <v>9.1200000000000003E-2</v>
      </c>
      <c r="L29" s="865"/>
      <c r="M29" s="194"/>
      <c r="N29" s="194"/>
      <c r="O29" s="871">
        <f>SUM(O27:O28)</f>
        <v>457644.81024000002</v>
      </c>
      <c r="P29" s="159"/>
    </row>
    <row r="30" spans="1:16" ht="13.5" thickTop="1" x14ac:dyDescent="0.2">
      <c r="A30" s="290"/>
      <c r="B30" s="159"/>
      <c r="C30" s="159"/>
      <c r="D30" s="159"/>
      <c r="E30" s="159"/>
      <c r="F30" s="159"/>
      <c r="G30" s="159"/>
      <c r="H30" s="159"/>
      <c r="I30" s="876"/>
      <c r="J30" s="159"/>
      <c r="K30" s="877"/>
      <c r="L30" s="877"/>
      <c r="M30" s="194"/>
      <c r="N30" s="194"/>
      <c r="O30" s="876"/>
      <c r="P30" s="159"/>
    </row>
    <row r="31" spans="1:16" ht="13.5" thickBot="1" x14ac:dyDescent="0.25">
      <c r="A31" s="290">
        <v>7</v>
      </c>
      <c r="B31" s="159"/>
      <c r="C31" s="862" t="s">
        <v>295</v>
      </c>
      <c r="D31" s="159"/>
      <c r="E31" s="886">
        <v>1</v>
      </c>
      <c r="F31" s="886"/>
      <c r="G31" s="887"/>
      <c r="H31" s="887"/>
      <c r="I31" s="888">
        <v>12545088</v>
      </c>
      <c r="J31" s="159"/>
      <c r="K31" s="889">
        <f>(K24*E24)+(K29*E29)</f>
        <v>5.2488000000000007E-2</v>
      </c>
      <c r="L31" s="877"/>
      <c r="M31" s="159"/>
      <c r="N31" s="159"/>
      <c r="O31" s="890">
        <f>O24+O29</f>
        <v>658466.57894399995</v>
      </c>
      <c r="P31" s="159"/>
    </row>
    <row r="32" spans="1:16" ht="13.5" thickTop="1" x14ac:dyDescent="0.2">
      <c r="A32" s="290"/>
      <c r="B32" s="159"/>
      <c r="C32" s="159"/>
      <c r="D32" s="159"/>
      <c r="E32" s="159"/>
      <c r="F32" s="159"/>
      <c r="G32" s="159"/>
      <c r="H32" s="159"/>
      <c r="I32" s="159"/>
      <c r="J32" s="159"/>
      <c r="K32" s="159"/>
      <c r="L32" s="159"/>
      <c r="M32" s="159"/>
      <c r="N32" s="159"/>
      <c r="O32" s="159"/>
      <c r="P32" s="159"/>
    </row>
    <row r="38" spans="1:15" x14ac:dyDescent="0.2">
      <c r="A38" s="43"/>
      <c r="D38" s="43"/>
      <c r="E38" s="43"/>
      <c r="F38" s="43"/>
      <c r="G38" s="473" t="s">
        <v>26</v>
      </c>
      <c r="H38" s="1954">
        <v>2017</v>
      </c>
      <c r="I38" s="1954"/>
      <c r="J38" s="1954"/>
      <c r="K38" s="43"/>
      <c r="L38" s="43"/>
      <c r="M38" s="43"/>
      <c r="N38" s="43"/>
      <c r="O38" s="43"/>
    </row>
    <row r="40" spans="1:15" x14ac:dyDescent="0.2">
      <c r="A40" s="1951" t="s">
        <v>459</v>
      </c>
      <c r="B40" s="159"/>
      <c r="C40" s="159"/>
      <c r="D40" s="159"/>
      <c r="E40" s="159"/>
      <c r="F40" s="159"/>
      <c r="G40" s="159"/>
      <c r="H40" s="159"/>
      <c r="I40" s="159"/>
      <c r="J40" s="159"/>
      <c r="K40" s="159"/>
      <c r="L40" s="159"/>
      <c r="M40" s="159"/>
      <c r="N40" s="159"/>
      <c r="O40" s="159"/>
    </row>
    <row r="41" spans="1:15" x14ac:dyDescent="0.2">
      <c r="A41" s="1952"/>
      <c r="B41" s="159"/>
      <c r="C41" s="1455" t="s">
        <v>460</v>
      </c>
      <c r="D41" s="159"/>
      <c r="E41" s="1953" t="s">
        <v>461</v>
      </c>
      <c r="F41" s="1953"/>
      <c r="G41" s="1953"/>
      <c r="H41" s="1953"/>
      <c r="I41" s="1953"/>
      <c r="J41" s="857"/>
      <c r="K41" s="1455" t="s">
        <v>307</v>
      </c>
      <c r="L41" s="858"/>
      <c r="M41" s="159"/>
      <c r="N41" s="159"/>
      <c r="O41" s="1455" t="s">
        <v>462</v>
      </c>
    </row>
    <row r="42" spans="1:15" x14ac:dyDescent="0.2">
      <c r="A42" s="152"/>
      <c r="B42" s="159"/>
      <c r="C42" s="159"/>
      <c r="D42" s="159"/>
      <c r="E42" s="159"/>
      <c r="F42" s="159"/>
      <c r="G42" s="159"/>
      <c r="H42" s="159"/>
      <c r="I42" s="859"/>
      <c r="J42" s="859"/>
      <c r="K42" s="159"/>
      <c r="L42" s="159"/>
      <c r="M42" s="159"/>
      <c r="N42" s="159"/>
      <c r="O42" s="159"/>
    </row>
    <row r="43" spans="1:15" x14ac:dyDescent="0.2">
      <c r="A43" s="290"/>
      <c r="B43" s="159"/>
      <c r="C43" s="159"/>
      <c r="D43" s="159"/>
      <c r="E43" s="860" t="s">
        <v>308</v>
      </c>
      <c r="F43" s="861"/>
      <c r="G43" s="861"/>
      <c r="H43" s="861"/>
      <c r="I43" s="860" t="s">
        <v>309</v>
      </c>
      <c r="J43" s="159"/>
      <c r="K43" s="860" t="s">
        <v>308</v>
      </c>
      <c r="L43" s="861"/>
      <c r="M43" s="159"/>
      <c r="N43" s="159"/>
      <c r="O43" s="859" t="s">
        <v>309</v>
      </c>
    </row>
    <row r="44" spans="1:15" x14ac:dyDescent="0.2">
      <c r="A44" s="290"/>
      <c r="B44" s="159"/>
      <c r="C44" s="862" t="s">
        <v>463</v>
      </c>
      <c r="D44" s="159"/>
      <c r="E44" s="159"/>
      <c r="F44" s="159"/>
      <c r="G44" s="159"/>
      <c r="H44" s="159"/>
      <c r="I44" s="159"/>
      <c r="J44" s="159"/>
      <c r="K44" s="159"/>
      <c r="L44" s="159"/>
      <c r="M44" s="159"/>
      <c r="N44" s="159"/>
      <c r="O44" s="159"/>
    </row>
    <row r="45" spans="1:15" x14ac:dyDescent="0.2">
      <c r="A45" s="290">
        <v>1</v>
      </c>
      <c r="B45" s="159"/>
      <c r="C45" s="863" t="s">
        <v>464</v>
      </c>
      <c r="D45" s="159"/>
      <c r="E45" s="864">
        <v>0.56000000000000005</v>
      </c>
      <c r="F45" s="865"/>
      <c r="G45" s="32"/>
      <c r="H45" s="30"/>
      <c r="I45" s="866">
        <f>$I$54*E45</f>
        <v>6720372.9600000009</v>
      </c>
      <c r="J45" s="159"/>
      <c r="K45" s="864">
        <v>2.9499999999999998E-2</v>
      </c>
      <c r="L45" s="865"/>
      <c r="M45" s="32"/>
      <c r="N45" s="30"/>
      <c r="O45" s="866">
        <f>K45*I45</f>
        <v>198251.00232000003</v>
      </c>
    </row>
    <row r="46" spans="1:15" x14ac:dyDescent="0.2">
      <c r="A46" s="290">
        <v>2</v>
      </c>
      <c r="B46" s="159"/>
      <c r="C46" s="863" t="s">
        <v>465</v>
      </c>
      <c r="D46" s="159"/>
      <c r="E46" s="867">
        <v>0.04</v>
      </c>
      <c r="F46" s="865"/>
      <c r="G46" s="31" t="s">
        <v>310</v>
      </c>
      <c r="H46" s="31"/>
      <c r="I46" s="868">
        <f>$I$54*E46</f>
        <v>480026.64</v>
      </c>
      <c r="J46" s="159"/>
      <c r="K46" s="867">
        <v>1.6500000000000001E-2</v>
      </c>
      <c r="L46" s="865"/>
      <c r="M46" s="32"/>
      <c r="N46" s="30"/>
      <c r="O46" s="868">
        <f>K46*I46</f>
        <v>7920.4395600000007</v>
      </c>
    </row>
    <row r="47" spans="1:15" ht="13.5" thickBot="1" x14ac:dyDescent="0.25">
      <c r="A47" s="290">
        <v>3</v>
      </c>
      <c r="B47" s="159"/>
      <c r="C47" s="290" t="s">
        <v>466</v>
      </c>
      <c r="D47" s="159"/>
      <c r="E47" s="869">
        <f>SUM(E45:E46)</f>
        <v>0.60000000000000009</v>
      </c>
      <c r="F47" s="870"/>
      <c r="G47" s="869"/>
      <c r="H47" s="870"/>
      <c r="I47" s="871">
        <f>SUM(I45:I46)</f>
        <v>7200399.6000000006</v>
      </c>
      <c r="J47" s="159"/>
      <c r="K47" s="872">
        <f>IF(E47=0,0,SUMPRODUCT(E45:E46,K45:K46)/E47)</f>
        <v>2.863333333333333E-2</v>
      </c>
      <c r="L47" s="865"/>
      <c r="M47" s="873"/>
      <c r="N47" s="194"/>
      <c r="O47" s="871">
        <f>SUM(O45:O46)</f>
        <v>206171.44188000003</v>
      </c>
    </row>
    <row r="48" spans="1:15" ht="13.5" thickTop="1" x14ac:dyDescent="0.2">
      <c r="A48" s="290"/>
      <c r="B48" s="159"/>
      <c r="C48" s="159"/>
      <c r="D48" s="159"/>
      <c r="E48" s="874"/>
      <c r="F48" s="875"/>
      <c r="G48" s="874"/>
      <c r="H48" s="875"/>
      <c r="I48" s="876"/>
      <c r="J48" s="159"/>
      <c r="K48" s="877"/>
      <c r="L48" s="865"/>
      <c r="M48" s="194"/>
      <c r="N48" s="194"/>
      <c r="O48" s="876"/>
    </row>
    <row r="49" spans="1:15" x14ac:dyDescent="0.2">
      <c r="A49" s="290"/>
      <c r="B49" s="159"/>
      <c r="C49" s="862" t="s">
        <v>467</v>
      </c>
      <c r="D49" s="159"/>
      <c r="E49" s="874"/>
      <c r="F49" s="875"/>
      <c r="G49" s="874"/>
      <c r="H49" s="875"/>
      <c r="I49" s="876"/>
      <c r="J49" s="159"/>
      <c r="K49" s="877"/>
      <c r="L49" s="865"/>
      <c r="M49" s="194"/>
      <c r="N49" s="194"/>
      <c r="O49" s="876"/>
    </row>
    <row r="50" spans="1:15" x14ac:dyDescent="0.2">
      <c r="A50" s="878">
        <v>4</v>
      </c>
      <c r="B50" s="879"/>
      <c r="C50" s="880" t="s">
        <v>468</v>
      </c>
      <c r="D50" s="879"/>
      <c r="E50" s="881">
        <v>0.4</v>
      </c>
      <c r="F50" s="882"/>
      <c r="G50" s="32"/>
      <c r="H50" s="30"/>
      <c r="I50" s="883">
        <f>$I$54*E50</f>
        <v>4800266.4000000004</v>
      </c>
      <c r="J50" s="879"/>
      <c r="K50" s="881">
        <v>9.1899999999999996E-2</v>
      </c>
      <c r="L50" s="882"/>
      <c r="M50" s="32"/>
      <c r="N50" s="30"/>
      <c r="O50" s="883">
        <f>K50*I50</f>
        <v>441144.48216000001</v>
      </c>
    </row>
    <row r="51" spans="1:15" x14ac:dyDescent="0.2">
      <c r="A51" s="878">
        <v>5</v>
      </c>
      <c r="B51" s="879"/>
      <c r="C51" s="880" t="s">
        <v>469</v>
      </c>
      <c r="D51" s="879"/>
      <c r="E51" s="884">
        <v>0</v>
      </c>
      <c r="F51" s="882"/>
      <c r="G51" s="32"/>
      <c r="H51" s="30"/>
      <c r="I51" s="885">
        <f>$I$31*E51</f>
        <v>0</v>
      </c>
      <c r="J51" s="879"/>
      <c r="K51" s="884">
        <v>0</v>
      </c>
      <c r="L51" s="882"/>
      <c r="M51" s="32"/>
      <c r="N51" s="30"/>
      <c r="O51" s="885">
        <f>K51*I51</f>
        <v>0</v>
      </c>
    </row>
    <row r="52" spans="1:15" ht="13.5" thickBot="1" x14ac:dyDescent="0.25">
      <c r="A52" s="290">
        <v>6</v>
      </c>
      <c r="B52" s="159"/>
      <c r="C52" s="290" t="s">
        <v>470</v>
      </c>
      <c r="D52" s="159"/>
      <c r="E52" s="869">
        <f>SUM(E50:E51)</f>
        <v>0.4</v>
      </c>
      <c r="F52" s="869"/>
      <c r="G52" s="869"/>
      <c r="H52" s="870"/>
      <c r="I52" s="871">
        <f>SUM(I50:I51)</f>
        <v>4800266.4000000004</v>
      </c>
      <c r="J52" s="159"/>
      <c r="K52" s="872">
        <f>IF(E52=0,0,SUMPRODUCT(E50:E51,K50:K51)/E52)</f>
        <v>9.1899999999999996E-2</v>
      </c>
      <c r="L52" s="865"/>
      <c r="M52" s="194"/>
      <c r="N52" s="194"/>
      <c r="O52" s="871">
        <f>SUM(O50:O51)</f>
        <v>441144.48216000001</v>
      </c>
    </row>
    <row r="53" spans="1:15" ht="13.5" thickTop="1" x14ac:dyDescent="0.2">
      <c r="A53" s="290"/>
      <c r="B53" s="159"/>
      <c r="C53" s="159"/>
      <c r="D53" s="159"/>
      <c r="E53" s="159"/>
      <c r="F53" s="159"/>
      <c r="G53" s="159"/>
      <c r="H53" s="159"/>
      <c r="I53" s="876"/>
      <c r="J53" s="159"/>
      <c r="K53" s="877"/>
      <c r="L53" s="877"/>
      <c r="M53" s="194"/>
      <c r="N53" s="194"/>
      <c r="O53" s="876"/>
    </row>
    <row r="54" spans="1:15" ht="13.5" thickBot="1" x14ac:dyDescent="0.25">
      <c r="A54" s="290">
        <v>7</v>
      </c>
      <c r="B54" s="159"/>
      <c r="C54" s="862" t="s">
        <v>295</v>
      </c>
      <c r="D54" s="159"/>
      <c r="E54" s="886">
        <v>1</v>
      </c>
      <c r="F54" s="886"/>
      <c r="G54" s="887"/>
      <c r="H54" s="887"/>
      <c r="I54" s="888">
        <v>12000666</v>
      </c>
      <c r="J54" s="159"/>
      <c r="K54" s="889">
        <f>(K47*E47)+(K52*E52)</f>
        <v>5.3940000000000002E-2</v>
      </c>
      <c r="L54" s="877"/>
      <c r="M54" s="159"/>
      <c r="N54" s="159"/>
      <c r="O54" s="890">
        <f>O47+O52</f>
        <v>647315.92404000007</v>
      </c>
    </row>
    <row r="55" spans="1:15" ht="13.5" thickTop="1" x14ac:dyDescent="0.2"/>
    <row r="57" spans="1:15" x14ac:dyDescent="0.2">
      <c r="A57" s="1957" t="s">
        <v>311</v>
      </c>
      <c r="B57" s="1957"/>
      <c r="C57" s="1957"/>
      <c r="D57" s="1957"/>
      <c r="E57" s="1957"/>
      <c r="F57" s="1957"/>
      <c r="G57" s="1957"/>
      <c r="H57" s="1957"/>
      <c r="I57" s="1957"/>
      <c r="J57" s="1957"/>
      <c r="K57" s="1957"/>
      <c r="L57" s="1957"/>
      <c r="M57" s="1957"/>
      <c r="N57" s="1957"/>
      <c r="O57" s="1957"/>
    </row>
    <row r="58" spans="1:15" x14ac:dyDescent="0.2">
      <c r="A58" s="891" t="s">
        <v>310</v>
      </c>
      <c r="C58" s="1729" t="s">
        <v>471</v>
      </c>
      <c r="D58" s="1729"/>
      <c r="E58" s="1729"/>
      <c r="F58" s="1729"/>
      <c r="G58" s="1729"/>
      <c r="H58" s="1729"/>
      <c r="I58" s="1729"/>
      <c r="J58" s="1729"/>
      <c r="K58" s="1729"/>
      <c r="L58" s="1729"/>
      <c r="M58" s="1729"/>
      <c r="N58" s="1729"/>
      <c r="O58" s="1729"/>
    </row>
    <row r="59" spans="1:15" x14ac:dyDescent="0.2">
      <c r="A59" s="33"/>
      <c r="C59" s="1955"/>
      <c r="D59" s="1955"/>
      <c r="E59" s="1955"/>
      <c r="F59" s="1955"/>
      <c r="G59" s="1955"/>
      <c r="H59" s="1955"/>
      <c r="I59" s="1955"/>
      <c r="J59" s="1955"/>
      <c r="K59" s="1955"/>
      <c r="L59" s="1955"/>
      <c r="M59" s="1955"/>
      <c r="N59" s="1955"/>
      <c r="O59" s="1955"/>
    </row>
    <row r="60" spans="1:15" x14ac:dyDescent="0.2">
      <c r="A60" s="33"/>
      <c r="C60" s="1955"/>
      <c r="D60" s="1955"/>
      <c r="E60" s="1955"/>
      <c r="F60" s="1955"/>
      <c r="G60" s="1955"/>
      <c r="H60" s="1955"/>
      <c r="I60" s="1955"/>
      <c r="J60" s="1955"/>
      <c r="K60" s="1955"/>
      <c r="L60" s="1955"/>
      <c r="M60" s="1955"/>
      <c r="N60" s="1955"/>
      <c r="O60" s="1955"/>
    </row>
    <row r="61" spans="1:15" x14ac:dyDescent="0.2">
      <c r="A61" s="33"/>
      <c r="C61" s="1955"/>
      <c r="D61" s="1955"/>
      <c r="E61" s="1955"/>
      <c r="F61" s="1955"/>
      <c r="G61" s="1955"/>
      <c r="H61" s="1955"/>
      <c r="I61" s="1955"/>
      <c r="J61" s="1955"/>
      <c r="K61" s="1955"/>
      <c r="L61" s="1955"/>
      <c r="M61" s="1955"/>
      <c r="N61" s="1955"/>
      <c r="O61" s="1955"/>
    </row>
    <row r="62" spans="1:15" x14ac:dyDescent="0.2">
      <c r="A62" s="33"/>
      <c r="C62" s="1955"/>
      <c r="D62" s="1955"/>
      <c r="E62" s="1955"/>
      <c r="F62" s="1955"/>
      <c r="G62" s="1955"/>
      <c r="H62" s="1955"/>
      <c r="I62" s="1955"/>
      <c r="J62" s="1955"/>
      <c r="K62" s="1955"/>
      <c r="L62" s="1955"/>
      <c r="M62" s="1955"/>
      <c r="N62" s="1955"/>
      <c r="O62" s="1955"/>
    </row>
    <row r="63" spans="1:15" x14ac:dyDescent="0.2">
      <c r="A63" s="33"/>
      <c r="C63" s="1955"/>
      <c r="D63" s="1955"/>
      <c r="E63" s="1955"/>
      <c r="F63" s="1955"/>
      <c r="G63" s="1955"/>
      <c r="H63" s="1955"/>
      <c r="I63" s="1955"/>
      <c r="J63" s="1955"/>
      <c r="K63" s="1955"/>
      <c r="L63" s="1955"/>
      <c r="M63" s="1955"/>
      <c r="N63" s="1955"/>
      <c r="O63" s="1955"/>
    </row>
    <row r="64" spans="1:15" x14ac:dyDescent="0.2">
      <c r="A64" s="33"/>
      <c r="C64" s="1955"/>
      <c r="D64" s="1955"/>
      <c r="E64" s="1955"/>
      <c r="F64" s="1955"/>
      <c r="G64" s="1955"/>
      <c r="H64" s="1955"/>
      <c r="I64" s="1955"/>
      <c r="J64" s="1955"/>
      <c r="K64" s="1955"/>
      <c r="L64" s="1955"/>
      <c r="M64" s="1955"/>
      <c r="N64" s="1955"/>
      <c r="O64" s="1955"/>
    </row>
  </sheetData>
  <mergeCells count="17">
    <mergeCell ref="C64:O64"/>
    <mergeCell ref="A13:O13"/>
    <mergeCell ref="C58:O58"/>
    <mergeCell ref="C59:O59"/>
    <mergeCell ref="C60:O60"/>
    <mergeCell ref="C61:O61"/>
    <mergeCell ref="C62:O62"/>
    <mergeCell ref="C63:O63"/>
    <mergeCell ref="A57:O57"/>
    <mergeCell ref="H38:J38"/>
    <mergeCell ref="A40:A41"/>
    <mergeCell ref="E41:I41"/>
    <mergeCell ref="C10:O10"/>
    <mergeCell ref="C11:O11"/>
    <mergeCell ref="A17:A18"/>
    <mergeCell ref="E18:I18"/>
    <mergeCell ref="H15:J15"/>
  </mergeCells>
  <dataValidations count="1">
    <dataValidation allowBlank="1" showInputMessage="1" showErrorMessage="1" promptTitle="Date Format" prompt="E.g:  &quot;August 1, 2011&quot;" sqref="O7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O65540 JK65540 TG65540 ADC65540 AMY65540 AWU65540 BGQ65540 BQM65540 CAI65540 CKE65540 CUA65540 DDW65540 DNS65540 DXO65540 EHK65540 ERG65540 FBC65540 FKY65540 FUU65540 GEQ65540 GOM65540 GYI65540 HIE65540 HSA65540 IBW65540 ILS65540 IVO65540 JFK65540 JPG65540 JZC65540 KIY65540 KSU65540 LCQ65540 LMM65540 LWI65540 MGE65540 MQA65540 MZW65540 NJS65540 NTO65540 ODK65540 ONG65540 OXC65540 PGY65540 PQU65540 QAQ65540 QKM65540 QUI65540 REE65540 ROA65540 RXW65540 SHS65540 SRO65540 TBK65540 TLG65540 TVC65540 UEY65540 UOU65540 UYQ65540 VIM65540 VSI65540 WCE65540 WMA65540 WVW65540 O131076 JK131076 TG131076 ADC131076 AMY131076 AWU131076 BGQ131076 BQM131076 CAI131076 CKE131076 CUA131076 DDW131076 DNS131076 DXO131076 EHK131076 ERG131076 FBC131076 FKY131076 FUU131076 GEQ131076 GOM131076 GYI131076 HIE131076 HSA131076 IBW131076 ILS131076 IVO131076 JFK131076 JPG131076 JZC131076 KIY131076 KSU131076 LCQ131076 LMM131076 LWI131076 MGE131076 MQA131076 MZW131076 NJS131076 NTO131076 ODK131076 ONG131076 OXC131076 PGY131076 PQU131076 QAQ131076 QKM131076 QUI131076 REE131076 ROA131076 RXW131076 SHS131076 SRO131076 TBK131076 TLG131076 TVC131076 UEY131076 UOU131076 UYQ131076 VIM131076 VSI131076 WCE131076 WMA131076 WVW131076 O196612 JK196612 TG196612 ADC196612 AMY196612 AWU196612 BGQ196612 BQM196612 CAI196612 CKE196612 CUA196612 DDW196612 DNS196612 DXO196612 EHK196612 ERG196612 FBC196612 FKY196612 FUU196612 GEQ196612 GOM196612 GYI196612 HIE196612 HSA196612 IBW196612 ILS196612 IVO196612 JFK196612 JPG196612 JZC196612 KIY196612 KSU196612 LCQ196612 LMM196612 LWI196612 MGE196612 MQA196612 MZW196612 NJS196612 NTO196612 ODK196612 ONG196612 OXC196612 PGY196612 PQU196612 QAQ196612 QKM196612 QUI196612 REE196612 ROA196612 RXW196612 SHS196612 SRO196612 TBK196612 TLG196612 TVC196612 UEY196612 UOU196612 UYQ196612 VIM196612 VSI196612 WCE196612 WMA196612 WVW196612 O262148 JK262148 TG262148 ADC262148 AMY262148 AWU262148 BGQ262148 BQM262148 CAI262148 CKE262148 CUA262148 DDW262148 DNS262148 DXO262148 EHK262148 ERG262148 FBC262148 FKY262148 FUU262148 GEQ262148 GOM262148 GYI262148 HIE262148 HSA262148 IBW262148 ILS262148 IVO262148 JFK262148 JPG262148 JZC262148 KIY262148 KSU262148 LCQ262148 LMM262148 LWI262148 MGE262148 MQA262148 MZW262148 NJS262148 NTO262148 ODK262148 ONG262148 OXC262148 PGY262148 PQU262148 QAQ262148 QKM262148 QUI262148 REE262148 ROA262148 RXW262148 SHS262148 SRO262148 TBK262148 TLG262148 TVC262148 UEY262148 UOU262148 UYQ262148 VIM262148 VSI262148 WCE262148 WMA262148 WVW262148 O327684 JK327684 TG327684 ADC327684 AMY327684 AWU327684 BGQ327684 BQM327684 CAI327684 CKE327684 CUA327684 DDW327684 DNS327684 DXO327684 EHK327684 ERG327684 FBC327684 FKY327684 FUU327684 GEQ327684 GOM327684 GYI327684 HIE327684 HSA327684 IBW327684 ILS327684 IVO327684 JFK327684 JPG327684 JZC327684 KIY327684 KSU327684 LCQ327684 LMM327684 LWI327684 MGE327684 MQA327684 MZW327684 NJS327684 NTO327684 ODK327684 ONG327684 OXC327684 PGY327684 PQU327684 QAQ327684 QKM327684 QUI327684 REE327684 ROA327684 RXW327684 SHS327684 SRO327684 TBK327684 TLG327684 TVC327684 UEY327684 UOU327684 UYQ327684 VIM327684 VSI327684 WCE327684 WMA327684 WVW327684 O393220 JK393220 TG393220 ADC393220 AMY393220 AWU393220 BGQ393220 BQM393220 CAI393220 CKE393220 CUA393220 DDW393220 DNS393220 DXO393220 EHK393220 ERG393220 FBC393220 FKY393220 FUU393220 GEQ393220 GOM393220 GYI393220 HIE393220 HSA393220 IBW393220 ILS393220 IVO393220 JFK393220 JPG393220 JZC393220 KIY393220 KSU393220 LCQ393220 LMM393220 LWI393220 MGE393220 MQA393220 MZW393220 NJS393220 NTO393220 ODK393220 ONG393220 OXC393220 PGY393220 PQU393220 QAQ393220 QKM393220 QUI393220 REE393220 ROA393220 RXW393220 SHS393220 SRO393220 TBK393220 TLG393220 TVC393220 UEY393220 UOU393220 UYQ393220 VIM393220 VSI393220 WCE393220 WMA393220 WVW393220 O458756 JK458756 TG458756 ADC458756 AMY458756 AWU458756 BGQ458756 BQM458756 CAI458756 CKE458756 CUA458756 DDW458756 DNS458756 DXO458756 EHK458756 ERG458756 FBC458756 FKY458756 FUU458756 GEQ458756 GOM458756 GYI458756 HIE458756 HSA458756 IBW458756 ILS458756 IVO458756 JFK458756 JPG458756 JZC458756 KIY458756 KSU458756 LCQ458756 LMM458756 LWI458756 MGE458756 MQA458756 MZW458756 NJS458756 NTO458756 ODK458756 ONG458756 OXC458756 PGY458756 PQU458756 QAQ458756 QKM458756 QUI458756 REE458756 ROA458756 RXW458756 SHS458756 SRO458756 TBK458756 TLG458756 TVC458756 UEY458756 UOU458756 UYQ458756 VIM458756 VSI458756 WCE458756 WMA458756 WVW458756 O524292 JK524292 TG524292 ADC524292 AMY524292 AWU524292 BGQ524292 BQM524292 CAI524292 CKE524292 CUA524292 DDW524292 DNS524292 DXO524292 EHK524292 ERG524292 FBC524292 FKY524292 FUU524292 GEQ524292 GOM524292 GYI524292 HIE524292 HSA524292 IBW524292 ILS524292 IVO524292 JFK524292 JPG524292 JZC524292 KIY524292 KSU524292 LCQ524292 LMM524292 LWI524292 MGE524292 MQA524292 MZW524292 NJS524292 NTO524292 ODK524292 ONG524292 OXC524292 PGY524292 PQU524292 QAQ524292 QKM524292 QUI524292 REE524292 ROA524292 RXW524292 SHS524292 SRO524292 TBK524292 TLG524292 TVC524292 UEY524292 UOU524292 UYQ524292 VIM524292 VSI524292 WCE524292 WMA524292 WVW524292 O589828 JK589828 TG589828 ADC589828 AMY589828 AWU589828 BGQ589828 BQM589828 CAI589828 CKE589828 CUA589828 DDW589828 DNS589828 DXO589828 EHK589828 ERG589828 FBC589828 FKY589828 FUU589828 GEQ589828 GOM589828 GYI589828 HIE589828 HSA589828 IBW589828 ILS589828 IVO589828 JFK589828 JPG589828 JZC589828 KIY589828 KSU589828 LCQ589828 LMM589828 LWI589828 MGE589828 MQA589828 MZW589828 NJS589828 NTO589828 ODK589828 ONG589828 OXC589828 PGY589828 PQU589828 QAQ589828 QKM589828 QUI589828 REE589828 ROA589828 RXW589828 SHS589828 SRO589828 TBK589828 TLG589828 TVC589828 UEY589828 UOU589828 UYQ589828 VIM589828 VSI589828 WCE589828 WMA589828 WVW589828 O655364 JK655364 TG655364 ADC655364 AMY655364 AWU655364 BGQ655364 BQM655364 CAI655364 CKE655364 CUA655364 DDW655364 DNS655364 DXO655364 EHK655364 ERG655364 FBC655364 FKY655364 FUU655364 GEQ655364 GOM655364 GYI655364 HIE655364 HSA655364 IBW655364 ILS655364 IVO655364 JFK655364 JPG655364 JZC655364 KIY655364 KSU655364 LCQ655364 LMM655364 LWI655364 MGE655364 MQA655364 MZW655364 NJS655364 NTO655364 ODK655364 ONG655364 OXC655364 PGY655364 PQU655364 QAQ655364 QKM655364 QUI655364 REE655364 ROA655364 RXW655364 SHS655364 SRO655364 TBK655364 TLG655364 TVC655364 UEY655364 UOU655364 UYQ655364 VIM655364 VSI655364 WCE655364 WMA655364 WVW655364 O720900 JK720900 TG720900 ADC720900 AMY720900 AWU720900 BGQ720900 BQM720900 CAI720900 CKE720900 CUA720900 DDW720900 DNS720900 DXO720900 EHK720900 ERG720900 FBC720900 FKY720900 FUU720900 GEQ720900 GOM720900 GYI720900 HIE720900 HSA720900 IBW720900 ILS720900 IVO720900 JFK720900 JPG720900 JZC720900 KIY720900 KSU720900 LCQ720900 LMM720900 LWI720900 MGE720900 MQA720900 MZW720900 NJS720900 NTO720900 ODK720900 ONG720900 OXC720900 PGY720900 PQU720900 QAQ720900 QKM720900 QUI720900 REE720900 ROA720900 RXW720900 SHS720900 SRO720900 TBK720900 TLG720900 TVC720900 UEY720900 UOU720900 UYQ720900 VIM720900 VSI720900 WCE720900 WMA720900 WVW720900 O786436 JK786436 TG786436 ADC786436 AMY786436 AWU786436 BGQ786436 BQM786436 CAI786436 CKE786436 CUA786436 DDW786436 DNS786436 DXO786436 EHK786436 ERG786436 FBC786436 FKY786436 FUU786436 GEQ786436 GOM786436 GYI786436 HIE786436 HSA786436 IBW786436 ILS786436 IVO786436 JFK786436 JPG786436 JZC786436 KIY786436 KSU786436 LCQ786436 LMM786436 LWI786436 MGE786436 MQA786436 MZW786436 NJS786436 NTO786436 ODK786436 ONG786436 OXC786436 PGY786436 PQU786436 QAQ786436 QKM786436 QUI786436 REE786436 ROA786436 RXW786436 SHS786436 SRO786436 TBK786436 TLG786436 TVC786436 UEY786436 UOU786436 UYQ786436 VIM786436 VSI786436 WCE786436 WMA786436 WVW786436 O851972 JK851972 TG851972 ADC851972 AMY851972 AWU851972 BGQ851972 BQM851972 CAI851972 CKE851972 CUA851972 DDW851972 DNS851972 DXO851972 EHK851972 ERG851972 FBC851972 FKY851972 FUU851972 GEQ851972 GOM851972 GYI851972 HIE851972 HSA851972 IBW851972 ILS851972 IVO851972 JFK851972 JPG851972 JZC851972 KIY851972 KSU851972 LCQ851972 LMM851972 LWI851972 MGE851972 MQA851972 MZW851972 NJS851972 NTO851972 ODK851972 ONG851972 OXC851972 PGY851972 PQU851972 QAQ851972 QKM851972 QUI851972 REE851972 ROA851972 RXW851972 SHS851972 SRO851972 TBK851972 TLG851972 TVC851972 UEY851972 UOU851972 UYQ851972 VIM851972 VSI851972 WCE851972 WMA851972 WVW851972 O917508 JK917508 TG917508 ADC917508 AMY917508 AWU917508 BGQ917508 BQM917508 CAI917508 CKE917508 CUA917508 DDW917508 DNS917508 DXO917508 EHK917508 ERG917508 FBC917508 FKY917508 FUU917508 GEQ917508 GOM917508 GYI917508 HIE917508 HSA917508 IBW917508 ILS917508 IVO917508 JFK917508 JPG917508 JZC917508 KIY917508 KSU917508 LCQ917508 LMM917508 LWI917508 MGE917508 MQA917508 MZW917508 NJS917508 NTO917508 ODK917508 ONG917508 OXC917508 PGY917508 PQU917508 QAQ917508 QKM917508 QUI917508 REE917508 ROA917508 RXW917508 SHS917508 SRO917508 TBK917508 TLG917508 TVC917508 UEY917508 UOU917508 UYQ917508 VIM917508 VSI917508 WCE917508 WMA917508 WVW917508 O983044 JK983044 TG983044 ADC983044 AMY983044 AWU983044 BGQ983044 BQM983044 CAI983044 CKE983044 CUA983044 DDW983044 DNS983044 DXO983044 EHK983044 ERG983044 FBC983044 FKY983044 FUU983044 GEQ983044 GOM983044 GYI983044 HIE983044 HSA983044 IBW983044 ILS983044 IVO983044 JFK983044 JPG983044 JZC983044 KIY983044 KSU983044 LCQ983044 LMM983044 LWI983044 MGE983044 MQA983044 MZW983044 NJS983044 NTO983044 ODK983044 ONG983044 OXC983044 PGY983044 PQU983044 QAQ983044 QKM983044 QUI983044 REE983044 ROA983044 RXW983044 SHS983044 SRO983044 TBK983044 TLG983044 TVC983044 UEY983044 UOU983044 UYQ983044 VIM983044 VSI983044 WCE983044 WMA983044 WVW983044"/>
  </dataValidations>
  <pageMargins left="0.75" right="0.75" top="1" bottom="1" header="0.5" footer="0.5"/>
  <pageSetup scale="8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5" tint="0.39997558519241921"/>
    <pageSetUpPr autoPageBreaks="0" fitToPage="1"/>
  </sheetPr>
  <dimension ref="A1:O68"/>
  <sheetViews>
    <sheetView showGridLines="0" zoomScaleNormal="100" workbookViewId="0">
      <selection activeCell="D4" sqref="D4"/>
    </sheetView>
  </sheetViews>
  <sheetFormatPr defaultRowHeight="12.75" x14ac:dyDescent="0.2"/>
  <cols>
    <col min="1" max="1" width="5.85546875" style="43" bestFit="1" customWidth="1"/>
    <col min="2" max="2" width="35.140625" style="43" customWidth="1"/>
    <col min="3" max="3" width="17.140625" style="43" customWidth="1"/>
    <col min="4" max="4" width="15.42578125" style="43" bestFit="1" customWidth="1"/>
    <col min="5" max="5" width="14" style="43" customWidth="1"/>
    <col min="6" max="6" width="12.28515625" style="43" customWidth="1"/>
    <col min="7" max="7" width="8.42578125" style="43" customWidth="1"/>
    <col min="8" max="8" width="13.140625" style="43" customWidth="1"/>
    <col min="9" max="9" width="9.85546875" style="43" customWidth="1"/>
    <col min="10" max="10" width="15.42578125" style="43" customWidth="1"/>
    <col min="11" max="11" width="18.140625" style="43" customWidth="1"/>
    <col min="12" max="12" width="1.42578125" style="43" customWidth="1"/>
    <col min="13" max="13" width="3.5703125" style="43" customWidth="1"/>
    <col min="14" max="14" width="1.7109375" style="43" customWidth="1"/>
    <col min="15" max="15" width="14" style="43" customWidth="1"/>
    <col min="16" max="16" width="2.140625" style="43" customWidth="1"/>
    <col min="17" max="16384" width="9.140625" style="43"/>
  </cols>
  <sheetData>
    <row r="1" spans="1:15" x14ac:dyDescent="0.2">
      <c r="J1" s="892" t="s">
        <v>301</v>
      </c>
      <c r="K1" s="1092" t="str">
        <f>EBNUMBER</f>
        <v>EB-2016-0066</v>
      </c>
    </row>
    <row r="2" spans="1:15" x14ac:dyDescent="0.2">
      <c r="J2" s="892" t="s">
        <v>302</v>
      </c>
      <c r="K2" s="62"/>
    </row>
    <row r="3" spans="1:15" x14ac:dyDescent="0.2">
      <c r="J3" s="892" t="s">
        <v>303</v>
      </c>
      <c r="K3" s="62"/>
    </row>
    <row r="4" spans="1:15" x14ac:dyDescent="0.2">
      <c r="J4" s="892" t="s">
        <v>304</v>
      </c>
      <c r="K4" s="62"/>
    </row>
    <row r="5" spans="1:15" x14ac:dyDescent="0.2">
      <c r="J5" s="892" t="s">
        <v>305</v>
      </c>
      <c r="K5" s="63"/>
    </row>
    <row r="6" spans="1:15" x14ac:dyDescent="0.2">
      <c r="J6" s="893"/>
      <c r="K6" s="61"/>
    </row>
    <row r="7" spans="1:15" x14ac:dyDescent="0.2">
      <c r="J7" s="892" t="s">
        <v>306</v>
      </c>
      <c r="K7" s="63"/>
    </row>
    <row r="10" spans="1:15" ht="18" x14ac:dyDescent="0.25">
      <c r="A10" s="1546" t="s">
        <v>472</v>
      </c>
      <c r="B10" s="1546"/>
      <c r="C10" s="1546"/>
      <c r="D10" s="1546"/>
      <c r="E10" s="1546"/>
      <c r="F10" s="1546"/>
      <c r="G10" s="1546"/>
      <c r="H10" s="1546"/>
      <c r="I10" s="1546"/>
      <c r="J10" s="1546"/>
      <c r="K10" s="1546"/>
      <c r="L10" s="64"/>
      <c r="M10" s="64"/>
      <c r="N10" s="64"/>
      <c r="O10" s="64"/>
    </row>
    <row r="11" spans="1:15" ht="18" x14ac:dyDescent="0.25">
      <c r="A11" s="1546" t="s">
        <v>450</v>
      </c>
      <c r="B11" s="1546"/>
      <c r="C11" s="1546"/>
      <c r="D11" s="1546"/>
      <c r="E11" s="1546"/>
      <c r="F11" s="1546"/>
      <c r="G11" s="1546"/>
      <c r="H11" s="1546"/>
      <c r="I11" s="1546"/>
      <c r="J11" s="1546"/>
      <c r="K11" s="1546"/>
      <c r="L11" s="1546"/>
      <c r="M11" s="1546"/>
      <c r="N11" s="1546"/>
      <c r="O11" s="1546"/>
    </row>
    <row r="12" spans="1:15" ht="9" customHeight="1" x14ac:dyDescent="0.25">
      <c r="L12" s="1042"/>
      <c r="M12" s="1042"/>
      <c r="N12" s="1042"/>
      <c r="O12" s="1042"/>
    </row>
    <row r="13" spans="1:15" ht="28.5" customHeight="1" x14ac:dyDescent="0.25">
      <c r="A13" s="1958" t="s">
        <v>616</v>
      </c>
      <c r="B13" s="1958"/>
      <c r="C13" s="1958"/>
      <c r="D13" s="1958"/>
      <c r="E13" s="1958"/>
      <c r="F13" s="1958"/>
      <c r="G13" s="1958"/>
      <c r="H13" s="1958"/>
      <c r="I13" s="1958"/>
      <c r="J13" s="1958"/>
      <c r="K13" s="1958"/>
      <c r="L13" s="1042"/>
      <c r="M13" s="1042"/>
      <c r="N13" s="1042"/>
      <c r="O13" s="1042"/>
    </row>
    <row r="14" spans="1:15" ht="18" x14ac:dyDescent="0.25">
      <c r="A14" s="1459"/>
      <c r="B14" s="1459"/>
      <c r="C14" s="1459"/>
      <c r="D14" s="1459"/>
      <c r="E14" s="1459"/>
      <c r="F14" s="1459"/>
      <c r="G14" s="1459"/>
      <c r="H14" s="1459"/>
      <c r="I14" s="1459"/>
      <c r="J14" s="1459"/>
      <c r="K14" s="1459"/>
      <c r="L14" s="1456"/>
      <c r="M14" s="1456"/>
      <c r="N14" s="1456"/>
      <c r="O14" s="1456"/>
    </row>
    <row r="15" spans="1:15" ht="18" x14ac:dyDescent="0.25">
      <c r="D15" s="894" t="s">
        <v>15</v>
      </c>
      <c r="E15" s="895">
        <v>2012</v>
      </c>
      <c r="L15" s="1456"/>
      <c r="M15" s="1456"/>
      <c r="N15" s="1456"/>
      <c r="O15" s="1456"/>
    </row>
    <row r="16" spans="1:15" ht="18.75" thickBot="1" x14ac:dyDescent="0.3">
      <c r="L16" s="1456"/>
      <c r="M16" s="1456"/>
      <c r="N16" s="1456"/>
      <c r="O16" s="1456"/>
    </row>
    <row r="17" spans="1:15" ht="25.5" x14ac:dyDescent="0.25">
      <c r="A17" s="896" t="s">
        <v>451</v>
      </c>
      <c r="B17" s="897" t="s">
        <v>235</v>
      </c>
      <c r="C17" s="897" t="s">
        <v>445</v>
      </c>
      <c r="D17" s="898" t="s">
        <v>446</v>
      </c>
      <c r="E17" s="898" t="s">
        <v>447</v>
      </c>
      <c r="F17" s="897" t="s">
        <v>448</v>
      </c>
      <c r="G17" s="899" t="s">
        <v>453</v>
      </c>
      <c r="H17" s="899" t="s">
        <v>452</v>
      </c>
      <c r="I17" s="899" t="s">
        <v>1011</v>
      </c>
      <c r="J17" s="899" t="s">
        <v>1012</v>
      </c>
      <c r="K17" s="900" t="s">
        <v>615</v>
      </c>
      <c r="L17" s="1456"/>
      <c r="M17" s="1456"/>
      <c r="N17" s="1456"/>
      <c r="O17" s="1456"/>
    </row>
    <row r="18" spans="1:15" ht="18" x14ac:dyDescent="0.25">
      <c r="A18" s="901">
        <v>1</v>
      </c>
      <c r="B18" s="1444" t="s">
        <v>1374</v>
      </c>
      <c r="C18" s="1444" t="s">
        <v>1375</v>
      </c>
      <c r="D18" s="895" t="s">
        <v>1376</v>
      </c>
      <c r="E18" s="895" t="s">
        <v>1377</v>
      </c>
      <c r="F18" s="902">
        <v>40724</v>
      </c>
      <c r="G18" s="578">
        <v>1</v>
      </c>
      <c r="H18" s="173">
        <v>5600000</v>
      </c>
      <c r="I18" s="578">
        <v>2.1399999999999999E-2</v>
      </c>
      <c r="J18" s="903">
        <f>H18*I18</f>
        <v>119840</v>
      </c>
      <c r="K18" s="904"/>
      <c r="L18" s="1456"/>
      <c r="M18" s="1456"/>
      <c r="N18" s="1456"/>
      <c r="O18" s="1456"/>
    </row>
    <row r="19" spans="1:15" ht="18" x14ac:dyDescent="0.25">
      <c r="A19" s="901">
        <v>2</v>
      </c>
      <c r="B19" s="1444" t="s">
        <v>1378</v>
      </c>
      <c r="C19" s="1444" t="s">
        <v>1301</v>
      </c>
      <c r="D19" s="895" t="s">
        <v>1379</v>
      </c>
      <c r="E19" s="895" t="s">
        <v>1377</v>
      </c>
      <c r="F19" s="1466" t="s">
        <v>1380</v>
      </c>
      <c r="G19" s="578"/>
      <c r="H19" s="173">
        <v>1900000</v>
      </c>
      <c r="I19" s="578">
        <v>4.41E-2</v>
      </c>
      <c r="J19" s="903">
        <f>H19*I19</f>
        <v>83790</v>
      </c>
      <c r="K19" s="904"/>
      <c r="L19" s="1456"/>
      <c r="M19" s="1456"/>
      <c r="N19" s="1456"/>
      <c r="O19" s="1456"/>
    </row>
    <row r="20" spans="1:15" ht="18.75" thickBot="1" x14ac:dyDescent="0.3">
      <c r="A20" s="905"/>
      <c r="B20" s="906"/>
      <c r="C20" s="907"/>
      <c r="D20" s="907"/>
      <c r="E20" s="907"/>
      <c r="F20" s="906"/>
      <c r="G20" s="907"/>
      <c r="H20" s="907"/>
      <c r="I20" s="907"/>
      <c r="J20" s="906"/>
      <c r="K20" s="904"/>
      <c r="L20" s="1456"/>
      <c r="M20" s="1456"/>
      <c r="N20" s="1456"/>
      <c r="O20" s="1456"/>
    </row>
    <row r="21" spans="1:15" ht="19.5" thickTop="1" thickBot="1" x14ac:dyDescent="0.3">
      <c r="A21" s="908" t="s">
        <v>295</v>
      </c>
      <c r="B21" s="909"/>
      <c r="C21" s="910"/>
      <c r="D21" s="910"/>
      <c r="E21" s="910"/>
      <c r="F21" s="909"/>
      <c r="G21" s="910"/>
      <c r="H21" s="775">
        <f>SUM(H18:H19)</f>
        <v>7500000</v>
      </c>
      <c r="I21" s="910">
        <f>IF(H21=0,"",J21/H21)</f>
        <v>2.7150666666666667E-2</v>
      </c>
      <c r="J21" s="911">
        <f>SUM(J18:J19)</f>
        <v>203630</v>
      </c>
      <c r="K21" s="912"/>
      <c r="L21" s="1456"/>
      <c r="M21" s="1456"/>
      <c r="N21" s="1456"/>
      <c r="O21" s="1456"/>
    </row>
    <row r="22" spans="1:15" ht="18" x14ac:dyDescent="0.25">
      <c r="A22" s="1459"/>
      <c r="B22" s="1459"/>
      <c r="C22" s="1459"/>
      <c r="D22" s="1459"/>
      <c r="E22" s="1459"/>
      <c r="F22" s="1459"/>
      <c r="G22" s="1459"/>
      <c r="H22" s="1459"/>
      <c r="I22" s="1459"/>
      <c r="J22" s="1459"/>
      <c r="K22" s="1459"/>
      <c r="L22" s="1456"/>
      <c r="M22" s="1456"/>
      <c r="N22" s="1456"/>
      <c r="O22" s="1456"/>
    </row>
    <row r="23" spans="1:15" ht="18" x14ac:dyDescent="0.25">
      <c r="D23" s="894" t="s">
        <v>15</v>
      </c>
      <c r="E23" s="895">
        <v>2013</v>
      </c>
      <c r="L23" s="1456"/>
      <c r="M23" s="1456"/>
      <c r="N23" s="1456"/>
      <c r="O23" s="1456"/>
    </row>
    <row r="24" spans="1:15" ht="18.75" thickBot="1" x14ac:dyDescent="0.3">
      <c r="L24" s="1456"/>
      <c r="M24" s="1456"/>
      <c r="N24" s="1456"/>
      <c r="O24" s="1456"/>
    </row>
    <row r="25" spans="1:15" ht="25.5" x14ac:dyDescent="0.25">
      <c r="A25" s="896" t="s">
        <v>451</v>
      </c>
      <c r="B25" s="897" t="s">
        <v>235</v>
      </c>
      <c r="C25" s="897" t="s">
        <v>445</v>
      </c>
      <c r="D25" s="898" t="s">
        <v>446</v>
      </c>
      <c r="E25" s="898" t="s">
        <v>447</v>
      </c>
      <c r="F25" s="897" t="s">
        <v>448</v>
      </c>
      <c r="G25" s="899" t="s">
        <v>453</v>
      </c>
      <c r="H25" s="899" t="s">
        <v>452</v>
      </c>
      <c r="I25" s="899" t="s">
        <v>1011</v>
      </c>
      <c r="J25" s="899" t="s">
        <v>1012</v>
      </c>
      <c r="K25" s="900" t="s">
        <v>615</v>
      </c>
      <c r="L25" s="1456"/>
      <c r="M25" s="1456"/>
      <c r="N25" s="1456"/>
      <c r="O25" s="1456"/>
    </row>
    <row r="26" spans="1:15" ht="18" x14ac:dyDescent="0.25">
      <c r="A26" s="901">
        <v>1</v>
      </c>
      <c r="B26" s="1444" t="s">
        <v>1374</v>
      </c>
      <c r="C26" s="1444" t="s">
        <v>1375</v>
      </c>
      <c r="D26" s="895" t="s">
        <v>1376</v>
      </c>
      <c r="E26" s="895" t="s">
        <v>1377</v>
      </c>
      <c r="F26" s="902">
        <v>41090</v>
      </c>
      <c r="G26" s="578">
        <v>1</v>
      </c>
      <c r="H26" s="173">
        <v>4800000</v>
      </c>
      <c r="I26" s="578">
        <v>0.02</v>
      </c>
      <c r="J26" s="903">
        <f>H26*I26</f>
        <v>96000</v>
      </c>
      <c r="K26" s="904"/>
      <c r="L26" s="1456"/>
      <c r="M26" s="1456"/>
      <c r="N26" s="1456"/>
      <c r="O26" s="1456"/>
    </row>
    <row r="27" spans="1:15" ht="18" x14ac:dyDescent="0.25">
      <c r="A27" s="901">
        <v>2</v>
      </c>
      <c r="B27" s="1444" t="s">
        <v>1378</v>
      </c>
      <c r="C27" s="1444" t="s">
        <v>1301</v>
      </c>
      <c r="D27" s="895" t="s">
        <v>1379</v>
      </c>
      <c r="E27" s="895" t="s">
        <v>1377</v>
      </c>
      <c r="F27" s="1466" t="s">
        <v>1380</v>
      </c>
      <c r="G27" s="578"/>
      <c r="H27" s="173">
        <v>1900000</v>
      </c>
      <c r="I27" s="578">
        <v>7.2499999999999995E-2</v>
      </c>
      <c r="J27" s="903">
        <f>H27*I27</f>
        <v>137750</v>
      </c>
      <c r="K27" s="904"/>
      <c r="L27" s="1456"/>
      <c r="M27" s="1456"/>
      <c r="N27" s="1456"/>
      <c r="O27" s="1456"/>
    </row>
    <row r="28" spans="1:15" ht="18.75" thickBot="1" x14ac:dyDescent="0.3">
      <c r="A28" s="905"/>
      <c r="B28" s="906"/>
      <c r="C28" s="907"/>
      <c r="D28" s="907"/>
      <c r="E28" s="907"/>
      <c r="F28" s="906"/>
      <c r="G28" s="907"/>
      <c r="H28" s="907"/>
      <c r="I28" s="907"/>
      <c r="J28" s="906"/>
      <c r="K28" s="904"/>
      <c r="L28" s="1456"/>
      <c r="M28" s="1456"/>
      <c r="N28" s="1456"/>
      <c r="O28" s="1456"/>
    </row>
    <row r="29" spans="1:15" ht="19.5" thickTop="1" thickBot="1" x14ac:dyDescent="0.3">
      <c r="A29" s="908" t="s">
        <v>295</v>
      </c>
      <c r="B29" s="909"/>
      <c r="C29" s="910"/>
      <c r="D29" s="910"/>
      <c r="E29" s="910"/>
      <c r="F29" s="909"/>
      <c r="G29" s="910"/>
      <c r="H29" s="775">
        <f>SUM(H26:H27)</f>
        <v>6700000</v>
      </c>
      <c r="I29" s="910">
        <f>IF(H29=0,"",J29/H29)</f>
        <v>3.4888059701492537E-2</v>
      </c>
      <c r="J29" s="911">
        <f>SUM(J26:J27)</f>
        <v>233750</v>
      </c>
      <c r="K29" s="912"/>
      <c r="L29" s="1456"/>
      <c r="M29" s="1456"/>
      <c r="N29" s="1456"/>
      <c r="O29" s="1456"/>
    </row>
    <row r="30" spans="1:15" ht="18" x14ac:dyDescent="0.25">
      <c r="A30" s="1459"/>
      <c r="B30" s="1459"/>
      <c r="C30" s="1459"/>
      <c r="D30" s="1459"/>
      <c r="E30" s="1459"/>
      <c r="F30" s="1459"/>
      <c r="G30" s="1459"/>
      <c r="H30" s="1459"/>
      <c r="I30" s="1459"/>
      <c r="J30" s="1459"/>
      <c r="K30" s="1459"/>
      <c r="L30" s="1456"/>
      <c r="M30" s="1456"/>
      <c r="N30" s="1456"/>
      <c r="O30" s="1456"/>
    </row>
    <row r="31" spans="1:15" ht="18" x14ac:dyDescent="0.25">
      <c r="D31" s="894" t="s">
        <v>15</v>
      </c>
      <c r="E31" s="895">
        <v>2014</v>
      </c>
      <c r="L31" s="1456"/>
      <c r="M31" s="1456"/>
      <c r="N31" s="1456"/>
      <c r="O31" s="1456"/>
    </row>
    <row r="32" spans="1:15" ht="18.75" thickBot="1" x14ac:dyDescent="0.3">
      <c r="L32" s="1456"/>
      <c r="M32" s="1456"/>
      <c r="N32" s="1456"/>
      <c r="O32" s="1456"/>
    </row>
    <row r="33" spans="1:15" ht="25.5" x14ac:dyDescent="0.25">
      <c r="A33" s="896" t="s">
        <v>451</v>
      </c>
      <c r="B33" s="897" t="s">
        <v>235</v>
      </c>
      <c r="C33" s="897" t="s">
        <v>445</v>
      </c>
      <c r="D33" s="898" t="s">
        <v>446</v>
      </c>
      <c r="E33" s="898" t="s">
        <v>447</v>
      </c>
      <c r="F33" s="897" t="s">
        <v>448</v>
      </c>
      <c r="G33" s="899" t="s">
        <v>453</v>
      </c>
      <c r="H33" s="899" t="s">
        <v>452</v>
      </c>
      <c r="I33" s="899" t="s">
        <v>1011</v>
      </c>
      <c r="J33" s="899" t="s">
        <v>1012</v>
      </c>
      <c r="K33" s="900" t="s">
        <v>615</v>
      </c>
      <c r="L33" s="1456"/>
      <c r="M33" s="1456"/>
      <c r="N33" s="1456"/>
      <c r="O33" s="1456"/>
    </row>
    <row r="34" spans="1:15" ht="18" x14ac:dyDescent="0.25">
      <c r="A34" s="901">
        <v>1</v>
      </c>
      <c r="B34" s="1444" t="s">
        <v>1374</v>
      </c>
      <c r="C34" s="1444" t="s">
        <v>1375</v>
      </c>
      <c r="D34" s="895" t="s">
        <v>1376</v>
      </c>
      <c r="E34" s="895" t="s">
        <v>1377</v>
      </c>
      <c r="F34" s="902">
        <v>41455</v>
      </c>
      <c r="G34" s="578">
        <v>1</v>
      </c>
      <c r="H34" s="173">
        <v>4800000</v>
      </c>
      <c r="I34" s="578">
        <v>2.0400000000000001E-2</v>
      </c>
      <c r="J34" s="903">
        <f>H34*I34</f>
        <v>97920</v>
      </c>
      <c r="K34" s="904"/>
      <c r="L34" s="1456"/>
      <c r="M34" s="1456"/>
      <c r="N34" s="1456"/>
      <c r="O34" s="1456"/>
    </row>
    <row r="35" spans="1:15" ht="18" x14ac:dyDescent="0.25">
      <c r="A35" s="901">
        <v>2</v>
      </c>
      <c r="B35" s="1444" t="s">
        <v>1374</v>
      </c>
      <c r="C35" s="1444" t="s">
        <v>1375</v>
      </c>
      <c r="D35" s="895" t="s">
        <v>1376</v>
      </c>
      <c r="E35" s="895" t="s">
        <v>1377</v>
      </c>
      <c r="F35" s="902">
        <v>41455</v>
      </c>
      <c r="G35" s="578">
        <v>1</v>
      </c>
      <c r="H35" s="173">
        <v>1100000</v>
      </c>
      <c r="I35" s="578">
        <v>2.0400000000000001E-2</v>
      </c>
      <c r="J35" s="903">
        <f>H35*I35</f>
        <v>22440</v>
      </c>
      <c r="K35" s="904"/>
      <c r="L35" s="1456"/>
      <c r="M35" s="1456"/>
      <c r="N35" s="1456"/>
      <c r="O35" s="1456"/>
    </row>
    <row r="36" spans="1:15" ht="18.75" thickBot="1" x14ac:dyDescent="0.3">
      <c r="A36" s="905"/>
      <c r="B36" s="906"/>
      <c r="C36" s="907"/>
      <c r="D36" s="907"/>
      <c r="E36" s="907"/>
      <c r="F36" s="906"/>
      <c r="G36" s="907"/>
      <c r="H36" s="907"/>
      <c r="I36" s="907"/>
      <c r="J36" s="906"/>
      <c r="K36" s="904"/>
      <c r="L36" s="1456"/>
      <c r="M36" s="1456"/>
      <c r="N36" s="1456"/>
      <c r="O36" s="1456"/>
    </row>
    <row r="37" spans="1:15" ht="19.5" thickTop="1" thickBot="1" x14ac:dyDescent="0.3">
      <c r="A37" s="908" t="s">
        <v>295</v>
      </c>
      <c r="B37" s="909"/>
      <c r="C37" s="910"/>
      <c r="D37" s="910"/>
      <c r="E37" s="910"/>
      <c r="F37" s="909"/>
      <c r="G37" s="910"/>
      <c r="H37" s="775">
        <f>SUM(H34:H35)</f>
        <v>5900000</v>
      </c>
      <c r="I37" s="910">
        <f>IF(H37=0,"",J37/H37)</f>
        <v>2.0400000000000001E-2</v>
      </c>
      <c r="J37" s="911">
        <f>SUM(J34:J35)</f>
        <v>120360</v>
      </c>
      <c r="K37" s="912"/>
      <c r="L37" s="1456"/>
      <c r="M37" s="1456"/>
      <c r="N37" s="1456"/>
      <c r="O37" s="1456"/>
    </row>
    <row r="38" spans="1:15" ht="18" x14ac:dyDescent="0.25">
      <c r="A38" s="1459"/>
      <c r="B38" s="1459"/>
      <c r="C38" s="1459"/>
      <c r="D38" s="1459"/>
      <c r="E38" s="1459"/>
      <c r="F38" s="1459"/>
      <c r="G38" s="1459"/>
      <c r="H38" s="1459"/>
      <c r="I38" s="1459"/>
      <c r="J38" s="1459"/>
      <c r="K38" s="1459"/>
      <c r="L38" s="1456"/>
      <c r="M38" s="1456"/>
      <c r="N38" s="1456"/>
      <c r="O38" s="1456"/>
    </row>
    <row r="39" spans="1:15" ht="18" x14ac:dyDescent="0.25">
      <c r="D39" s="894" t="s">
        <v>15</v>
      </c>
      <c r="E39" s="895">
        <v>2015</v>
      </c>
      <c r="L39" s="1456"/>
      <c r="M39" s="1456"/>
      <c r="N39" s="1456"/>
      <c r="O39" s="1456"/>
    </row>
    <row r="40" spans="1:15" ht="18.75" thickBot="1" x14ac:dyDescent="0.3">
      <c r="L40" s="1456"/>
      <c r="M40" s="1456"/>
      <c r="N40" s="1456"/>
      <c r="O40" s="1456"/>
    </row>
    <row r="41" spans="1:15" ht="25.5" x14ac:dyDescent="0.25">
      <c r="A41" s="896" t="s">
        <v>451</v>
      </c>
      <c r="B41" s="897" t="s">
        <v>235</v>
      </c>
      <c r="C41" s="897" t="s">
        <v>445</v>
      </c>
      <c r="D41" s="898" t="s">
        <v>446</v>
      </c>
      <c r="E41" s="898" t="s">
        <v>447</v>
      </c>
      <c r="F41" s="897" t="s">
        <v>448</v>
      </c>
      <c r="G41" s="899" t="s">
        <v>453</v>
      </c>
      <c r="H41" s="899" t="s">
        <v>452</v>
      </c>
      <c r="I41" s="899" t="s">
        <v>1011</v>
      </c>
      <c r="J41" s="899" t="s">
        <v>1012</v>
      </c>
      <c r="K41" s="900" t="s">
        <v>615</v>
      </c>
      <c r="L41" s="1456"/>
      <c r="M41" s="1456"/>
      <c r="N41" s="1456"/>
      <c r="O41" s="1456"/>
    </row>
    <row r="42" spans="1:15" ht="18" x14ac:dyDescent="0.25">
      <c r="A42" s="901">
        <v>1</v>
      </c>
      <c r="B42" s="1444" t="s">
        <v>1374</v>
      </c>
      <c r="C42" s="1444" t="s">
        <v>1375</v>
      </c>
      <c r="D42" s="895" t="s">
        <v>1376</v>
      </c>
      <c r="E42" s="895" t="s">
        <v>1377</v>
      </c>
      <c r="F42" s="902">
        <v>41820</v>
      </c>
      <c r="G42" s="578">
        <v>1</v>
      </c>
      <c r="H42" s="173">
        <v>4800000</v>
      </c>
      <c r="I42" s="578">
        <v>1.5900000000000001E-2</v>
      </c>
      <c r="J42" s="903">
        <f>H42*I42</f>
        <v>76320</v>
      </c>
      <c r="K42" s="904"/>
      <c r="L42" s="1456"/>
      <c r="M42" s="1456"/>
      <c r="N42" s="1456"/>
      <c r="O42" s="1456"/>
    </row>
    <row r="43" spans="1:15" ht="18" x14ac:dyDescent="0.25">
      <c r="A43" s="901">
        <v>2</v>
      </c>
      <c r="B43" s="1444" t="s">
        <v>1374</v>
      </c>
      <c r="C43" s="1444" t="s">
        <v>1375</v>
      </c>
      <c r="D43" s="895" t="s">
        <v>1376</v>
      </c>
      <c r="E43" s="895" t="s">
        <v>1377</v>
      </c>
      <c r="F43" s="902">
        <v>41820</v>
      </c>
      <c r="G43" s="578">
        <v>1</v>
      </c>
      <c r="H43" s="173">
        <v>300000</v>
      </c>
      <c r="I43" s="578">
        <v>1.5900000000000001E-2</v>
      </c>
      <c r="J43" s="903">
        <f>H43*I43</f>
        <v>4770</v>
      </c>
      <c r="K43" s="904"/>
      <c r="L43" s="1456"/>
      <c r="M43" s="1456"/>
      <c r="N43" s="1456"/>
      <c r="O43" s="1456"/>
    </row>
    <row r="44" spans="1:15" ht="18.75" thickBot="1" x14ac:dyDescent="0.3">
      <c r="A44" s="905"/>
      <c r="B44" s="906"/>
      <c r="C44" s="907"/>
      <c r="D44" s="907"/>
      <c r="E44" s="907"/>
      <c r="F44" s="906"/>
      <c r="G44" s="907"/>
      <c r="H44" s="907"/>
      <c r="I44" s="907"/>
      <c r="J44" s="906"/>
      <c r="K44" s="904"/>
      <c r="L44" s="1456"/>
      <c r="M44" s="1456"/>
      <c r="N44" s="1456"/>
      <c r="O44" s="1456"/>
    </row>
    <row r="45" spans="1:15" ht="19.5" thickTop="1" thickBot="1" x14ac:dyDescent="0.3">
      <c r="A45" s="908" t="s">
        <v>295</v>
      </c>
      <c r="B45" s="909"/>
      <c r="C45" s="910"/>
      <c r="D45" s="910"/>
      <c r="E45" s="910"/>
      <c r="F45" s="909"/>
      <c r="G45" s="910"/>
      <c r="H45" s="775">
        <f>SUM(H42:H43)</f>
        <v>5100000</v>
      </c>
      <c r="I45" s="910">
        <f>IF(H45=0,"",J45/H45)</f>
        <v>1.5900000000000001E-2</v>
      </c>
      <c r="J45" s="911">
        <f>SUM(J42:J43)</f>
        <v>81090</v>
      </c>
      <c r="K45" s="912"/>
      <c r="L45" s="1456"/>
      <c r="M45" s="1456"/>
      <c r="N45" s="1456"/>
      <c r="O45" s="1456"/>
    </row>
    <row r="46" spans="1:15" ht="18" x14ac:dyDescent="0.25">
      <c r="A46" s="1459"/>
      <c r="B46" s="1459"/>
      <c r="C46" s="1459"/>
      <c r="D46" s="1459"/>
      <c r="E46" s="1459"/>
      <c r="F46" s="1459"/>
      <c r="G46" s="1459"/>
      <c r="H46" s="1459"/>
      <c r="I46" s="1459"/>
      <c r="J46" s="1459"/>
      <c r="K46" s="1459"/>
      <c r="L46" s="1456"/>
      <c r="M46" s="1456"/>
      <c r="N46" s="1456"/>
      <c r="O46" s="1456"/>
    </row>
    <row r="47" spans="1:15" ht="18" x14ac:dyDescent="0.25">
      <c r="D47" s="894" t="s">
        <v>15</v>
      </c>
      <c r="E47" s="895">
        <v>2016</v>
      </c>
      <c r="L47" s="1456"/>
      <c r="M47" s="1456"/>
      <c r="N47" s="1456"/>
      <c r="O47" s="1456"/>
    </row>
    <row r="48" spans="1:15" ht="18.75" thickBot="1" x14ac:dyDescent="0.3">
      <c r="L48" s="1456"/>
      <c r="M48" s="1456"/>
      <c r="N48" s="1456"/>
      <c r="O48" s="1456"/>
    </row>
    <row r="49" spans="1:15" ht="25.5" x14ac:dyDescent="0.25">
      <c r="A49" s="896" t="s">
        <v>451</v>
      </c>
      <c r="B49" s="897" t="s">
        <v>235</v>
      </c>
      <c r="C49" s="897" t="s">
        <v>445</v>
      </c>
      <c r="D49" s="898" t="s">
        <v>446</v>
      </c>
      <c r="E49" s="898" t="s">
        <v>447</v>
      </c>
      <c r="F49" s="897" t="s">
        <v>448</v>
      </c>
      <c r="G49" s="899" t="s">
        <v>453</v>
      </c>
      <c r="H49" s="899" t="s">
        <v>452</v>
      </c>
      <c r="I49" s="899" t="s">
        <v>1011</v>
      </c>
      <c r="J49" s="899" t="s">
        <v>1012</v>
      </c>
      <c r="K49" s="900" t="s">
        <v>615</v>
      </c>
      <c r="L49" s="1456"/>
      <c r="M49" s="1456"/>
      <c r="N49" s="1456"/>
      <c r="O49" s="1456"/>
    </row>
    <row r="50" spans="1:15" ht="18" x14ac:dyDescent="0.25">
      <c r="A50" s="901">
        <v>1</v>
      </c>
      <c r="B50" s="1444" t="s">
        <v>1374</v>
      </c>
      <c r="C50" s="1444" t="s">
        <v>1375</v>
      </c>
      <c r="D50" s="895" t="s">
        <v>1376</v>
      </c>
      <c r="E50" s="895" t="s">
        <v>1377</v>
      </c>
      <c r="F50" s="902">
        <v>42185</v>
      </c>
      <c r="G50" s="578">
        <v>1</v>
      </c>
      <c r="H50" s="173">
        <v>4300000</v>
      </c>
      <c r="I50" s="578">
        <v>2.9499999999999998E-2</v>
      </c>
      <c r="J50" s="903">
        <f>H50*I50</f>
        <v>126850</v>
      </c>
      <c r="K50" s="904"/>
      <c r="L50" s="1456"/>
      <c r="M50" s="1456"/>
      <c r="N50" s="1456"/>
      <c r="O50" s="1456"/>
    </row>
    <row r="51" spans="1:15" ht="18" x14ac:dyDescent="0.25">
      <c r="A51" s="901">
        <v>2</v>
      </c>
      <c r="B51" s="578"/>
      <c r="C51" s="578"/>
      <c r="D51" s="895"/>
      <c r="E51" s="895"/>
      <c r="F51" s="902"/>
      <c r="G51" s="578"/>
      <c r="H51" s="173"/>
      <c r="I51" s="578"/>
      <c r="J51" s="903">
        <f>H51*I51</f>
        <v>0</v>
      </c>
      <c r="K51" s="904"/>
      <c r="L51" s="1456"/>
      <c r="M51" s="1456"/>
      <c r="N51" s="1456"/>
      <c r="O51" s="1456"/>
    </row>
    <row r="52" spans="1:15" ht="18.75" thickBot="1" x14ac:dyDescent="0.3">
      <c r="A52" s="905"/>
      <c r="B52" s="906"/>
      <c r="C52" s="907"/>
      <c r="D52" s="907"/>
      <c r="E52" s="907"/>
      <c r="F52" s="906"/>
      <c r="G52" s="907"/>
      <c r="H52" s="907"/>
      <c r="I52" s="907"/>
      <c r="J52" s="906"/>
      <c r="K52" s="904"/>
      <c r="L52" s="1456"/>
      <c r="M52" s="1456"/>
      <c r="N52" s="1456"/>
      <c r="O52" s="1456"/>
    </row>
    <row r="53" spans="1:15" ht="19.5" thickTop="1" thickBot="1" x14ac:dyDescent="0.3">
      <c r="A53" s="908" t="s">
        <v>295</v>
      </c>
      <c r="B53" s="909"/>
      <c r="C53" s="910"/>
      <c r="D53" s="910"/>
      <c r="E53" s="910"/>
      <c r="F53" s="909"/>
      <c r="G53" s="910"/>
      <c r="H53" s="775">
        <f>SUM(H50:H51)</f>
        <v>4300000</v>
      </c>
      <c r="I53" s="910">
        <f>IF(H53=0,"",J53/H53)</f>
        <v>2.9499999999999998E-2</v>
      </c>
      <c r="J53" s="911">
        <f>SUM(J50:J51)</f>
        <v>126850</v>
      </c>
      <c r="K53" s="912"/>
      <c r="L53" s="1456"/>
      <c r="M53" s="1456"/>
      <c r="N53" s="1456"/>
      <c r="O53" s="1456"/>
    </row>
    <row r="54" spans="1:15" ht="18" x14ac:dyDescent="0.25">
      <c r="A54" s="1459"/>
      <c r="B54" s="1459"/>
      <c r="C54" s="1459"/>
      <c r="D54" s="1459"/>
      <c r="E54" s="1459"/>
      <c r="F54" s="1459"/>
      <c r="G54" s="1459"/>
      <c r="H54" s="1459"/>
      <c r="I54" s="1459"/>
      <c r="J54" s="1459"/>
      <c r="K54" s="1459"/>
      <c r="L54" s="1456"/>
      <c r="M54" s="1456"/>
      <c r="N54" s="1456"/>
      <c r="O54" s="1456"/>
    </row>
    <row r="55" spans="1:15" ht="15.75" x14ac:dyDescent="0.2">
      <c r="D55" s="894" t="s">
        <v>15</v>
      </c>
      <c r="E55" s="895">
        <v>2017</v>
      </c>
    </row>
    <row r="56" spans="1:15" ht="16.5" customHeight="1" thickBot="1" x14ac:dyDescent="0.25"/>
    <row r="57" spans="1:15" ht="25.5" x14ac:dyDescent="0.2">
      <c r="A57" s="896" t="s">
        <v>451</v>
      </c>
      <c r="B57" s="897" t="s">
        <v>235</v>
      </c>
      <c r="C57" s="897" t="s">
        <v>445</v>
      </c>
      <c r="D57" s="898" t="s">
        <v>446</v>
      </c>
      <c r="E57" s="898" t="s">
        <v>447</v>
      </c>
      <c r="F57" s="897" t="s">
        <v>448</v>
      </c>
      <c r="G57" s="899" t="s">
        <v>453</v>
      </c>
      <c r="H57" s="899" t="s">
        <v>452</v>
      </c>
      <c r="I57" s="899" t="s">
        <v>1011</v>
      </c>
      <c r="J57" s="899" t="s">
        <v>1012</v>
      </c>
      <c r="K57" s="900" t="s">
        <v>615</v>
      </c>
    </row>
    <row r="58" spans="1:15" x14ac:dyDescent="0.2">
      <c r="A58" s="901">
        <v>1</v>
      </c>
      <c r="B58" s="1444" t="s">
        <v>1374</v>
      </c>
      <c r="C58" s="1444" t="s">
        <v>1375</v>
      </c>
      <c r="D58" s="895" t="s">
        <v>1376</v>
      </c>
      <c r="E58" s="895" t="s">
        <v>1377</v>
      </c>
      <c r="F58" s="902">
        <v>42551</v>
      </c>
      <c r="G58" s="578">
        <v>1</v>
      </c>
      <c r="H58" s="173">
        <v>4300000</v>
      </c>
      <c r="I58" s="578">
        <v>2.9499999999999998E-2</v>
      </c>
      <c r="J58" s="903">
        <f>H58*I58</f>
        <v>126850</v>
      </c>
      <c r="K58" s="904"/>
    </row>
    <row r="59" spans="1:15" x14ac:dyDescent="0.2">
      <c r="A59" s="901">
        <v>2</v>
      </c>
      <c r="B59" s="578"/>
      <c r="C59" s="578"/>
      <c r="D59" s="895"/>
      <c r="E59" s="895"/>
      <c r="F59" s="902"/>
      <c r="G59" s="578"/>
      <c r="H59" s="173"/>
      <c r="I59" s="578"/>
      <c r="J59" s="903">
        <f>H59*I59</f>
        <v>0</v>
      </c>
      <c r="K59" s="904"/>
    </row>
    <row r="60" spans="1:15" ht="13.5" thickBot="1" x14ac:dyDescent="0.25">
      <c r="A60" s="905"/>
      <c r="B60" s="906"/>
      <c r="C60" s="907"/>
      <c r="D60" s="907"/>
      <c r="E60" s="907"/>
      <c r="F60" s="906"/>
      <c r="G60" s="907"/>
      <c r="H60" s="907"/>
      <c r="I60" s="907"/>
      <c r="J60" s="906"/>
      <c r="K60" s="904"/>
    </row>
    <row r="61" spans="1:15" ht="14.25" thickTop="1" thickBot="1" x14ac:dyDescent="0.25">
      <c r="A61" s="908" t="s">
        <v>295</v>
      </c>
      <c r="B61" s="909"/>
      <c r="C61" s="910"/>
      <c r="D61" s="910"/>
      <c r="E61" s="910"/>
      <c r="F61" s="909"/>
      <c r="G61" s="910"/>
      <c r="H61" s="775">
        <f>SUM(H58:H59)</f>
        <v>4300000</v>
      </c>
      <c r="I61" s="910">
        <f>IF(H61=0,"",J61/H61)</f>
        <v>2.9499999999999998E-2</v>
      </c>
      <c r="J61" s="911">
        <f>SUM(J58:J59)</f>
        <v>126850</v>
      </c>
      <c r="K61" s="912"/>
    </row>
    <row r="62" spans="1:15" x14ac:dyDescent="0.2">
      <c r="A62" s="119"/>
      <c r="B62" s="119"/>
      <c r="C62" s="119"/>
      <c r="D62" s="119"/>
      <c r="E62" s="119"/>
      <c r="F62" s="119"/>
      <c r="G62" s="119"/>
      <c r="H62" s="1453"/>
      <c r="I62" s="119"/>
      <c r="J62" s="1465"/>
      <c r="K62" s="119"/>
    </row>
    <row r="66" spans="1:11" x14ac:dyDescent="0.2">
      <c r="A66" s="913">
        <v>1</v>
      </c>
      <c r="B66" s="1754" t="s">
        <v>1013</v>
      </c>
      <c r="C66" s="1754"/>
      <c r="D66" s="1754"/>
      <c r="E66" s="1754"/>
      <c r="F66" s="1754"/>
      <c r="G66" s="1754"/>
      <c r="H66" s="1754"/>
      <c r="I66" s="1754"/>
      <c r="J66" s="1754"/>
      <c r="K66" s="1754"/>
    </row>
    <row r="67" spans="1:11" ht="27" customHeight="1" x14ac:dyDescent="0.2">
      <c r="A67" s="913">
        <v>2</v>
      </c>
      <c r="B67" s="1545" t="s">
        <v>911</v>
      </c>
      <c r="C67" s="1545"/>
      <c r="D67" s="1545"/>
      <c r="E67" s="1545"/>
      <c r="F67" s="1545"/>
      <c r="G67" s="1545"/>
      <c r="H67" s="1545"/>
      <c r="I67" s="1545"/>
      <c r="J67" s="1545"/>
      <c r="K67" s="1545"/>
    </row>
    <row r="68" spans="1:11" x14ac:dyDescent="0.2">
      <c r="A68" s="598">
        <v>3</v>
      </c>
      <c r="B68" s="1800" t="s">
        <v>449</v>
      </c>
      <c r="C68" s="1800"/>
      <c r="D68" s="1800"/>
      <c r="E68" s="1800"/>
      <c r="F68" s="1800"/>
      <c r="G68" s="1800"/>
      <c r="H68" s="1800"/>
      <c r="I68" s="1800"/>
      <c r="J68" s="1800"/>
      <c r="K68" s="1800"/>
    </row>
  </sheetData>
  <mergeCells count="7">
    <mergeCell ref="B68:K68"/>
    <mergeCell ref="A10:K10"/>
    <mergeCell ref="A11:K11"/>
    <mergeCell ref="L11:O11"/>
    <mergeCell ref="A13:K13"/>
    <mergeCell ref="B67:K67"/>
    <mergeCell ref="B66:K66"/>
  </mergeCells>
  <phoneticPr fontId="16" type="noConversion"/>
  <dataValidations count="4">
    <dataValidation allowBlank="1" showInputMessage="1" showErrorMessage="1" promptTitle="Date Format" prompt="E.g:  &quot;August 1, 2011&quot;" sqref="K7"/>
    <dataValidation type="list" allowBlank="1" showInputMessage="1" showErrorMessage="1" sqref="E58:E59 E50:E51 E42:E43 E34:E35 E26:E27 E18:E19">
      <formula1>"Fixed Rate, Variable Rate"</formula1>
    </dataValidation>
    <dataValidation type="list" allowBlank="1" showInputMessage="1" showErrorMessage="1" sqref="D58:D59 D50:D51 D42:D43 D34:D35 D26:D27 D18:D19">
      <formula1>"Affiliated, Third-Party"</formula1>
    </dataValidation>
    <dataValidation type="list" allowBlank="1" showInputMessage="1" showErrorMessage="1" sqref="E55 E47 E39 E31 E23 E15">
      <formula1>"2006,2007,2008,2009,2012,2013, 2014, 2015, 2016, 2017, 2018, 2019, 2020"</formula1>
    </dataValidation>
  </dataValidations>
  <pageMargins left="0.75" right="0.75" top="1" bottom="1" header="0.5" footer="0.5"/>
  <pageSetup scale="55"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6" tint="0.39997558519241921"/>
  </sheetPr>
  <dimension ref="A1:N61"/>
  <sheetViews>
    <sheetView showGridLines="0" zoomScale="85" zoomScaleNormal="85" workbookViewId="0">
      <selection activeCell="A9" sqref="A9:G9"/>
    </sheetView>
  </sheetViews>
  <sheetFormatPr defaultRowHeight="12.75" x14ac:dyDescent="0.2"/>
  <cols>
    <col min="1" max="1" width="21.5703125" style="43" customWidth="1"/>
    <col min="2" max="2" width="17.7109375" style="43" customWidth="1"/>
    <col min="3" max="3" width="22.85546875" style="43" customWidth="1"/>
    <col min="4" max="4" width="21.5703125" style="43" customWidth="1"/>
    <col min="5" max="5" width="21.28515625" style="43" customWidth="1"/>
    <col min="6" max="6" width="21.140625" style="43" customWidth="1"/>
    <col min="7" max="7" width="24.85546875" style="43" customWidth="1"/>
    <col min="8" max="8" width="9.140625" style="43"/>
    <col min="9" max="9" width="17.5703125" style="43" customWidth="1"/>
    <col min="10" max="10" width="9.140625" style="43"/>
    <col min="11" max="11" width="12.28515625" style="43" customWidth="1"/>
    <col min="12" max="12" width="16.140625" style="43" customWidth="1"/>
    <col min="13" max="13" width="9.140625" style="43"/>
    <col min="14" max="14" width="14.85546875" style="43" customWidth="1"/>
    <col min="15" max="16384" width="9.140625" style="43"/>
  </cols>
  <sheetData>
    <row r="1" spans="1:14" x14ac:dyDescent="0.2">
      <c r="F1" s="562" t="s">
        <v>301</v>
      </c>
      <c r="G1" s="61" t="str">
        <f>EBNUMBER</f>
        <v>EB-2016-0066</v>
      </c>
      <c r="L1" s="916"/>
      <c r="M1" s="917"/>
      <c r="N1" s="917"/>
    </row>
    <row r="2" spans="1:14" x14ac:dyDescent="0.2">
      <c r="F2" s="562" t="s">
        <v>302</v>
      </c>
      <c r="G2" s="62"/>
      <c r="L2" s="916"/>
      <c r="M2" s="917"/>
      <c r="N2" s="917"/>
    </row>
    <row r="3" spans="1:14" x14ac:dyDescent="0.2">
      <c r="F3" s="562" t="s">
        <v>303</v>
      </c>
      <c r="G3" s="62"/>
      <c r="L3" s="916"/>
      <c r="M3" s="917"/>
      <c r="N3" s="917"/>
    </row>
    <row r="4" spans="1:14" x14ac:dyDescent="0.2">
      <c r="F4" s="562" t="s">
        <v>304</v>
      </c>
      <c r="G4" s="62"/>
      <c r="L4" s="916"/>
      <c r="M4" s="917"/>
      <c r="N4" s="917"/>
    </row>
    <row r="5" spans="1:14" x14ac:dyDescent="0.2">
      <c r="F5" s="562" t="s">
        <v>305</v>
      </c>
      <c r="G5" s="63"/>
      <c r="L5" s="916"/>
      <c r="M5" s="917"/>
      <c r="N5" s="917"/>
    </row>
    <row r="6" spans="1:14" x14ac:dyDescent="0.2">
      <c r="F6" s="562"/>
      <c r="G6" s="61"/>
      <c r="L6" s="916"/>
      <c r="M6" s="917"/>
      <c r="N6" s="917"/>
    </row>
    <row r="7" spans="1:14" x14ac:dyDescent="0.2">
      <c r="F7" s="562" t="s">
        <v>306</v>
      </c>
      <c r="G7" s="63"/>
      <c r="L7" s="916"/>
      <c r="M7" s="918"/>
      <c r="N7" s="918"/>
    </row>
    <row r="8" spans="1:14" x14ac:dyDescent="0.2">
      <c r="A8" s="83"/>
      <c r="L8" s="60"/>
    </row>
    <row r="9" spans="1:14" ht="18" x14ac:dyDescent="0.25">
      <c r="A9" s="1547" t="s">
        <v>1437</v>
      </c>
      <c r="B9" s="1547"/>
      <c r="C9" s="1547"/>
      <c r="D9" s="1547"/>
      <c r="E9" s="1547"/>
      <c r="F9" s="1547"/>
      <c r="G9" s="1547"/>
      <c r="H9" s="64"/>
      <c r="I9" s="64"/>
      <c r="J9" s="64"/>
      <c r="K9" s="64"/>
      <c r="L9" s="64"/>
    </row>
    <row r="10" spans="1:14" ht="18" x14ac:dyDescent="0.2">
      <c r="A10" s="1547" t="s">
        <v>244</v>
      </c>
      <c r="B10" s="1547"/>
      <c r="C10" s="1547"/>
      <c r="D10" s="1547"/>
      <c r="E10" s="1547"/>
      <c r="F10" s="1547"/>
      <c r="G10" s="1547"/>
      <c r="H10" s="1547"/>
      <c r="I10" s="1547"/>
      <c r="J10" s="1547"/>
      <c r="K10" s="1547"/>
      <c r="L10" s="1547"/>
    </row>
    <row r="11" spans="1:14" ht="18" x14ac:dyDescent="0.2">
      <c r="A11" s="919"/>
      <c r="B11" s="919"/>
      <c r="C11" s="919"/>
      <c r="D11" s="919"/>
      <c r="E11" s="919"/>
      <c r="F11" s="919"/>
      <c r="G11" s="919"/>
      <c r="H11" s="919"/>
      <c r="I11" s="919"/>
      <c r="J11" s="919"/>
      <c r="K11" s="919"/>
      <c r="L11" s="919"/>
    </row>
    <row r="12" spans="1:14" ht="18.75" x14ac:dyDescent="0.2">
      <c r="A12" s="1964" t="s">
        <v>1014</v>
      </c>
      <c r="B12" s="1964"/>
      <c r="C12" s="1964"/>
      <c r="D12" s="1964"/>
      <c r="E12" s="1964"/>
      <c r="F12" s="1964"/>
      <c r="G12" s="1964"/>
      <c r="H12" s="920"/>
      <c r="I12" s="920"/>
      <c r="J12" s="920"/>
      <c r="K12" s="920"/>
      <c r="L12" s="920"/>
    </row>
    <row r="13" spans="1:14" ht="18.75" x14ac:dyDescent="0.2">
      <c r="A13" s="1964" t="s">
        <v>1144</v>
      </c>
      <c r="B13" s="1964"/>
      <c r="C13" s="1964"/>
      <c r="D13" s="1964"/>
      <c r="E13" s="1964"/>
      <c r="F13" s="1964"/>
      <c r="G13" s="1964"/>
      <c r="H13" s="920"/>
      <c r="I13" s="920"/>
      <c r="J13" s="920"/>
      <c r="K13" s="920"/>
      <c r="L13" s="920"/>
    </row>
    <row r="14" spans="1:14" ht="18" x14ac:dyDescent="0.25">
      <c r="A14" s="921"/>
      <c r="B14" s="1042"/>
      <c r="C14" s="1042"/>
      <c r="D14" s="1042"/>
      <c r="E14" s="1042"/>
      <c r="F14" s="1042"/>
      <c r="G14" s="1042"/>
      <c r="H14" s="1042"/>
      <c r="I14" s="1042"/>
      <c r="J14" s="1042"/>
      <c r="K14" s="1042"/>
      <c r="L14" s="1042"/>
    </row>
    <row r="15" spans="1:14" x14ac:dyDescent="0.2">
      <c r="A15" s="60"/>
      <c r="B15" s="60"/>
      <c r="C15" s="60"/>
      <c r="D15" s="83"/>
      <c r="E15" s="83"/>
      <c r="F15" s="83"/>
      <c r="G15" s="422"/>
      <c r="H15" s="422"/>
      <c r="I15" s="422"/>
      <c r="J15" s="422"/>
      <c r="K15" s="422"/>
      <c r="L15" s="422"/>
      <c r="M15" s="83"/>
      <c r="N15" s="83"/>
    </row>
    <row r="16" spans="1:14" ht="24" customHeight="1" x14ac:dyDescent="0.2">
      <c r="A16" s="1959" t="s">
        <v>245</v>
      </c>
      <c r="B16" s="1959"/>
      <c r="C16" s="1960"/>
      <c r="D16" s="1961"/>
      <c r="F16" s="1075"/>
      <c r="G16" s="1075"/>
      <c r="H16" s="422"/>
      <c r="I16" s="83"/>
      <c r="J16" s="83"/>
      <c r="K16" s="83"/>
      <c r="L16" s="83"/>
      <c r="M16" s="83"/>
      <c r="N16" s="83"/>
    </row>
    <row r="17" spans="1:14" x14ac:dyDescent="0.2">
      <c r="A17" s="60"/>
      <c r="B17" s="60"/>
      <c r="C17" s="60"/>
      <c r="D17" s="83"/>
      <c r="E17" s="83"/>
      <c r="F17" s="83"/>
      <c r="G17" s="1075"/>
      <c r="H17" s="422"/>
      <c r="I17" s="83"/>
      <c r="J17" s="83"/>
      <c r="K17" s="83"/>
      <c r="L17" s="83"/>
      <c r="M17" s="83"/>
      <c r="N17" s="83"/>
    </row>
    <row r="18" spans="1:14" x14ac:dyDescent="0.2">
      <c r="A18" s="922" t="s">
        <v>246</v>
      </c>
      <c r="B18" s="922"/>
      <c r="C18" s="922"/>
      <c r="D18" s="102"/>
      <c r="E18" s="102"/>
      <c r="F18" s="102"/>
      <c r="G18" s="1075"/>
      <c r="H18" s="422"/>
      <c r="I18" s="83"/>
      <c r="J18" s="83"/>
      <c r="K18" s="83"/>
      <c r="L18" s="83"/>
      <c r="M18" s="83"/>
      <c r="N18" s="83"/>
    </row>
    <row r="19" spans="1:14" x14ac:dyDescent="0.2">
      <c r="A19" s="102"/>
      <c r="B19" s="102"/>
      <c r="C19" s="102"/>
      <c r="D19" s="102"/>
      <c r="E19" s="102"/>
      <c r="F19" s="102"/>
      <c r="G19" s="102"/>
      <c r="H19" s="422"/>
      <c r="I19" s="83"/>
      <c r="J19" s="83"/>
      <c r="K19" s="83"/>
      <c r="L19" s="83"/>
      <c r="M19" s="83"/>
      <c r="N19" s="83"/>
    </row>
    <row r="20" spans="1:14" x14ac:dyDescent="0.2">
      <c r="A20" s="923" t="s">
        <v>310</v>
      </c>
      <c r="B20" s="923" t="s">
        <v>10</v>
      </c>
      <c r="C20" s="923" t="s">
        <v>34</v>
      </c>
      <c r="D20" s="923" t="s">
        <v>35</v>
      </c>
      <c r="E20" s="923" t="s">
        <v>36</v>
      </c>
      <c r="F20" s="924" t="s">
        <v>37</v>
      </c>
      <c r="G20" s="925"/>
      <c r="H20" s="422"/>
      <c r="I20" s="83"/>
      <c r="J20" s="83"/>
      <c r="K20" s="83"/>
      <c r="L20" s="83"/>
      <c r="M20" s="83"/>
      <c r="N20" s="83"/>
    </row>
    <row r="21" spans="1:14" ht="38.25" x14ac:dyDescent="0.2">
      <c r="A21" s="926" t="s">
        <v>38</v>
      </c>
      <c r="B21" s="1087" t="s">
        <v>247</v>
      </c>
      <c r="C21" s="1087" t="s">
        <v>248</v>
      </c>
      <c r="D21" s="1087" t="s">
        <v>249</v>
      </c>
      <c r="E21" s="1087" t="s">
        <v>250</v>
      </c>
      <c r="F21" s="127" t="s">
        <v>251</v>
      </c>
      <c r="G21" s="925"/>
      <c r="H21" s="422"/>
      <c r="L21" s="83"/>
      <c r="M21" s="83"/>
      <c r="N21" s="83"/>
    </row>
    <row r="22" spans="1:14" ht="25.5" x14ac:dyDescent="0.2">
      <c r="A22" s="927" t="s">
        <v>252</v>
      </c>
      <c r="B22" s="928" t="s">
        <v>309</v>
      </c>
      <c r="C22" s="928" t="s">
        <v>309</v>
      </c>
      <c r="D22" s="928" t="s">
        <v>309</v>
      </c>
      <c r="E22" s="928" t="s">
        <v>309</v>
      </c>
      <c r="F22" s="928"/>
      <c r="G22" s="925"/>
      <c r="H22" s="422"/>
      <c r="I22" s="83"/>
      <c r="J22" s="83"/>
      <c r="K22" s="83"/>
      <c r="L22" s="83"/>
      <c r="M22" s="83"/>
      <c r="N22" s="83"/>
    </row>
    <row r="23" spans="1:14" x14ac:dyDescent="0.2">
      <c r="A23" s="929" t="s">
        <v>39</v>
      </c>
      <c r="B23" s="930"/>
      <c r="C23" s="930"/>
      <c r="D23" s="930"/>
      <c r="E23" s="930"/>
      <c r="F23" s="931">
        <f t="shared" ref="F23:F29" si="0">C23+D23</f>
        <v>0</v>
      </c>
      <c r="G23" s="925"/>
      <c r="H23" s="932"/>
      <c r="I23" s="501"/>
      <c r="J23" s="422"/>
      <c r="K23" s="422"/>
      <c r="L23" s="422"/>
      <c r="M23" s="83"/>
      <c r="N23" s="83"/>
    </row>
    <row r="24" spans="1:14" x14ac:dyDescent="0.2">
      <c r="A24" s="929" t="s">
        <v>253</v>
      </c>
      <c r="B24" s="930"/>
      <c r="C24" s="930"/>
      <c r="D24" s="930"/>
      <c r="E24" s="930"/>
      <c r="F24" s="931">
        <f t="shared" si="0"/>
        <v>0</v>
      </c>
      <c r="G24" s="925"/>
      <c r="H24" s="932"/>
      <c r="I24" s="501"/>
      <c r="J24" s="422"/>
      <c r="K24" s="422"/>
      <c r="L24" s="422"/>
      <c r="M24" s="83"/>
      <c r="N24" s="83"/>
    </row>
    <row r="25" spans="1:14" ht="25.5" x14ac:dyDescent="0.2">
      <c r="A25" s="933" t="s">
        <v>441</v>
      </c>
      <c r="B25" s="930"/>
      <c r="C25" s="930"/>
      <c r="D25" s="930"/>
      <c r="E25" s="930"/>
      <c r="F25" s="931">
        <f t="shared" si="0"/>
        <v>0</v>
      </c>
      <c r="G25" s="925"/>
      <c r="H25" s="83"/>
      <c r="I25" s="83"/>
      <c r="J25" s="83"/>
      <c r="K25" s="83"/>
      <c r="L25" s="83"/>
      <c r="M25" s="83"/>
      <c r="N25" s="83"/>
    </row>
    <row r="26" spans="1:14" ht="27" customHeight="1" x14ac:dyDescent="0.2">
      <c r="A26" s="934" t="s">
        <v>254</v>
      </c>
      <c r="B26" s="930"/>
      <c r="C26" s="930"/>
      <c r="D26" s="930"/>
      <c r="E26" s="930"/>
      <c r="F26" s="931">
        <f t="shared" si="0"/>
        <v>0</v>
      </c>
      <c r="G26" s="925"/>
      <c r="J26" s="83"/>
      <c r="K26" s="83"/>
      <c r="L26" s="83"/>
      <c r="M26" s="83"/>
      <c r="N26" s="83"/>
    </row>
    <row r="27" spans="1:14" ht="25.5" x14ac:dyDescent="0.2">
      <c r="A27" s="934" t="s">
        <v>255</v>
      </c>
      <c r="B27" s="930"/>
      <c r="C27" s="930"/>
      <c r="D27" s="930"/>
      <c r="E27" s="930"/>
      <c r="F27" s="931">
        <f t="shared" si="0"/>
        <v>0</v>
      </c>
      <c r="G27" s="925"/>
      <c r="H27" s="915"/>
      <c r="I27" s="915"/>
      <c r="J27" s="83"/>
      <c r="K27" s="83"/>
      <c r="L27" s="83"/>
      <c r="M27" s="83"/>
      <c r="N27" s="83"/>
    </row>
    <row r="28" spans="1:14" x14ac:dyDescent="0.2">
      <c r="A28" s="929"/>
      <c r="B28" s="930"/>
      <c r="C28" s="930"/>
      <c r="D28" s="930"/>
      <c r="E28" s="930"/>
      <c r="F28" s="931">
        <f t="shared" si="0"/>
        <v>0</v>
      </c>
      <c r="G28" s="925"/>
      <c r="H28" s="935"/>
      <c r="I28" s="935"/>
      <c r="J28" s="83"/>
      <c r="K28" s="83"/>
      <c r="L28" s="83"/>
      <c r="M28" s="83"/>
      <c r="N28" s="83"/>
    </row>
    <row r="29" spans="1:14" x14ac:dyDescent="0.2">
      <c r="A29" s="929"/>
      <c r="B29" s="930"/>
      <c r="C29" s="930"/>
      <c r="D29" s="930"/>
      <c r="E29" s="930"/>
      <c r="F29" s="931">
        <f t="shared" si="0"/>
        <v>0</v>
      </c>
      <c r="G29" s="925"/>
      <c r="H29" s="102"/>
      <c r="I29" s="102"/>
      <c r="J29" s="83"/>
      <c r="K29" s="83"/>
      <c r="L29" s="83"/>
      <c r="M29" s="83"/>
      <c r="N29" s="83"/>
    </row>
    <row r="30" spans="1:14" x14ac:dyDescent="0.2">
      <c r="A30" s="936"/>
      <c r="B30" s="937"/>
      <c r="C30" s="937"/>
      <c r="D30" s="937"/>
      <c r="E30" s="937"/>
      <c r="F30" s="937"/>
      <c r="G30" s="451"/>
    </row>
    <row r="31" spans="1:14" x14ac:dyDescent="0.2">
      <c r="A31" s="924" t="s">
        <v>310</v>
      </c>
      <c r="B31" s="924" t="s">
        <v>40</v>
      </c>
      <c r="C31" s="924" t="s">
        <v>41</v>
      </c>
      <c r="D31" s="924" t="s">
        <v>42</v>
      </c>
      <c r="E31" s="924" t="s">
        <v>43</v>
      </c>
      <c r="F31" s="924" t="s">
        <v>44</v>
      </c>
      <c r="G31" s="925"/>
    </row>
    <row r="32" spans="1:14" ht="63.75" x14ac:dyDescent="0.2">
      <c r="A32" s="938" t="str">
        <f>A21</f>
        <v>Asset Class</v>
      </c>
      <c r="B32" s="127" t="s">
        <v>45</v>
      </c>
      <c r="C32" s="1087" t="s">
        <v>256</v>
      </c>
      <c r="D32" s="127" t="s">
        <v>257</v>
      </c>
      <c r="E32" s="127" t="s">
        <v>258</v>
      </c>
      <c r="F32" s="127" t="s">
        <v>456</v>
      </c>
      <c r="G32" s="939"/>
    </row>
    <row r="33" spans="1:9" ht="25.5" x14ac:dyDescent="0.2">
      <c r="A33" s="940" t="s">
        <v>259</v>
      </c>
      <c r="B33" s="941" t="s">
        <v>46</v>
      </c>
      <c r="C33" s="941" t="s">
        <v>47</v>
      </c>
      <c r="D33" s="941" t="s">
        <v>48</v>
      </c>
      <c r="E33" s="941" t="s">
        <v>48</v>
      </c>
      <c r="F33" s="941" t="s">
        <v>49</v>
      </c>
    </row>
    <row r="34" spans="1:9" x14ac:dyDescent="0.2">
      <c r="A34" s="940" t="s">
        <v>39</v>
      </c>
      <c r="B34" s="942"/>
      <c r="C34" s="942"/>
      <c r="D34" s="943"/>
      <c r="E34" s="943"/>
      <c r="F34" s="944">
        <f>IF(D34=0,0,(C34/B34)*(E34/D34))</f>
        <v>0</v>
      </c>
    </row>
    <row r="35" spans="1:9" x14ac:dyDescent="0.2">
      <c r="A35" s="940" t="s">
        <v>253</v>
      </c>
      <c r="B35" s="942"/>
      <c r="C35" s="942"/>
      <c r="D35" s="943"/>
      <c r="E35" s="943"/>
      <c r="F35" s="944">
        <f>IF(D35=0,0,(C35/B35)*(E35/D35))</f>
        <v>0</v>
      </c>
    </row>
    <row r="36" spans="1:9" ht="25.5" x14ac:dyDescent="0.2">
      <c r="A36" s="940" t="s">
        <v>260</v>
      </c>
      <c r="B36" s="942"/>
      <c r="C36" s="942"/>
      <c r="D36" s="943"/>
      <c r="E36" s="943"/>
      <c r="F36" s="944">
        <f>IF(D36=0,0,(C36/B36)*(E36/D36))</f>
        <v>0</v>
      </c>
    </row>
    <row r="37" spans="1:9" x14ac:dyDescent="0.2">
      <c r="A37" s="945" t="s">
        <v>254</v>
      </c>
      <c r="B37" s="942"/>
      <c r="C37" s="942"/>
      <c r="D37" s="943"/>
      <c r="E37" s="943"/>
      <c r="F37" s="944">
        <f>IF(D37=0,0,(C37/B37)*(E37/D37))</f>
        <v>0</v>
      </c>
    </row>
    <row r="38" spans="1:9" x14ac:dyDescent="0.2">
      <c r="A38" s="945" t="s">
        <v>261</v>
      </c>
      <c r="B38" s="942"/>
      <c r="C38" s="942"/>
      <c r="D38" s="943"/>
      <c r="E38" s="943"/>
      <c r="F38" s="944">
        <f>IF(D38=0,0,(C38/B38)*(E38/D38))</f>
        <v>0</v>
      </c>
      <c r="H38" s="119"/>
    </row>
    <row r="39" spans="1:9" x14ac:dyDescent="0.2">
      <c r="A39" s="936"/>
      <c r="B39" s="937"/>
      <c r="C39" s="937"/>
      <c r="D39" s="937"/>
      <c r="E39" s="937"/>
      <c r="F39" s="937"/>
      <c r="H39" s="119"/>
    </row>
    <row r="40" spans="1:9" ht="22.5" customHeight="1" x14ac:dyDescent="0.2">
      <c r="A40" s="924" t="s">
        <v>310</v>
      </c>
      <c r="B40" s="924" t="s">
        <v>50</v>
      </c>
      <c r="C40" s="924" t="s">
        <v>51</v>
      </c>
      <c r="D40" s="924" t="s">
        <v>52</v>
      </c>
      <c r="E40" s="924" t="s">
        <v>53</v>
      </c>
      <c r="F40" s="923" t="s">
        <v>54</v>
      </c>
      <c r="G40" s="924" t="s">
        <v>194</v>
      </c>
    </row>
    <row r="41" spans="1:9" ht="51" x14ac:dyDescent="0.2">
      <c r="A41" s="946" t="str">
        <f>A32</f>
        <v>Asset Class</v>
      </c>
      <c r="B41" s="127" t="s">
        <v>55</v>
      </c>
      <c r="C41" s="127" t="s">
        <v>56</v>
      </c>
      <c r="D41" s="127" t="s">
        <v>57</v>
      </c>
      <c r="E41" s="127" t="s">
        <v>58</v>
      </c>
      <c r="F41" s="127" t="s">
        <v>59</v>
      </c>
      <c r="G41" s="1087" t="s">
        <v>262</v>
      </c>
    </row>
    <row r="42" spans="1:9" x14ac:dyDescent="0.2">
      <c r="A42" s="947"/>
      <c r="B42" s="948" t="s">
        <v>309</v>
      </c>
      <c r="C42" s="948" t="s">
        <v>309</v>
      </c>
      <c r="D42" s="948" t="s">
        <v>309</v>
      </c>
      <c r="E42" s="948" t="s">
        <v>309</v>
      </c>
      <c r="F42" s="949" t="s">
        <v>309</v>
      </c>
      <c r="G42" s="948" t="s">
        <v>60</v>
      </c>
      <c r="H42" s="950"/>
      <c r="I42" s="451"/>
    </row>
    <row r="43" spans="1:9" x14ac:dyDescent="0.2">
      <c r="A43" s="940" t="s">
        <v>39</v>
      </c>
      <c r="B43" s="951">
        <f>E$54*(F23+B23*E$59)*F34</f>
        <v>0</v>
      </c>
      <c r="C43" s="951">
        <f>(B43-(B$54*C$54*F34*(F23+B23*E57)+B$55*C$55*F34*(F23+B23*E$57)))*E$57/(1-E$57)</f>
        <v>0</v>
      </c>
      <c r="D43" s="952">
        <f>E23*F34</f>
        <v>0</v>
      </c>
      <c r="E43" s="952">
        <f>B23*F34</f>
        <v>0</v>
      </c>
      <c r="F43" s="953">
        <f>SUM(B43:E43)</f>
        <v>0</v>
      </c>
      <c r="G43" s="954">
        <f>IF(E34=0,0,(D43/E34))</f>
        <v>0</v>
      </c>
    </row>
    <row r="44" spans="1:9" x14ac:dyDescent="0.2">
      <c r="A44" s="940" t="s">
        <v>253</v>
      </c>
      <c r="B44" s="951">
        <f>E$54*(F24+B24*E$59)*F35</f>
        <v>0</v>
      </c>
      <c r="C44" s="951">
        <f>(B44-(B$54*C$54*F35*(F24+B24*E58)+B$55*C$55*F35*(F24+B24*E58)))*E$57/(1-E$57)</f>
        <v>0</v>
      </c>
      <c r="D44" s="952">
        <f>E24*F35</f>
        <v>0</v>
      </c>
      <c r="E44" s="952">
        <f>B24*F35</f>
        <v>0</v>
      </c>
      <c r="F44" s="953">
        <f>SUM(B44:E44)</f>
        <v>0</v>
      </c>
      <c r="G44" s="954">
        <f>IF(E35=0,0,(D44/E35))</f>
        <v>0</v>
      </c>
    </row>
    <row r="45" spans="1:9" ht="25.5" x14ac:dyDescent="0.2">
      <c r="A45" s="940" t="s">
        <v>260</v>
      </c>
      <c r="B45" s="951">
        <f>E$54*(F25+B25*E$59)*F36</f>
        <v>0</v>
      </c>
      <c r="C45" s="951">
        <f>(B45-(B$54*C$54*F36*(F25+B25*E59)+B$55*C$55*F36*(F25+B25*E$59)))*E$57/(1-E$57)</f>
        <v>0</v>
      </c>
      <c r="D45" s="952">
        <f>E25*F36</f>
        <v>0</v>
      </c>
      <c r="E45" s="952">
        <f>B25*F36</f>
        <v>0</v>
      </c>
      <c r="F45" s="953">
        <f>SUM(B45:E45)</f>
        <v>0</v>
      </c>
      <c r="G45" s="954">
        <f>IF(E36=0,0,(D45/E36))</f>
        <v>0</v>
      </c>
    </row>
    <row r="46" spans="1:9" x14ac:dyDescent="0.2">
      <c r="A46" s="945" t="s">
        <v>254</v>
      </c>
      <c r="B46" s="951">
        <f>E$54*(F26+B26*E$59)*F37</f>
        <v>0</v>
      </c>
      <c r="C46" s="951">
        <f>(B46-(B$54*C$54*F37*(F26+B26*E60)+B$55*C$55*F37*(F26+B26*E60)))*E$57/(1-E$57)</f>
        <v>0</v>
      </c>
      <c r="D46" s="952">
        <f>E26*F37</f>
        <v>0</v>
      </c>
      <c r="E46" s="952">
        <f>B26*F37</f>
        <v>0</v>
      </c>
      <c r="F46" s="953">
        <f>SUM(B46:E46)</f>
        <v>0</v>
      </c>
      <c r="G46" s="954">
        <f>IF(E37=0,0,(D46/E37))</f>
        <v>0</v>
      </c>
    </row>
    <row r="47" spans="1:9" x14ac:dyDescent="0.2">
      <c r="A47" s="945" t="s">
        <v>261</v>
      </c>
      <c r="B47" s="951">
        <f>E$54*(F27+B27*E$59)*F38</f>
        <v>0</v>
      </c>
      <c r="C47" s="951">
        <f>(B47-(B$54*C$54*F38*(F27+B27*I61)+B$55*C$55*F38*(F27+B27*I61)))*E$57/(1-E$57)</f>
        <v>0</v>
      </c>
      <c r="D47" s="952">
        <f>E27*F38</f>
        <v>0</v>
      </c>
      <c r="E47" s="952">
        <f>B27*F38</f>
        <v>0</v>
      </c>
      <c r="F47" s="953">
        <f>SUM(B47:E47)</f>
        <v>0</v>
      </c>
      <c r="G47" s="954">
        <f>IF(E38=0,0,(D47/E38))</f>
        <v>0</v>
      </c>
    </row>
    <row r="48" spans="1:9" x14ac:dyDescent="0.2">
      <c r="A48" s="940"/>
      <c r="B48" s="952"/>
      <c r="C48" s="951"/>
      <c r="D48" s="952"/>
      <c r="E48" s="952"/>
      <c r="F48" s="953"/>
      <c r="G48" s="955"/>
    </row>
    <row r="49" spans="1:8" ht="24" customHeight="1" x14ac:dyDescent="0.2">
      <c r="A49" s="956" t="s">
        <v>295</v>
      </c>
      <c r="B49" s="957"/>
      <c r="C49" s="958"/>
      <c r="D49" s="957"/>
      <c r="E49" s="957"/>
      <c r="F49" s="959">
        <f>SUM(F43:F47)</f>
        <v>0</v>
      </c>
      <c r="G49" s="960">
        <f>SUM(G43:G47)</f>
        <v>0</v>
      </c>
    </row>
    <row r="50" spans="1:8" ht="13.5" thickBot="1" x14ac:dyDescent="0.25">
      <c r="A50" s="83"/>
      <c r="B50" s="83"/>
      <c r="C50" s="961"/>
      <c r="D50" s="83"/>
      <c r="E50" s="83"/>
      <c r="F50" s="83"/>
      <c r="G50" s="83"/>
      <c r="H50" s="119"/>
    </row>
    <row r="51" spans="1:8" x14ac:dyDescent="0.2">
      <c r="A51" s="962" t="s">
        <v>61</v>
      </c>
      <c r="B51" s="962" t="s">
        <v>62</v>
      </c>
      <c r="C51" s="963" t="s">
        <v>63</v>
      </c>
      <c r="D51" s="962" t="s">
        <v>195</v>
      </c>
      <c r="E51" s="963" t="s">
        <v>64</v>
      </c>
      <c r="G51" s="83"/>
      <c r="H51" s="119"/>
    </row>
    <row r="52" spans="1:8" ht="12.75" customHeight="1" x14ac:dyDescent="0.2">
      <c r="A52" s="964"/>
      <c r="B52" s="965" t="s">
        <v>65</v>
      </c>
      <c r="C52" s="966" t="s">
        <v>307</v>
      </c>
      <c r="D52" s="964"/>
      <c r="E52" s="967"/>
      <c r="G52" s="83"/>
      <c r="H52" s="119"/>
    </row>
    <row r="53" spans="1:8" ht="13.5" thickBot="1" x14ac:dyDescent="0.25">
      <c r="A53" s="968"/>
      <c r="B53" s="969" t="s">
        <v>308</v>
      </c>
      <c r="C53" s="970" t="s">
        <v>308</v>
      </c>
      <c r="D53" s="971"/>
      <c r="E53" s="970" t="s">
        <v>308</v>
      </c>
      <c r="G53" s="83"/>
      <c r="H53" s="119"/>
    </row>
    <row r="54" spans="1:8" x14ac:dyDescent="0.2">
      <c r="A54" s="972" t="s">
        <v>66</v>
      </c>
      <c r="B54" s="973"/>
      <c r="C54" s="973"/>
      <c r="D54" s="1962" t="s">
        <v>67</v>
      </c>
      <c r="E54" s="1967">
        <f>IF(B60=0%,0,SUMPRODUCT(B54:B58,C54:C58)/B60)</f>
        <v>0</v>
      </c>
      <c r="G54" s="83"/>
      <c r="H54" s="119"/>
    </row>
    <row r="55" spans="1:8" ht="13.5" thickBot="1" x14ac:dyDescent="0.25">
      <c r="A55" s="968" t="s">
        <v>68</v>
      </c>
      <c r="B55" s="974"/>
      <c r="C55" s="975"/>
      <c r="D55" s="1963"/>
      <c r="E55" s="1968"/>
      <c r="G55" s="83"/>
      <c r="H55" s="119"/>
    </row>
    <row r="56" spans="1:8" ht="13.5" thickBot="1" x14ac:dyDescent="0.25">
      <c r="A56" s="976"/>
      <c r="B56" s="977"/>
      <c r="C56" s="978"/>
      <c r="D56" s="972"/>
      <c r="E56" s="967"/>
      <c r="G56" s="83"/>
      <c r="H56" s="119"/>
    </row>
    <row r="57" spans="1:8" ht="12.75" customHeight="1" thickBot="1" x14ac:dyDescent="0.25">
      <c r="A57" s="964" t="s">
        <v>69</v>
      </c>
      <c r="B57" s="973"/>
      <c r="C57" s="973"/>
      <c r="D57" s="976" t="s">
        <v>70</v>
      </c>
      <c r="E57" s="979"/>
      <c r="G57" s="83"/>
      <c r="H57" s="119"/>
    </row>
    <row r="58" spans="1:8" ht="13.5" thickBot="1" x14ac:dyDescent="0.25">
      <c r="A58" s="968" t="s">
        <v>71</v>
      </c>
      <c r="B58" s="974"/>
      <c r="C58" s="975"/>
      <c r="D58" s="976"/>
      <c r="E58" s="978"/>
      <c r="G58" s="83"/>
      <c r="H58" s="119"/>
    </row>
    <row r="59" spans="1:8" x14ac:dyDescent="0.2">
      <c r="A59" s="964"/>
      <c r="B59" s="964"/>
      <c r="C59" s="967"/>
      <c r="D59" s="1962" t="s">
        <v>72</v>
      </c>
      <c r="E59" s="1965"/>
      <c r="G59" s="83"/>
    </row>
    <row r="60" spans="1:8" ht="13.5" thickBot="1" x14ac:dyDescent="0.25">
      <c r="A60" s="980" t="s">
        <v>295</v>
      </c>
      <c r="B60" s="981">
        <f>SUM(B54:B58)</f>
        <v>0</v>
      </c>
      <c r="C60" s="982"/>
      <c r="D60" s="1963"/>
      <c r="E60" s="1966"/>
      <c r="G60" s="83"/>
    </row>
    <row r="61" spans="1:8" x14ac:dyDescent="0.2">
      <c r="A61" s="83"/>
      <c r="B61" s="83"/>
      <c r="C61" s="83"/>
      <c r="D61" s="83"/>
      <c r="E61" s="83"/>
      <c r="F61" s="83"/>
      <c r="G61" s="83"/>
    </row>
  </sheetData>
  <sheetProtection password="F8BD" sheet="1" objects="1" scenarios="1"/>
  <mergeCells count="11">
    <mergeCell ref="H10:L10"/>
    <mergeCell ref="A13:G13"/>
    <mergeCell ref="A12:G12"/>
    <mergeCell ref="D59:D60"/>
    <mergeCell ref="E59:E60"/>
    <mergeCell ref="E54:E55"/>
    <mergeCell ref="A9:G9"/>
    <mergeCell ref="A10:G10"/>
    <mergeCell ref="A16:B16"/>
    <mergeCell ref="C16:D16"/>
    <mergeCell ref="D54:D55"/>
  </mergeCells>
  <phoneticPr fontId="0" type="noConversion"/>
  <dataValidations xWindow="95" yWindow="494" count="8">
    <dataValidation operator="lessThanOrEqual" allowBlank="1" showInputMessage="1" showErrorMessage="1" promptTitle="Annual depreciation expense" prompt="Enter annual depreciation expense as a negative amount." sqref="IY36:IY39 SU36:SU39 ACQ36:ACQ39 AMM36:AMM39 AWI36:AWI39 BGE36:BGE39 BQA36:BQA39 BZW36:BZW39 CJS36:CJS39 CTO36:CTO39 DDK36:DDK39 DNG36:DNG39 DXC36:DXC39 EGY36:EGY39 EQU36:EQU39 FAQ36:FAQ39 FKM36:FKM39 FUI36:FUI39 GEE36:GEE39 GOA36:GOA39 GXW36:GXW39 HHS36:HHS39 HRO36:HRO39 IBK36:IBK39 ILG36:ILG39 IVC36:IVC39 JEY36:JEY39 JOU36:JOU39 JYQ36:JYQ39 KIM36:KIM39 KSI36:KSI39 LCE36:LCE39 LMA36:LMA39 LVW36:LVW39 MFS36:MFS39 MPO36:MPO39 MZK36:MZK39 NJG36:NJG39 NTC36:NTC39 OCY36:OCY39 OMU36:OMU39 OWQ36:OWQ39 PGM36:PGM39 PQI36:PQI39 QAE36:QAE39 QKA36:QKA39 QTW36:QTW39 RDS36:RDS39 RNO36:RNO39 RXK36:RXK39 SHG36:SHG39 SRC36:SRC39 TAY36:TAY39 TKU36:TKU39 TUQ36:TUQ39 UEM36:UEM39 UOI36:UOI39 UYE36:UYE39 VIA36:VIA39 VRW36:VRW39 WBS36:WBS39 WLO36:WLO39 WVK36:WVK39"/>
    <dataValidation allowBlank="1" showInputMessage="1" showErrorMessage="1" promptTitle="Name of Embedded Distributor" prompt="Input name of embedded Distributor" sqref="JC26:JC28 SY26:SY28 ACU26:ACU28 AMQ26:AMQ28 AWM26:AWM28 BGI26:BGI28 BQE26:BQE28 CAA26:CAA28 CJW26:CJW28 CTS26:CTS28 DDO26:DDO28 DNK26:DNK28 DXG26:DXG28 EHC26:EHC28 EQY26:EQY28 FAU26:FAU28 FKQ26:FKQ28 FUM26:FUM28 GEI26:GEI28 GOE26:GOE28 GYA26:GYA28 HHW26:HHW28 HRS26:HRS28 IBO26:IBO28 ILK26:ILK28 IVG26:IVG28 JFC26:JFC28 JOY26:JOY28 JYU26:JYU28 KIQ26:KIQ28 KSM26:KSM28 LCI26:LCI28 LME26:LME28 LWA26:LWA28 MFW26:MFW28 MPS26:MPS28 MZO26:MZO28 NJK26:NJK28 NTG26:NTG28 ODC26:ODC28 OMY26:OMY28 OWU26:OWU28 PGQ26:PGQ28 PQM26:PQM28 QAI26:QAI28 QKE26:QKE28 QUA26:QUA28 RDW26:RDW28 RNS26:RNS28 RXO26:RXO28 SHK26:SHK28 SRG26:SRG28 TBC26:TBC28 TKY26:TKY28 TUU26:TUU28 UEQ26:UEQ28 UOM26:UOM28 UYI26:UYI28 VIE26:VIE28 VSA26:VSA28 WBW26:WBW28 WLS26:WLS28 WVO26:WVO28 C16 G17:G18"/>
    <dataValidation allowBlank="1" showInputMessage="1" showErrorMessage="1" promptTitle="Date Format" prompt="E.g:  &quot;August 1, 2011&quot;" sqref="M7:N7 G7"/>
    <dataValidation operator="lessThanOrEqual" allowBlank="1" showErrorMessage="1" promptTitle="Annual depreciation expense" prompt="Enter annual depreciation expense as a negative amount." sqref="IY33:IY35 SU33:SU35 ACQ33:ACQ35 AMM33:AMM35 AWI33:AWI35 BGE33:BGE35 BQA33:BQA35 BZW33:BZW35 CJS33:CJS35 CTO33:CTO35 DDK33:DDK35 DNG33:DNG35 DXC33:DXC35 EGY33:EGY35 EQU33:EQU35 FAQ33:FAQ35 FKM33:FKM35 FUI33:FUI35 GEE33:GEE35 GOA33:GOA35 GXW33:GXW35 HHS33:HHS35 HRO33:HRO35 IBK33:IBK35 ILG33:ILG35 IVC33:IVC35 JEY33:JEY35 JOU33:JOU35 JYQ33:JYQ35 KIM33:KIM35 KSI33:KSI35 LCE33:LCE35 LMA33:LMA35 LVW33:LVW35 MFS33:MFS35 MPO33:MPO35 MZK33:MZK35 NJG33:NJG35 NTC33:NTC35 OCY33:OCY35 OMU33:OMU35 OWQ33:OWQ35 PGM33:PGM35 PQI33:PQI35 QAE33:QAE35 QKA33:QKA35 QTW33:QTW35 RDS33:RDS35 RNO33:RNO35 RXK33:RXK35 SHG33:SHG35 SRC33:SRC35 TAY33:TAY35 TKU33:TKU35 TUQ33:TUQ35 UEM33:UEM35 UOI33:UOI35 UYE33:UYE35 VIA33:VIA35 VRW33:VRW35 WBS33:WBS35 WLO33:WLO35 WVK33:WVK35"/>
    <dataValidation allowBlank="1" showInputMessage="1" showErrorMessage="1" promptTitle="Gross Book Value" prompt="Enter original (Gross Book Value) of assets in dollars ($)" sqref="WVF33:WVF39 IT33:IT39 SP33:SP39 ACL33:ACL39 AMH33:AMH39 AWD33:AWD39 BFZ33:BFZ39 BPV33:BPV39 BZR33:BZR39 CJN33:CJN39 CTJ33:CTJ39 DDF33:DDF39 DNB33:DNB39 DWX33:DWX39 EGT33:EGT39 EQP33:EQP39 FAL33:FAL39 FKH33:FKH39 FUD33:FUD39 GDZ33:GDZ39 GNV33:GNV39 GXR33:GXR39 HHN33:HHN39 HRJ33:HRJ39 IBF33:IBF39 ILB33:ILB39 IUX33:IUX39 JET33:JET39 JOP33:JOP39 JYL33:JYL39 KIH33:KIH39 KSD33:KSD39 LBZ33:LBZ39 LLV33:LLV39 LVR33:LVR39 MFN33:MFN39 MPJ33:MPJ39 MZF33:MZF39 NJB33:NJB39 NSX33:NSX39 OCT33:OCT39 OMP33:OMP39 OWL33:OWL39 PGH33:PGH39 PQD33:PQD39 PZZ33:PZZ39 QJV33:QJV39 QTR33:QTR39 RDN33:RDN39 RNJ33:RNJ39 RXF33:RXF39 SHB33:SHB39 SQX33:SQX39 TAT33:TAT39 TKP33:TKP39 TUL33:TUL39 UEH33:UEH39 UOD33:UOD39 UXZ33:UXZ39 VHV33:VHV39 VRR33:VRR39 WBN33:WBN39 WLJ33:WLJ39 C23:C29"/>
    <dataValidation allowBlank="1" showInputMessage="1" showErrorMessage="1" promptTitle="OM&amp;A expenses" prompt="Enter OM&amp;A expenses in dollars ($)" sqref="WBS18:WBS24 IR33:IR39 SN33:SN39 ACJ33:ACJ39 AMF33:AMF39 AWB33:AWB39 BFX33:BFX39 BPT33:BPT39 BZP33:BZP39 CJL33:CJL39 CTH33:CTH39 DDD33:DDD39 DMZ33:DMZ39 DWV33:DWV39 EGR33:EGR39 EQN33:EQN39 FAJ33:FAJ39 FKF33:FKF39 FUB33:FUB39 GDX33:GDX39 GNT33:GNT39 GXP33:GXP39 HHL33:HHL39 HRH33:HRH39 IBD33:IBD39 IKZ33:IKZ39 IUV33:IUV39 JER33:JER39 JON33:JON39 JYJ33:JYJ39 KIF33:KIF39 KSB33:KSB39 LBX33:LBX39 LLT33:LLT39 LVP33:LVP39 MFL33:MFL39 MPH33:MPH39 MZD33:MZD39 NIZ33:NIZ39 NSV33:NSV39 OCR33:OCR39 OMN33:OMN39 OWJ33:OWJ39 PGF33:PGF39 PQB33:PQB39 PZX33:PZX39 QJT33:QJT39 QTP33:QTP39 RDL33:RDL39 RNH33:RNH39 RXD33:RXD39 SGZ33:SGZ39 SQV33:SQV39 TAR33:TAR39 TKN33:TKN39 TUJ33:TUJ39 UEF33:UEF39 UOB33:UOB39 UXX33:UXX39 VHT33:VHT39 VRP33:VRP39 WBL33:WBL39 WLH33:WLH39 WVD33:WVD39 WLM18:WLM24 WVE18:WVE22 WLI18:WLI22 WBM18:WBM22 VRQ18:VRQ22 VHU18:VHU22 UXY18:UXY22 UOC18:UOC22 UEG18:UEG22 TUK18:TUK22 TKO18:TKO22 TAS18:TAS22 SQW18:SQW22 SHA18:SHA22 RXE18:RXE22 RNI18:RNI22 RDM18:RDM22 QTQ18:QTQ22 QJU18:QJU22 PZY18:PZY22 PQC18:PQC22 PGG18:PGG22 OWK18:OWK22 OMO18:OMO22 OCS18:OCS22 NSW18:NSW22 NJA18:NJA22 MZE18:MZE22 MPI18:MPI22 MFM18:MFM22 LVQ18:LVQ22 LLU18:LLU22 LBY18:LBY22 KSC18:KSC22 KIG18:KIG22 JYK18:JYK22 JOO18:JOO22 JES18:JES22 IUW18:IUW22 ILA18:ILA22 IBE18:IBE22 HRI18:HRI22 HHM18:HHM22 GXQ18:GXQ22 GNU18:GNU22 GDY18:GDY22 FUC18:FUC22 FKG18:FKG22 FAK18:FAK22 EQO18:EQO22 EGS18:EGS22 DWW18:DWW22 DNA18:DNA22 DDE18:DDE22 CTI18:CTI22 CJM18:CJM22 BZQ18:BZQ22 BPU18:BPU22 BFY18:BFY22 AWC18:AWC22 AMG18:AMG22 ACK18:ACK22 SO18:SO22 IS18:IS22 WVG18:WVG22 IU18:IU22 SQ18:SQ22 ACM18:ACM22 AMI18:AMI22 AWE18:AWE22 BGA18:BGA22 BPW18:BPW22 BZS18:BZS22 CJO18:CJO22 CTK18:CTK22 DDG18:DDG22 DNC18:DNC22 DWY18:DWY22 EGU18:EGU22 EQQ18:EQQ22 FAM18:FAM22 FKI18:FKI22 FUE18:FUE22 GEA18:GEA22 GNW18:GNW22 GXS18:GXS22 HHO18:HHO22 HRK18:HRK22 IBG18:IBG22 ILC18:ILC22 IUY18:IUY22 JEU18:JEU22 JOQ18:JOQ22 JYM18:JYM22 KII18:KII22 KSE18:KSE22 LCA18:LCA22 LLW18:LLW22 LVS18:LVS22 MFO18:MFO22 MPK18:MPK22 MZG18:MZG22 NJC18:NJC22 NSY18:NSY22 OCU18:OCU22 OMQ18:OMQ22 OWM18:OWM22 PGI18:PGI22 PQE18:PQE22 QAA18:QAA22 QJW18:QJW22 QTS18:QTS22 RDO18:RDO22 RNK18:RNK22 RXG18:RXG22 SHC18:SHC22 SQY18:SQY22 TAU18:TAU22 TKQ18:TKQ22 TUM18:TUM22 UEI18:UEI22 UOE18:UOE22 UYA18:UYA22 VHW18:VHW22 VRS18:VRS22 WBO18:WBO22 WLK18:WLK22 WLO18:WLO24 WVQ23:WVQ24 WLU23:WLU24 WBY23:WBY24 VSC23:VSC24 VIG23:VIG24 UYK23:UYK24 UOO23:UOO24 UES23:UES24 TUW23:TUW24 TLA23:TLA24 TBE23:TBE24 SRI23:SRI24 SHM23:SHM24 RXQ23:RXQ24 RNU23:RNU24 RDY23:RDY24 QUC23:QUC24 QKG23:QKG24 QAK23:QAK24 PQO23:PQO24 PGS23:PGS24 OWW23:OWW24 ONA23:ONA24 ODE23:ODE24 NTI23:NTI24 NJM23:NJM24 MZQ23:MZQ24 MPU23:MPU24 MFY23:MFY24 LWC23:LWC24 LMG23:LMG24 LCK23:LCK24 KSO23:KSO24 KIS23:KIS24 JYW23:JYW24 JPA23:JPA24 JFE23:JFE24 IVI23:IVI24 ILM23:ILM24 IBQ23:IBQ24 HRU23:HRU24 HHY23:HHY24 GYC23:GYC24 GOG23:GOG24 GEK23:GEK24 FUO23:FUO24 FKS23:FKS24 FAW23:FAW24 ERA23:ERA24 EHE23:EHE24 DXI23:DXI24 DNM23:DNM24 DDQ23:DDQ24 CTU23:CTU24 CJY23:CJY24 CAC23:CAC24 BQG23:BQG24 BGK23:BGK24 AWO23:AWO24 AMS23:AMS24 ACW23:ACW24 TA23:TA24 JE23:JE24 I23:I24 WBQ18:WBQ24 WVI18:WVI24 JC23:JC24 SY23:SY24 ACU23:ACU24 AMQ23:AMQ24 AWM23:AWM24 BGI23:BGI24 BQE23:BQE24 CAA23:CAA24 CJW23:CJW24 CTS23:CTS24 DDO23:DDO24 DNK23:DNK24 DXG23:DXG24 EHC23:EHC24 EQY23:EQY24 FAU23:FAU24 FKQ23:FKQ24 FUM23:FUM24 GEI23:GEI24 GOE23:GOE24 GYA23:GYA24 HHW23:HHW24 HRS23:HRS24 IBO23:IBO24 ILK23:ILK24 IVG23:IVG24 JFC23:JFC24 JOY23:JOY24 JYU23:JYU24 KIQ23:KIQ24 KSM23:KSM24 LCI23:LCI24 LME23:LME24 LWA23:LWA24 MFW23:MFW24 MPS23:MPS24 MZO23:MZO24 NJK23:NJK24 NTG23:NTG24 ODC23:ODC24 OMY23:OMY24 OWU23:OWU24 PGQ23:PGQ24 PQM23:PQM24 QAI23:QAI24 QKE23:QKE24 QUA23:QUA24 RDW23:RDW24 RNS23:RNS24 RXO23:RXO24 SHK23:SHK24 SRG23:SRG24 TBC23:TBC24 TKY23:TKY24 TUU23:TUU24 UEQ23:UEQ24 UOM23:UOM24 UYI23:UYI24 VIE23:VIE24 VSA23:VSA24 WBW23:WBW24 WLS23:WLS24 WVO23:WVO24 JA18:JA24 SW18:SW24 ACS18:ACS24 AMO18:AMO24 AWK18:AWK24 BGG18:BGG24 BQC18:BQC24 BZY18:BZY24 CJU18:CJU24 CTQ18:CTQ24 DDM18:DDM24 DNI18:DNI24 DXE18:DXE24 EHA18:EHA24 EQW18:EQW24 FAS18:FAS24 FKO18:FKO24 FUK18:FUK24 GEG18:GEG24 GOC18:GOC24 GXY18:GXY24 HHU18:HHU24 HRQ18:HRQ24 IBM18:IBM24 ILI18:ILI24 IVE18:IVE24 JFA18:JFA24 JOW18:JOW24 JYS18:JYS24 KIO18:KIO24 KSK18:KSK24 LCG18:LCG24 LMC18:LMC24 LVY18:LVY24 MFU18:MFU24 MPQ18:MPQ24 MZM18:MZM24 NJI18:NJI24 NTE18:NTE24 ODA18:ODA24 OMW18:OMW24 OWS18:OWS24 PGO18:PGO24 PQK18:PQK24 QAG18:QAG24 QKC18:QKC24 QTY18:QTY24 RDU18:RDU24 RNQ18:RNQ24 RXM18:RXM24 SHI18:SHI24 SRE18:SRE24 TBA18:TBA24 TKW18:TKW24 TUS18:TUS24 UEO18:UEO24 UOK18:UOK24 UYG18:UYG24 VIC18:VIC24 VRY18:VRY24 WBU18:WBU24 WLQ18:WLQ24 WVK18:WVK24 WVM18:WVM24 IW18:IW24 IY18:IY24 SS18:SS24 SU18:SU24 ACO18:ACO24 ACQ18:ACQ24 AMK18:AMK24 AMM18:AMM24 AWG18:AWG24 AWI18:AWI24 BGC18:BGC24 BGE18:BGE24 BPY18:BPY24 BQA18:BQA24 BZU18:BZU24 BZW18:BZW24 CJQ18:CJQ24 CJS18:CJS24 CTM18:CTM24 CTO18:CTO24 DDI18:DDI24 DDK18:DDK24 DNE18:DNE24 DNG18:DNG24 DXA18:DXA24 DXC18:DXC24 EGW18:EGW24 EGY18:EGY24 EQS18:EQS24 EQU18:EQU24 FAO18:FAO24 FAQ18:FAQ24 FKK18:FKK24 FKM18:FKM24 FUG18:FUG24 FUI18:FUI24 GEC18:GEC24 GEE18:GEE24 GNY18:GNY24 GOA18:GOA24 GXU18:GXU24 GXW18:GXW24 HHQ18:HHQ24 HHS18:HHS24 HRM18:HRM24 HRO18:HRO24 IBI18:IBI24 IBK18:IBK24 ILE18:ILE24 ILG18:ILG24 IVA18:IVA24 IVC18:IVC24 JEW18:JEW24 JEY18:JEY24 JOS18:JOS24 JOU18:JOU24 JYO18:JYO24 JYQ18:JYQ24 KIK18:KIK24 KIM18:KIM24 KSG18:KSG24 KSI18:KSI24 LCC18:LCC24 LCE18:LCE24 LLY18:LLY24 LMA18:LMA24 LVU18:LVU24 LVW18:LVW24 MFQ18:MFQ24 MFS18:MFS24 MPM18:MPM24 MPO18:MPO24 MZI18:MZI24 MZK18:MZK24 NJE18:NJE24 NJG18:NJG24 NTA18:NTA24 NTC18:NTC24 OCW18:OCW24 OCY18:OCY24 OMS18:OMS24 OMU18:OMU24 OWO18:OWO24 OWQ18:OWQ24 PGK18:PGK24 PGM18:PGM24 PQG18:PQG24 PQI18:PQI24 QAC18:QAC24 QAE18:QAE24 QJY18:QJY24 QKA18:QKA24 QTU18:QTU24 QTW18:QTW24 RDQ18:RDQ24 RDS18:RDS24 RNM18:RNM24 RNO18:RNO24 RXI18:RXI24 RXK18:RXK24 SHE18:SHE24 SHG18:SHG24 SRA18:SRA24 SRC18:SRC24 TAW18:TAW24 TAY18:TAY24 TKS18:TKS24 TKU18:TKU24 TUO18:TUO24 TUQ18:TUQ24 UEK18:UEK24 UEM18:UEM24 UOG18:UOG24 UOI18:UOI24 UYC18:UYC24 UYE18:UYE24 VHY18:VHY24 VIA18:VIA24 VRU18:VRU24 VRW18:VRW24 B23:B29"/>
    <dataValidation type="decimal" operator="lessThanOrEqual" allowBlank="1" showInputMessage="1" showErrorMessage="1" promptTitle="Annual depreciation expense" prompt="Enter annual depreciation expense as a negative amount." sqref="WVJ33:WVJ39 IX33:IX39 ST33:ST39 ACP33:ACP39 AML33:AML39 AWH33:AWH39 BGD33:BGD39 BPZ33:BPZ39 BZV33:BZV39 CJR33:CJR39 CTN33:CTN39 DDJ33:DDJ39 DNF33:DNF39 DXB33:DXB39 EGX33:EGX39 EQT33:EQT39 FAP33:FAP39 FKL33:FKL39 FUH33:FUH39 GED33:GED39 GNZ33:GNZ39 GXV33:GXV39 HHR33:HHR39 HRN33:HRN39 IBJ33:IBJ39 ILF33:ILF39 IVB33:IVB39 JEX33:JEX39 JOT33:JOT39 JYP33:JYP39 KIL33:KIL39 KSH33:KSH39 LCD33:LCD39 LLZ33:LLZ39 LVV33:LVV39 MFR33:MFR39 MPN33:MPN39 MZJ33:MZJ39 NJF33:NJF39 NTB33:NTB39 OCX33:OCX39 OMT33:OMT39 OWP33:OWP39 PGL33:PGL39 PQH33:PQH39 QAD33:QAD39 QJZ33:QJZ39 QTV33:QTV39 RDR33:RDR39 RNN33:RNN39 RXJ33:RXJ39 SHF33:SHF39 SRB33:SRB39 TAX33:TAX39 TKT33:TKT39 TUP33:TUP39 UEL33:UEL39 UOH33:UOH39 UYD33:UYD39 VHZ33:VHZ39 VRV33:VRV39 WBR33:WBR39 WLN33:WLN39 E23:E29">
      <formula1>0</formula1>
    </dataValidation>
    <dataValidation type="decimal" operator="lessThanOrEqual" allowBlank="1" showInputMessage="1" showErrorMessage="1" promptTitle="Accumulated depreciation" prompt="Enter accumulated depreciation as a negative amount." sqref="WVH33:WVH39 IV33:IV39 SR33:SR39 ACN33:ACN39 AMJ33:AMJ39 AWF33:AWF39 BGB33:BGB39 BPX33:BPX39 BZT33:BZT39 CJP33:CJP39 CTL33:CTL39 DDH33:DDH39 DND33:DND39 DWZ33:DWZ39 EGV33:EGV39 EQR33:EQR39 FAN33:FAN39 FKJ33:FKJ39 FUF33:FUF39 GEB33:GEB39 GNX33:GNX39 GXT33:GXT39 HHP33:HHP39 HRL33:HRL39 IBH33:IBH39 ILD33:ILD39 IUZ33:IUZ39 JEV33:JEV39 JOR33:JOR39 JYN33:JYN39 KIJ33:KIJ39 KSF33:KSF39 LCB33:LCB39 LLX33:LLX39 LVT33:LVT39 MFP33:MFP39 MPL33:MPL39 MZH33:MZH39 NJD33:NJD39 NSZ33:NSZ39 OCV33:OCV39 OMR33:OMR39 OWN33:OWN39 PGJ33:PGJ39 PQF33:PQF39 QAB33:QAB39 QJX33:QJX39 QTT33:QTT39 RDP33:RDP39 RNL33:RNL39 RXH33:RXH39 SHD33:SHD39 SQZ33:SQZ39 TAV33:TAV39 TKR33:TKR39 TUN33:TUN39 UEJ33:UEJ39 UOF33:UOF39 UYB33:UYB39 VHX33:VHX39 VRT33:VRT39 WBP33:WBP39 WLL33:WLL39 D23:D29">
      <formula1>0</formula1>
    </dataValidation>
  </dataValidations>
  <pageMargins left="0.75" right="0.75" top="1" bottom="1" header="0.5" footer="0.5"/>
  <pageSetup scale="67" fitToHeight="2" orientation="landscape" r:id="rId1"/>
  <headerFooter alignWithMargins="0"/>
  <rowBreaks count="1" manualBreakCount="1">
    <brk id="38" max="6"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6" tint="0.39997558519241921"/>
  </sheetPr>
  <dimension ref="A1:H70"/>
  <sheetViews>
    <sheetView showGridLines="0" zoomScaleNormal="100" workbookViewId="0">
      <selection activeCell="A9" sqref="A9:H9"/>
    </sheetView>
  </sheetViews>
  <sheetFormatPr defaultRowHeight="12.75" x14ac:dyDescent="0.2"/>
  <cols>
    <col min="1" max="1" width="8.7109375" style="43" customWidth="1"/>
    <col min="2" max="2" width="30.7109375" style="43" customWidth="1"/>
    <col min="3" max="7" width="12.7109375" style="43" customWidth="1"/>
    <col min="8" max="8" width="14.7109375" style="43" customWidth="1"/>
    <col min="9" max="16384" width="9.140625" style="43"/>
  </cols>
  <sheetData>
    <row r="1" spans="1:8" x14ac:dyDescent="0.2">
      <c r="G1" s="562" t="s">
        <v>301</v>
      </c>
      <c r="H1" s="61" t="str">
        <f>EBNUMBER</f>
        <v>EB-2016-0066</v>
      </c>
    </row>
    <row r="2" spans="1:8" x14ac:dyDescent="0.2">
      <c r="G2" s="562" t="s">
        <v>302</v>
      </c>
      <c r="H2" s="62"/>
    </row>
    <row r="3" spans="1:8" x14ac:dyDescent="0.2">
      <c r="G3" s="562" t="s">
        <v>303</v>
      </c>
      <c r="H3" s="62"/>
    </row>
    <row r="4" spans="1:8" x14ac:dyDescent="0.2">
      <c r="G4" s="562" t="s">
        <v>304</v>
      </c>
      <c r="H4" s="62"/>
    </row>
    <row r="5" spans="1:8" x14ac:dyDescent="0.2">
      <c r="G5" s="562" t="s">
        <v>305</v>
      </c>
      <c r="H5" s="63"/>
    </row>
    <row r="6" spans="1:8" x14ac:dyDescent="0.2">
      <c r="G6" s="562"/>
      <c r="H6" s="61"/>
    </row>
    <row r="7" spans="1:8" x14ac:dyDescent="0.2">
      <c r="G7" s="562" t="s">
        <v>306</v>
      </c>
      <c r="H7" s="63"/>
    </row>
    <row r="9" spans="1:8" ht="18" x14ac:dyDescent="0.25">
      <c r="A9" s="1546" t="s">
        <v>440</v>
      </c>
      <c r="B9" s="1546"/>
      <c r="C9" s="1546"/>
      <c r="D9" s="1546"/>
      <c r="E9" s="1546"/>
      <c r="F9" s="1546"/>
      <c r="G9" s="1546"/>
      <c r="H9" s="1546"/>
    </row>
    <row r="10" spans="1:8" ht="18" x14ac:dyDescent="0.25">
      <c r="A10" s="1546" t="s">
        <v>106</v>
      </c>
      <c r="B10" s="1546"/>
      <c r="C10" s="1546"/>
      <c r="D10" s="1546"/>
      <c r="E10" s="1546"/>
      <c r="F10" s="1546"/>
      <c r="G10" s="1546"/>
      <c r="H10" s="1546"/>
    </row>
    <row r="11" spans="1:8" x14ac:dyDescent="0.2">
      <c r="A11" s="1969"/>
      <c r="B11" s="1969"/>
      <c r="C11" s="1969"/>
      <c r="D11" s="1969"/>
      <c r="E11" s="1969"/>
      <c r="F11" s="1969"/>
      <c r="G11" s="1969"/>
      <c r="H11" s="1969"/>
    </row>
    <row r="12" spans="1:8" ht="13.5" thickBot="1" x14ac:dyDescent="0.25"/>
    <row r="13" spans="1:8" x14ac:dyDescent="0.2">
      <c r="A13" s="1970"/>
      <c r="B13" s="1971"/>
      <c r="C13" s="1974" t="s">
        <v>143</v>
      </c>
      <c r="D13" s="1975"/>
      <c r="E13" s="1975"/>
      <c r="F13" s="1975"/>
      <c r="G13" s="1976"/>
      <c r="H13" s="1977" t="s">
        <v>144</v>
      </c>
    </row>
    <row r="14" spans="1:8" x14ac:dyDescent="0.2">
      <c r="A14" s="1972"/>
      <c r="B14" s="1973"/>
      <c r="C14" s="983">
        <f>IF(ISBLANK('LDC Info'!E26-5), "Year 5", 'LDC Info'!E26-5)</f>
        <v>2011</v>
      </c>
      <c r="D14" s="983">
        <f>IF(ISBLANK('LDC Info'!E26-4), "Year 5", 'LDC Info'!E26-4)</f>
        <v>2012</v>
      </c>
      <c r="E14" s="983">
        <f>IF(ISBLANK('LDC Info'!E26-3), "Year 5", 'LDC Info'!E26-3)</f>
        <v>2013</v>
      </c>
      <c r="F14" s="983">
        <f>IF(ISBLANK('LDC Info'!E26-2), "Year 5", 'LDC Info'!E26-2)</f>
        <v>2014</v>
      </c>
      <c r="G14" s="983">
        <f>IF(ISBLANK('LDC Info'!E26-1), "Year 5", 'LDC Info'!E26-1)</f>
        <v>2015</v>
      </c>
      <c r="H14" s="1978"/>
    </row>
    <row r="15" spans="1:8" x14ac:dyDescent="0.2">
      <c r="A15" s="984"/>
      <c r="B15" s="1979" t="s">
        <v>145</v>
      </c>
      <c r="C15" s="1980"/>
      <c r="D15" s="1980"/>
      <c r="E15" s="1980"/>
      <c r="F15" s="1980"/>
      <c r="G15" s="1980"/>
      <c r="H15" s="1981"/>
    </row>
    <row r="16" spans="1:8" ht="25.5" x14ac:dyDescent="0.2">
      <c r="A16" s="985" t="s">
        <v>146</v>
      </c>
      <c r="B16" s="807" t="s">
        <v>147</v>
      </c>
      <c r="C16" s="986">
        <v>255035715.38461539</v>
      </c>
      <c r="D16" s="986">
        <v>246901827.27272725</v>
      </c>
      <c r="E16" s="986">
        <v>247681431.06060606</v>
      </c>
      <c r="F16" s="986">
        <v>249772655.12820518</v>
      </c>
      <c r="G16" s="986">
        <v>247718853.84615383</v>
      </c>
      <c r="H16" s="987">
        <f>IF(SUM(C16:G16)=0,0,AVERAGE(C16:G16))</f>
        <v>249422096.53846154</v>
      </c>
    </row>
    <row r="17" spans="1:8" ht="25.5" x14ac:dyDescent="0.2">
      <c r="A17" s="985" t="s">
        <v>148</v>
      </c>
      <c r="B17" s="807" t="s">
        <v>149</v>
      </c>
      <c r="C17" s="986">
        <v>246649628.03154293</v>
      </c>
      <c r="D17" s="986">
        <v>238783198.52294704</v>
      </c>
      <c r="E17" s="986">
        <v>239537167.37002519</v>
      </c>
      <c r="F17" s="986">
        <v>241559627.783564</v>
      </c>
      <c r="G17" s="986">
        <v>239573359.61910427</v>
      </c>
      <c r="H17" s="987">
        <f>IF(SUM(C17:G17)=0,0,AVERAGE(C17:G17))</f>
        <v>241220596.26543665</v>
      </c>
    </row>
    <row r="18" spans="1:8" ht="38.25" x14ac:dyDescent="0.2">
      <c r="A18" s="985" t="s">
        <v>150</v>
      </c>
      <c r="B18" s="807" t="s">
        <v>151</v>
      </c>
      <c r="C18" s="986"/>
      <c r="D18" s="986"/>
      <c r="E18" s="986"/>
      <c r="F18" s="986"/>
      <c r="G18" s="986"/>
      <c r="H18" s="987">
        <f>IF(SUM(C18:G18)=0,0,AVERAGE(C18:G18))</f>
        <v>0</v>
      </c>
    </row>
    <row r="19" spans="1:8" ht="25.5" x14ac:dyDescent="0.2">
      <c r="A19" s="985" t="s">
        <v>152</v>
      </c>
      <c r="B19" s="807" t="s">
        <v>164</v>
      </c>
      <c r="C19" s="988">
        <f t="shared" ref="C19:H19" si="0">C17-C18</f>
        <v>246649628.03154293</v>
      </c>
      <c r="D19" s="988">
        <f t="shared" si="0"/>
        <v>238783198.52294704</v>
      </c>
      <c r="E19" s="988">
        <f t="shared" si="0"/>
        <v>239537167.37002519</v>
      </c>
      <c r="F19" s="988">
        <f t="shared" si="0"/>
        <v>241559627.783564</v>
      </c>
      <c r="G19" s="988">
        <f t="shared" si="0"/>
        <v>239573359.61910427</v>
      </c>
      <c r="H19" s="989">
        <f t="shared" si="0"/>
        <v>241220596.26543665</v>
      </c>
    </row>
    <row r="20" spans="1:8" ht="14.25" customHeight="1" x14ac:dyDescent="0.2">
      <c r="A20" s="985" t="s">
        <v>153</v>
      </c>
      <c r="B20" s="807" t="s">
        <v>154</v>
      </c>
      <c r="C20" s="986">
        <v>241928636.40000001</v>
      </c>
      <c r="D20" s="986">
        <v>233351045.58096856</v>
      </c>
      <c r="E20" s="986">
        <v>229730886.55255783</v>
      </c>
      <c r="F20" s="986">
        <v>230942887.5</v>
      </c>
      <c r="G20" s="986">
        <v>232502517.32197464</v>
      </c>
      <c r="H20" s="987">
        <f>IF(SUM(C20:G20)=0,0,AVERAGE(C20:G20))</f>
        <v>233691194.67110023</v>
      </c>
    </row>
    <row r="21" spans="1:8" ht="38.25" x14ac:dyDescent="0.2">
      <c r="A21" s="985" t="s">
        <v>155</v>
      </c>
      <c r="B21" s="807" t="s">
        <v>156</v>
      </c>
      <c r="C21" s="990"/>
      <c r="D21" s="986"/>
      <c r="E21" s="986"/>
      <c r="F21" s="986"/>
      <c r="G21" s="986"/>
      <c r="H21" s="987">
        <f>IF(SUM(C21:G21)=0,0,AVERAGE(C21:G21))</f>
        <v>0</v>
      </c>
    </row>
    <row r="22" spans="1:8" ht="25.5" x14ac:dyDescent="0.2">
      <c r="A22" s="985" t="s">
        <v>157</v>
      </c>
      <c r="B22" s="807" t="s">
        <v>165</v>
      </c>
      <c r="C22" s="988">
        <f t="shared" ref="C22:H22" si="1">C20-C21</f>
        <v>241928636.40000001</v>
      </c>
      <c r="D22" s="988">
        <f t="shared" si="1"/>
        <v>233351045.58096856</v>
      </c>
      <c r="E22" s="988">
        <f t="shared" si="1"/>
        <v>229730886.55255783</v>
      </c>
      <c r="F22" s="988">
        <f t="shared" si="1"/>
        <v>230942887.5</v>
      </c>
      <c r="G22" s="988">
        <f t="shared" si="1"/>
        <v>232502517.32197464</v>
      </c>
      <c r="H22" s="989">
        <f t="shared" si="1"/>
        <v>233691194.67110023</v>
      </c>
    </row>
    <row r="23" spans="1:8" ht="25.5" x14ac:dyDescent="0.2">
      <c r="A23" s="985" t="s">
        <v>158</v>
      </c>
      <c r="B23" s="807" t="s">
        <v>166</v>
      </c>
      <c r="C23" s="991">
        <f t="shared" ref="C23:G23" si="2">IF(C22=0,"",C19/C22)</f>
        <v>1.0195139843790022</v>
      </c>
      <c r="D23" s="991">
        <f t="shared" si="2"/>
        <v>1.0232788883737554</v>
      </c>
      <c r="E23" s="991">
        <f t="shared" si="2"/>
        <v>1.0426859486098048</v>
      </c>
      <c r="F23" s="991">
        <f t="shared" si="2"/>
        <v>1.0459712805988191</v>
      </c>
      <c r="G23" s="991">
        <f t="shared" si="2"/>
        <v>1.0304118956584791</v>
      </c>
      <c r="H23" s="991">
        <f>IF(SUM(C23:G23)=0,0,AVERAGE(C23:G23))</f>
        <v>1.032372399523972</v>
      </c>
    </row>
    <row r="24" spans="1:8" ht="13.5" customHeight="1" x14ac:dyDescent="0.2">
      <c r="A24" s="992"/>
      <c r="B24" s="1982" t="s">
        <v>160</v>
      </c>
      <c r="C24" s="1983"/>
      <c r="D24" s="1983"/>
      <c r="E24" s="1983"/>
      <c r="F24" s="1983"/>
      <c r="G24" s="1983"/>
      <c r="H24" s="1984"/>
    </row>
    <row r="25" spans="1:8" x14ac:dyDescent="0.2">
      <c r="A25" s="985" t="s">
        <v>159</v>
      </c>
      <c r="B25" s="807" t="s">
        <v>161</v>
      </c>
      <c r="C25" s="993">
        <v>1.034</v>
      </c>
      <c r="D25" s="993">
        <v>1.034</v>
      </c>
      <c r="E25" s="993">
        <v>1.034</v>
      </c>
      <c r="F25" s="993">
        <v>1.034</v>
      </c>
      <c r="G25" s="993">
        <v>1.034</v>
      </c>
      <c r="H25" s="994">
        <f>IF(SUM(C25:G25)=0,0,AVERAGE(C25:G25))</f>
        <v>1.034</v>
      </c>
    </row>
    <row r="26" spans="1:8" x14ac:dyDescent="0.2">
      <c r="A26" s="992"/>
      <c r="B26" s="1982" t="s">
        <v>162</v>
      </c>
      <c r="C26" s="1983"/>
      <c r="D26" s="1983"/>
      <c r="E26" s="1983"/>
      <c r="F26" s="1983"/>
      <c r="G26" s="1983"/>
      <c r="H26" s="1984"/>
    </row>
    <row r="27" spans="1:8" ht="13.5" thickBot="1" x14ac:dyDescent="0.25">
      <c r="A27" s="995" t="s">
        <v>163</v>
      </c>
      <c r="B27" s="814" t="s">
        <v>167</v>
      </c>
      <c r="C27" s="996">
        <f t="shared" ref="C27:H27" si="3">IF(C23="","",C23*C25)</f>
        <v>1.0541774598478884</v>
      </c>
      <c r="D27" s="996">
        <f t="shared" si="3"/>
        <v>1.0580703705784631</v>
      </c>
      <c r="E27" s="996">
        <f t="shared" si="3"/>
        <v>1.0781372708625381</v>
      </c>
      <c r="F27" s="996">
        <f t="shared" si="3"/>
        <v>1.0815343041391789</v>
      </c>
      <c r="G27" s="996">
        <f t="shared" si="3"/>
        <v>1.0654459001108674</v>
      </c>
      <c r="H27" s="997">
        <f t="shared" si="3"/>
        <v>1.0674730611077869</v>
      </c>
    </row>
    <row r="29" spans="1:8" x14ac:dyDescent="0.2">
      <c r="A29" s="425" t="s">
        <v>11</v>
      </c>
    </row>
    <row r="31" spans="1:8" x14ac:dyDescent="0.2">
      <c r="A31" s="422" t="s">
        <v>146</v>
      </c>
      <c r="B31" s="1985" t="s">
        <v>278</v>
      </c>
      <c r="C31" s="1985"/>
      <c r="D31" s="1985"/>
      <c r="E31" s="1985"/>
      <c r="F31" s="1985"/>
      <c r="G31" s="1985"/>
      <c r="H31" s="1985"/>
    </row>
    <row r="32" spans="1:8" x14ac:dyDescent="0.2">
      <c r="A32" s="998"/>
      <c r="B32" s="1985"/>
      <c r="C32" s="1985"/>
      <c r="D32" s="1985"/>
      <c r="E32" s="1985"/>
      <c r="F32" s="1985"/>
      <c r="G32" s="1985"/>
      <c r="H32" s="1985"/>
    </row>
    <row r="33" spans="1:8" x14ac:dyDescent="0.2">
      <c r="A33" s="998"/>
      <c r="B33" s="1985"/>
      <c r="C33" s="1985"/>
      <c r="D33" s="1985"/>
      <c r="E33" s="1985"/>
      <c r="F33" s="1985"/>
      <c r="G33" s="1985"/>
      <c r="H33" s="1985"/>
    </row>
    <row r="34" spans="1:8" ht="7.5" customHeight="1" x14ac:dyDescent="0.2">
      <c r="A34" s="998"/>
      <c r="B34" s="999"/>
      <c r="C34" s="999"/>
      <c r="D34" s="999"/>
      <c r="E34" s="999"/>
      <c r="F34" s="999"/>
      <c r="G34" s="999"/>
      <c r="H34" s="999"/>
    </row>
    <row r="35" spans="1:8" x14ac:dyDescent="0.2">
      <c r="A35" s="998"/>
      <c r="B35" s="1985" t="s">
        <v>279</v>
      </c>
      <c r="C35" s="1985"/>
      <c r="D35" s="1985"/>
      <c r="E35" s="1985"/>
      <c r="F35" s="1985"/>
      <c r="G35" s="1985"/>
      <c r="H35" s="1985"/>
    </row>
    <row r="36" spans="1:8" x14ac:dyDescent="0.2">
      <c r="A36" s="998"/>
      <c r="B36" s="1985"/>
      <c r="C36" s="1985"/>
      <c r="D36" s="1985"/>
      <c r="E36" s="1985"/>
      <c r="F36" s="1985"/>
      <c r="G36" s="1985"/>
      <c r="H36" s="1985"/>
    </row>
    <row r="37" spans="1:8" x14ac:dyDescent="0.2">
      <c r="A37" s="998"/>
      <c r="B37" s="1985"/>
      <c r="C37" s="1985"/>
      <c r="D37" s="1985"/>
      <c r="E37" s="1985"/>
      <c r="F37" s="1985"/>
      <c r="G37" s="1985"/>
      <c r="H37" s="1985"/>
    </row>
    <row r="38" spans="1:8" x14ac:dyDescent="0.2">
      <c r="A38" s="998"/>
      <c r="B38" s="1985"/>
      <c r="C38" s="1985"/>
      <c r="D38" s="1985"/>
      <c r="E38" s="1985"/>
      <c r="F38" s="1985"/>
      <c r="G38" s="1985"/>
      <c r="H38" s="1985"/>
    </row>
    <row r="39" spans="1:8" ht="7.5" customHeight="1" x14ac:dyDescent="0.2">
      <c r="A39" s="998"/>
      <c r="B39" s="999"/>
      <c r="C39" s="999"/>
      <c r="D39" s="999"/>
      <c r="E39" s="999"/>
      <c r="F39" s="999"/>
      <c r="G39" s="999"/>
      <c r="H39" s="999"/>
    </row>
    <row r="40" spans="1:8" x14ac:dyDescent="0.2">
      <c r="A40" s="998"/>
      <c r="B40" s="999" t="s">
        <v>233</v>
      </c>
      <c r="C40" s="999"/>
      <c r="D40" s="999"/>
      <c r="E40" s="999"/>
      <c r="F40" s="999"/>
      <c r="G40" s="999"/>
      <c r="H40" s="999"/>
    </row>
    <row r="41" spans="1:8" ht="7.5" customHeight="1" x14ac:dyDescent="0.2">
      <c r="A41" s="998"/>
      <c r="B41" s="999"/>
      <c r="C41" s="999"/>
      <c r="D41" s="999"/>
      <c r="E41" s="999"/>
      <c r="F41" s="999"/>
      <c r="G41" s="999"/>
      <c r="H41" s="999"/>
    </row>
    <row r="42" spans="1:8" x14ac:dyDescent="0.2">
      <c r="A42" s="422" t="s">
        <v>148</v>
      </c>
      <c r="B42" s="1985" t="s">
        <v>280</v>
      </c>
      <c r="C42" s="1985"/>
      <c r="D42" s="1985"/>
      <c r="E42" s="1985"/>
      <c r="F42" s="1985"/>
      <c r="G42" s="1985"/>
      <c r="H42" s="1985"/>
    </row>
    <row r="43" spans="1:8" x14ac:dyDescent="0.2">
      <c r="A43" s="998"/>
      <c r="B43" s="1985"/>
      <c r="C43" s="1985"/>
      <c r="D43" s="1985"/>
      <c r="E43" s="1985"/>
      <c r="F43" s="1985"/>
      <c r="G43" s="1985"/>
      <c r="H43" s="1985"/>
    </row>
    <row r="44" spans="1:8" x14ac:dyDescent="0.2">
      <c r="A44" s="998"/>
      <c r="B44" s="1985"/>
      <c r="C44" s="1985"/>
      <c r="D44" s="1985"/>
      <c r="E44" s="1985"/>
      <c r="F44" s="1985"/>
      <c r="G44" s="1985"/>
      <c r="H44" s="1985"/>
    </row>
    <row r="45" spans="1:8" ht="7.5" customHeight="1" x14ac:dyDescent="0.2">
      <c r="A45" s="998"/>
      <c r="B45" s="999"/>
      <c r="C45" s="999"/>
      <c r="D45" s="999"/>
      <c r="E45" s="999"/>
      <c r="F45" s="999"/>
      <c r="G45" s="999"/>
      <c r="H45" s="999"/>
    </row>
    <row r="46" spans="1:8" ht="12.75" customHeight="1" x14ac:dyDescent="0.2">
      <c r="A46" s="998"/>
      <c r="B46" s="1986" t="s">
        <v>624</v>
      </c>
      <c r="C46" s="1986"/>
      <c r="D46" s="1986"/>
      <c r="E46" s="1986"/>
      <c r="F46" s="1986"/>
      <c r="G46" s="1986"/>
      <c r="H46" s="1986"/>
    </row>
    <row r="47" spans="1:8" x14ac:dyDescent="0.2">
      <c r="A47" s="998"/>
      <c r="B47" s="1986"/>
      <c r="C47" s="1986"/>
      <c r="D47" s="1986"/>
      <c r="E47" s="1986"/>
      <c r="F47" s="1986"/>
      <c r="G47" s="1986"/>
      <c r="H47" s="1986"/>
    </row>
    <row r="48" spans="1:8" x14ac:dyDescent="0.2">
      <c r="A48" s="998"/>
      <c r="B48" s="1986"/>
      <c r="C48" s="1986"/>
      <c r="D48" s="1986"/>
      <c r="E48" s="1986"/>
      <c r="F48" s="1986"/>
      <c r="G48" s="1986"/>
      <c r="H48" s="1986"/>
    </row>
    <row r="49" spans="1:8" x14ac:dyDescent="0.2">
      <c r="A49" s="998"/>
      <c r="B49" s="1986"/>
      <c r="C49" s="1986"/>
      <c r="D49" s="1986"/>
      <c r="E49" s="1986"/>
      <c r="F49" s="1986"/>
      <c r="G49" s="1986"/>
      <c r="H49" s="1986"/>
    </row>
    <row r="50" spans="1:8" ht="7.5" customHeight="1" x14ac:dyDescent="0.2">
      <c r="A50" s="998"/>
      <c r="B50" s="999"/>
      <c r="C50" s="999"/>
      <c r="D50" s="999"/>
      <c r="E50" s="999"/>
      <c r="F50" s="999"/>
      <c r="G50" s="999"/>
      <c r="H50" s="999"/>
    </row>
    <row r="51" spans="1:8" x14ac:dyDescent="0.2">
      <c r="A51" s="998"/>
      <c r="B51" s="1987" t="s">
        <v>233</v>
      </c>
      <c r="C51" s="1987"/>
      <c r="D51" s="1987"/>
      <c r="E51" s="1987"/>
      <c r="F51" s="1987"/>
      <c r="G51" s="1987"/>
      <c r="H51" s="1987"/>
    </row>
    <row r="52" spans="1:8" ht="7.5" customHeight="1" x14ac:dyDescent="0.2">
      <c r="A52" s="998"/>
      <c r="B52" s="999"/>
      <c r="C52" s="999"/>
      <c r="D52" s="999"/>
      <c r="E52" s="999"/>
      <c r="F52" s="999"/>
      <c r="G52" s="999"/>
      <c r="H52" s="999"/>
    </row>
    <row r="53" spans="1:8" x14ac:dyDescent="0.2">
      <c r="A53" s="998"/>
      <c r="B53" s="1985" t="s">
        <v>281</v>
      </c>
      <c r="C53" s="1985"/>
      <c r="D53" s="1985"/>
      <c r="E53" s="1985"/>
      <c r="F53" s="1985"/>
      <c r="G53" s="1985"/>
      <c r="H53" s="1985"/>
    </row>
    <row r="54" spans="1:8" x14ac:dyDescent="0.2">
      <c r="A54" s="998"/>
      <c r="B54" s="1985"/>
      <c r="C54" s="1985"/>
      <c r="D54" s="1985"/>
      <c r="E54" s="1985"/>
      <c r="F54" s="1985"/>
      <c r="G54" s="1985"/>
      <c r="H54" s="1985"/>
    </row>
    <row r="55" spans="1:8" ht="7.5" customHeight="1" x14ac:dyDescent="0.2">
      <c r="A55" s="998"/>
      <c r="B55" s="999"/>
      <c r="C55" s="999"/>
      <c r="D55" s="999"/>
      <c r="E55" s="999"/>
      <c r="F55" s="999"/>
      <c r="G55" s="999"/>
      <c r="H55" s="999"/>
    </row>
    <row r="56" spans="1:8" x14ac:dyDescent="0.2">
      <c r="A56" s="422" t="s">
        <v>150</v>
      </c>
      <c r="B56" s="1985" t="s">
        <v>282</v>
      </c>
      <c r="C56" s="1985"/>
      <c r="D56" s="1985"/>
      <c r="E56" s="1985"/>
      <c r="F56" s="1985"/>
      <c r="G56" s="1985"/>
      <c r="H56" s="1985"/>
    </row>
    <row r="57" spans="1:8" x14ac:dyDescent="0.2">
      <c r="A57" s="998"/>
      <c r="B57" s="1985"/>
      <c r="C57" s="1985"/>
      <c r="D57" s="1985"/>
      <c r="E57" s="1985"/>
      <c r="F57" s="1985"/>
      <c r="G57" s="1985"/>
      <c r="H57" s="1985"/>
    </row>
    <row r="58" spans="1:8" ht="7.5" customHeight="1" x14ac:dyDescent="0.2">
      <c r="A58" s="998"/>
      <c r="B58" s="999"/>
      <c r="C58" s="999"/>
      <c r="D58" s="999"/>
      <c r="E58" s="999"/>
      <c r="F58" s="999"/>
      <c r="G58" s="999"/>
      <c r="H58" s="999"/>
    </row>
    <row r="59" spans="1:8" x14ac:dyDescent="0.2">
      <c r="A59" s="422" t="s">
        <v>153</v>
      </c>
      <c r="B59" s="1986" t="s">
        <v>454</v>
      </c>
      <c r="C59" s="1985"/>
      <c r="D59" s="1985"/>
      <c r="E59" s="1985"/>
      <c r="F59" s="1985"/>
      <c r="G59" s="1985"/>
      <c r="H59" s="1985"/>
    </row>
    <row r="60" spans="1:8" x14ac:dyDescent="0.2">
      <c r="A60" s="998"/>
      <c r="B60" s="999"/>
      <c r="C60" s="999"/>
      <c r="D60" s="999"/>
      <c r="E60" s="999"/>
      <c r="F60" s="999"/>
      <c r="G60" s="999"/>
      <c r="H60" s="999"/>
    </row>
    <row r="61" spans="1:8" x14ac:dyDescent="0.2">
      <c r="A61" s="422" t="s">
        <v>283</v>
      </c>
      <c r="B61" s="1987" t="s">
        <v>234</v>
      </c>
      <c r="C61" s="1987"/>
      <c r="D61" s="1987"/>
      <c r="E61" s="1987"/>
      <c r="F61" s="1987"/>
      <c r="G61" s="1987"/>
      <c r="H61" s="1987"/>
    </row>
    <row r="62" spans="1:8" x14ac:dyDescent="0.2">
      <c r="A62" s="998"/>
      <c r="B62" s="999"/>
      <c r="C62" s="999"/>
      <c r="D62" s="999"/>
      <c r="E62" s="999"/>
      <c r="F62" s="999"/>
      <c r="G62" s="999"/>
      <c r="H62" s="999"/>
    </row>
    <row r="63" spans="1:8" x14ac:dyDescent="0.2">
      <c r="A63" s="422" t="s">
        <v>159</v>
      </c>
      <c r="B63" s="1987" t="s">
        <v>276</v>
      </c>
      <c r="C63" s="1987"/>
      <c r="D63" s="1987"/>
      <c r="E63" s="1987"/>
      <c r="F63" s="1987"/>
      <c r="G63" s="1987"/>
      <c r="H63" s="1987"/>
    </row>
    <row r="64" spans="1:8" x14ac:dyDescent="0.2">
      <c r="A64" s="999"/>
      <c r="B64" s="999"/>
      <c r="C64" s="999"/>
      <c r="D64" s="999"/>
      <c r="E64" s="999"/>
      <c r="F64" s="999"/>
      <c r="G64" s="999"/>
      <c r="H64" s="999"/>
    </row>
    <row r="65" spans="1:8" x14ac:dyDescent="0.2">
      <c r="A65" s="999"/>
      <c r="B65" s="1985" t="s">
        <v>277</v>
      </c>
      <c r="C65" s="1985"/>
      <c r="D65" s="1985"/>
      <c r="E65" s="1985"/>
      <c r="F65" s="1985"/>
      <c r="G65" s="1985"/>
      <c r="H65" s="999"/>
    </row>
    <row r="66" spans="1:8" x14ac:dyDescent="0.2">
      <c r="A66" s="999"/>
      <c r="B66" s="1985"/>
      <c r="C66" s="1985"/>
      <c r="D66" s="1985"/>
      <c r="E66" s="1985"/>
      <c r="F66" s="1985"/>
      <c r="G66" s="1985"/>
      <c r="H66" s="999"/>
    </row>
    <row r="67" spans="1:8" x14ac:dyDescent="0.2">
      <c r="A67" s="999"/>
      <c r="B67" s="1985"/>
      <c r="C67" s="1985"/>
      <c r="D67" s="1985"/>
      <c r="E67" s="1985"/>
      <c r="F67" s="1985"/>
      <c r="G67" s="1985"/>
      <c r="H67" s="999"/>
    </row>
    <row r="68" spans="1:8" x14ac:dyDescent="0.2">
      <c r="A68" s="999"/>
      <c r="B68" s="999"/>
      <c r="C68" s="999"/>
      <c r="D68" s="999"/>
      <c r="E68" s="999"/>
      <c r="F68" s="999"/>
      <c r="G68" s="999"/>
      <c r="H68" s="999"/>
    </row>
    <row r="69" spans="1:8" x14ac:dyDescent="0.2">
      <c r="B69" s="1987" t="s">
        <v>284</v>
      </c>
      <c r="C69" s="1988"/>
      <c r="D69" s="1988"/>
      <c r="E69" s="1988"/>
      <c r="F69" s="1988"/>
      <c r="G69" s="1988"/>
      <c r="H69" s="1988"/>
    </row>
    <row r="70" spans="1:8" x14ac:dyDescent="0.2">
      <c r="B70" s="43" t="s">
        <v>285</v>
      </c>
    </row>
  </sheetData>
  <sheetProtection password="F8BD" sheet="1" objects="1" scenarios="1"/>
  <mergeCells count="21">
    <mergeCell ref="B56:H57"/>
    <mergeCell ref="B59:H59"/>
    <mergeCell ref="B31:H33"/>
    <mergeCell ref="B69:H69"/>
    <mergeCell ref="B61:H61"/>
    <mergeCell ref="B63:H63"/>
    <mergeCell ref="B65:G67"/>
    <mergeCell ref="B51:H51"/>
    <mergeCell ref="B15:H15"/>
    <mergeCell ref="B24:H24"/>
    <mergeCell ref="B26:H26"/>
    <mergeCell ref="B53:H54"/>
    <mergeCell ref="B35:H38"/>
    <mergeCell ref="B42:H44"/>
    <mergeCell ref="B46:H49"/>
    <mergeCell ref="A9:H9"/>
    <mergeCell ref="A10:H10"/>
    <mergeCell ref="A11:H11"/>
    <mergeCell ref="A13:B14"/>
    <mergeCell ref="C13:G13"/>
    <mergeCell ref="H13:H14"/>
  </mergeCells>
  <phoneticPr fontId="16" type="noConversion"/>
  <dataValidations count="1">
    <dataValidation allowBlank="1" showInputMessage="1" showErrorMessage="1" promptTitle="Date Format" prompt="E.g:  &quot;August 1, 2011&quot;" sqref="H7"/>
  </dataValidations>
  <pageMargins left="0.75" right="0.75" top="1" bottom="1" header="0.5" footer="0.5"/>
  <pageSetup scale="64" fitToHeight="0"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C000"/>
  </sheetPr>
  <dimension ref="A1:H95"/>
  <sheetViews>
    <sheetView showGridLines="0" zoomScaleNormal="100" workbookViewId="0">
      <selection activeCell="A9" sqref="A9:H9"/>
    </sheetView>
  </sheetViews>
  <sheetFormatPr defaultRowHeight="12.75" x14ac:dyDescent="0.2"/>
  <cols>
    <col min="1" max="1" width="6.7109375" style="43" customWidth="1"/>
    <col min="2" max="2" width="6.5703125" style="43" customWidth="1"/>
    <col min="3" max="5" width="13.7109375" style="43" customWidth="1"/>
    <col min="6" max="6" width="17.28515625" style="43" bestFit="1" customWidth="1"/>
    <col min="7" max="7" width="13.7109375" style="43" customWidth="1"/>
    <col min="8" max="8" width="16.42578125" style="43" customWidth="1"/>
    <col min="9" max="9" width="13.7109375" style="43" customWidth="1"/>
    <col min="10" max="16384" width="9.140625" style="43"/>
  </cols>
  <sheetData>
    <row r="1" spans="1:8" x14ac:dyDescent="0.2">
      <c r="G1" s="562" t="s">
        <v>301</v>
      </c>
      <c r="H1" s="61" t="str">
        <f>EBNUMBER</f>
        <v>EB-2016-0066</v>
      </c>
    </row>
    <row r="2" spans="1:8" x14ac:dyDescent="0.2">
      <c r="G2" s="562" t="s">
        <v>302</v>
      </c>
      <c r="H2" s="62"/>
    </row>
    <row r="3" spans="1:8" x14ac:dyDescent="0.2">
      <c r="G3" s="562" t="s">
        <v>303</v>
      </c>
      <c r="H3" s="62"/>
    </row>
    <row r="4" spans="1:8" x14ac:dyDescent="0.2">
      <c r="G4" s="562" t="s">
        <v>304</v>
      </c>
      <c r="H4" s="62"/>
    </row>
    <row r="5" spans="1:8" x14ac:dyDescent="0.2">
      <c r="G5" s="562" t="s">
        <v>305</v>
      </c>
      <c r="H5" s="63"/>
    </row>
    <row r="6" spans="1:8" x14ac:dyDescent="0.2">
      <c r="G6" s="562"/>
      <c r="H6" s="61"/>
    </row>
    <row r="7" spans="1:8" x14ac:dyDescent="0.2">
      <c r="G7" s="562" t="s">
        <v>306</v>
      </c>
      <c r="H7" s="63"/>
    </row>
    <row r="9" spans="1:8" ht="18" x14ac:dyDescent="0.25">
      <c r="A9" s="1546" t="s">
        <v>1438</v>
      </c>
      <c r="B9" s="1546"/>
      <c r="C9" s="1546"/>
      <c r="D9" s="1546"/>
      <c r="E9" s="1546"/>
      <c r="F9" s="1546"/>
      <c r="G9" s="1546"/>
      <c r="H9" s="1546"/>
    </row>
    <row r="10" spans="1:8" ht="18" x14ac:dyDescent="0.25">
      <c r="A10" s="1546" t="s">
        <v>181</v>
      </c>
      <c r="B10" s="1546"/>
      <c r="C10" s="1546"/>
      <c r="D10" s="1546"/>
      <c r="E10" s="1546"/>
      <c r="F10" s="1546"/>
      <c r="G10" s="1546"/>
      <c r="H10" s="1546"/>
    </row>
    <row r="11" spans="1:8" ht="13.5" thickBot="1" x14ac:dyDescent="0.25"/>
    <row r="12" spans="1:8" ht="51" x14ac:dyDescent="0.2">
      <c r="A12" s="1000" t="s">
        <v>15</v>
      </c>
      <c r="B12" s="1001" t="s">
        <v>311</v>
      </c>
      <c r="C12" s="66" t="s">
        <v>16</v>
      </c>
      <c r="D12" s="66" t="s">
        <v>17</v>
      </c>
      <c r="E12" s="66" t="s">
        <v>227</v>
      </c>
      <c r="F12" s="66" t="s">
        <v>18</v>
      </c>
      <c r="G12" s="66" t="s">
        <v>19</v>
      </c>
      <c r="H12" s="1002" t="s">
        <v>20</v>
      </c>
    </row>
    <row r="13" spans="1:8" x14ac:dyDescent="0.2">
      <c r="A13" s="1003"/>
      <c r="B13" s="588"/>
      <c r="C13" s="923" t="s">
        <v>21</v>
      </c>
      <c r="D13" s="923" t="s">
        <v>22</v>
      </c>
      <c r="E13" s="923" t="s">
        <v>228</v>
      </c>
      <c r="F13" s="923" t="s">
        <v>99</v>
      </c>
      <c r="G13" s="923" t="s">
        <v>24</v>
      </c>
      <c r="H13" s="1004" t="s">
        <v>229</v>
      </c>
    </row>
    <row r="14" spans="1:8" x14ac:dyDescent="0.2">
      <c r="A14" s="1005">
        <v>2006</v>
      </c>
      <c r="B14" s="1006"/>
      <c r="C14" s="173"/>
      <c r="D14" s="173"/>
      <c r="E14" s="173"/>
      <c r="F14" s="174">
        <f t="shared" ref="F14:F24" si="0">C14-D14-E14</f>
        <v>0</v>
      </c>
      <c r="G14" s="173"/>
      <c r="H14" s="1007">
        <f t="shared" ref="H14:H24" si="1">F14-G14</f>
        <v>0</v>
      </c>
    </row>
    <row r="15" spans="1:8" x14ac:dyDescent="0.2">
      <c r="A15" s="1005">
        <v>2007</v>
      </c>
      <c r="B15" s="1006"/>
      <c r="C15" s="173"/>
      <c r="D15" s="173"/>
      <c r="E15" s="173"/>
      <c r="F15" s="174">
        <f t="shared" si="0"/>
        <v>0</v>
      </c>
      <c r="G15" s="173"/>
      <c r="H15" s="1007">
        <f t="shared" si="1"/>
        <v>0</v>
      </c>
    </row>
    <row r="16" spans="1:8" x14ac:dyDescent="0.2">
      <c r="A16" s="1005">
        <v>2008</v>
      </c>
      <c r="B16" s="1006"/>
      <c r="C16" s="173"/>
      <c r="D16" s="173"/>
      <c r="E16" s="173"/>
      <c r="F16" s="174">
        <f t="shared" si="0"/>
        <v>0</v>
      </c>
      <c r="G16" s="173"/>
      <c r="H16" s="1007">
        <f t="shared" si="1"/>
        <v>0</v>
      </c>
    </row>
    <row r="17" spans="1:8" x14ac:dyDescent="0.2">
      <c r="A17" s="1005">
        <v>2009</v>
      </c>
      <c r="B17" s="1006"/>
      <c r="C17" s="173"/>
      <c r="D17" s="173"/>
      <c r="E17" s="173"/>
      <c r="F17" s="174">
        <f t="shared" si="0"/>
        <v>0</v>
      </c>
      <c r="G17" s="173"/>
      <c r="H17" s="1007">
        <f t="shared" si="1"/>
        <v>0</v>
      </c>
    </row>
    <row r="18" spans="1:8" x14ac:dyDescent="0.2">
      <c r="A18" s="1005">
        <v>2010</v>
      </c>
      <c r="B18" s="1006"/>
      <c r="C18" s="173"/>
      <c r="D18" s="173"/>
      <c r="E18" s="173"/>
      <c r="F18" s="174">
        <f t="shared" si="0"/>
        <v>0</v>
      </c>
      <c r="G18" s="173"/>
      <c r="H18" s="1007">
        <f t="shared" si="1"/>
        <v>0</v>
      </c>
    </row>
    <row r="19" spans="1:8" x14ac:dyDescent="0.2">
      <c r="A19" s="1005">
        <v>2011</v>
      </c>
      <c r="B19" s="1006"/>
      <c r="C19" s="173"/>
      <c r="D19" s="173"/>
      <c r="E19" s="173"/>
      <c r="F19" s="174">
        <f t="shared" si="0"/>
        <v>0</v>
      </c>
      <c r="G19" s="173"/>
      <c r="H19" s="1007">
        <f t="shared" si="1"/>
        <v>0</v>
      </c>
    </row>
    <row r="20" spans="1:8" x14ac:dyDescent="0.2">
      <c r="A20" s="1008">
        <v>2012</v>
      </c>
      <c r="B20" s="1009"/>
      <c r="C20" s="773"/>
      <c r="D20" s="773"/>
      <c r="E20" s="773"/>
      <c r="F20" s="174">
        <f t="shared" si="0"/>
        <v>0</v>
      </c>
      <c r="G20" s="773"/>
      <c r="H20" s="1007">
        <f t="shared" si="1"/>
        <v>0</v>
      </c>
    </row>
    <row r="21" spans="1:8" x14ac:dyDescent="0.2">
      <c r="A21" s="1008">
        <v>2013</v>
      </c>
      <c r="B21" s="1009"/>
      <c r="C21" s="773"/>
      <c r="D21" s="773"/>
      <c r="E21" s="773"/>
      <c r="F21" s="174">
        <f>C21-D21-E21</f>
        <v>0</v>
      </c>
      <c r="G21" s="773"/>
      <c r="H21" s="1007">
        <f>F21-G21</f>
        <v>0</v>
      </c>
    </row>
    <row r="22" spans="1:8" x14ac:dyDescent="0.2">
      <c r="A22" s="1008">
        <v>2014</v>
      </c>
      <c r="B22" s="1009"/>
      <c r="C22" s="773"/>
      <c r="D22" s="773"/>
      <c r="E22" s="773"/>
      <c r="F22" s="174">
        <f>C22-D22-E22</f>
        <v>0</v>
      </c>
      <c r="G22" s="773"/>
      <c r="H22" s="1007">
        <f>F22-G22</f>
        <v>0</v>
      </c>
    </row>
    <row r="23" spans="1:8" x14ac:dyDescent="0.2">
      <c r="A23" s="1008">
        <v>2015</v>
      </c>
      <c r="B23" s="1009"/>
      <c r="C23" s="773"/>
      <c r="D23" s="773"/>
      <c r="E23" s="773"/>
      <c r="F23" s="1099"/>
      <c r="G23" s="773"/>
      <c r="H23" s="1100"/>
    </row>
    <row r="24" spans="1:8" ht="13.5" thickBot="1" x14ac:dyDescent="0.25">
      <c r="A24" s="1010">
        <v>2016</v>
      </c>
      <c r="B24" s="1011" t="s">
        <v>310</v>
      </c>
      <c r="C24" s="1012"/>
      <c r="D24" s="1012"/>
      <c r="E24" s="1012"/>
      <c r="F24" s="914">
        <f t="shared" si="0"/>
        <v>0</v>
      </c>
      <c r="G24" s="1012"/>
      <c r="H24" s="1013">
        <f t="shared" si="1"/>
        <v>0</v>
      </c>
    </row>
    <row r="26" spans="1:8" x14ac:dyDescent="0.2">
      <c r="A26" s="60" t="s">
        <v>11</v>
      </c>
    </row>
    <row r="27" spans="1:8" x14ac:dyDescent="0.2">
      <c r="A27" s="60"/>
    </row>
    <row r="28" spans="1:8" x14ac:dyDescent="0.2">
      <c r="A28" s="1014" t="s">
        <v>310</v>
      </c>
      <c r="B28" s="1015" t="s">
        <v>1040</v>
      </c>
      <c r="C28" s="1015"/>
      <c r="D28" s="1015"/>
      <c r="E28" s="1015"/>
      <c r="F28" s="1015"/>
      <c r="G28" s="1015"/>
    </row>
    <row r="30" spans="1:8" x14ac:dyDescent="0.2">
      <c r="A30" s="1549" t="s">
        <v>187</v>
      </c>
      <c r="B30" s="1549"/>
      <c r="C30" s="1549"/>
      <c r="D30" s="1549"/>
      <c r="E30" s="1549"/>
      <c r="F30" s="1549"/>
      <c r="G30" s="1549"/>
      <c r="H30" s="1549"/>
    </row>
    <row r="31" spans="1:8" x14ac:dyDescent="0.2">
      <c r="A31" s="1549"/>
      <c r="B31" s="1549"/>
      <c r="C31" s="1549"/>
      <c r="D31" s="1549"/>
      <c r="E31" s="1549"/>
      <c r="F31" s="1549"/>
      <c r="G31" s="1549"/>
      <c r="H31" s="1549"/>
    </row>
    <row r="32" spans="1:8" x14ac:dyDescent="0.2">
      <c r="A32" s="1549"/>
      <c r="B32" s="1549"/>
      <c r="C32" s="1549"/>
      <c r="D32" s="1549"/>
      <c r="E32" s="1549"/>
      <c r="F32" s="1549"/>
      <c r="G32" s="1549"/>
      <c r="H32" s="1549"/>
    </row>
    <row r="33" spans="1:8" x14ac:dyDescent="0.2">
      <c r="A33" s="1549"/>
      <c r="B33" s="1549"/>
      <c r="C33" s="1549"/>
      <c r="D33" s="1549"/>
      <c r="E33" s="1549"/>
      <c r="F33" s="1549"/>
      <c r="G33" s="1549"/>
      <c r="H33" s="1549"/>
    </row>
    <row r="35" spans="1:8" x14ac:dyDescent="0.2">
      <c r="A35" s="1990" t="s">
        <v>618</v>
      </c>
      <c r="B35" s="1991"/>
      <c r="C35" s="1991"/>
      <c r="D35" s="1991"/>
      <c r="E35" s="1991"/>
      <c r="F35" s="1991"/>
      <c r="G35" s="1991"/>
      <c r="H35" s="1991"/>
    </row>
    <row r="36" spans="1:8" x14ac:dyDescent="0.2">
      <c r="A36" s="1991"/>
      <c r="B36" s="1991"/>
      <c r="C36" s="1991"/>
      <c r="D36" s="1991"/>
      <c r="E36" s="1991"/>
      <c r="F36" s="1991"/>
      <c r="G36" s="1991"/>
      <c r="H36" s="1991"/>
    </row>
    <row r="38" spans="1:8" x14ac:dyDescent="0.2">
      <c r="A38" s="1078">
        <v>1</v>
      </c>
      <c r="B38" s="1891" t="s">
        <v>188</v>
      </c>
      <c r="C38" s="1891"/>
      <c r="D38" s="1891"/>
      <c r="E38" s="1891"/>
      <c r="F38" s="1891"/>
      <c r="G38" s="1891"/>
      <c r="H38" s="1891"/>
    </row>
    <row r="39" spans="1:8" x14ac:dyDescent="0.2">
      <c r="B39" s="1891"/>
      <c r="C39" s="1891"/>
      <c r="D39" s="1891"/>
      <c r="E39" s="1891"/>
      <c r="F39" s="1891"/>
      <c r="G39" s="1891"/>
      <c r="H39" s="1891"/>
    </row>
    <row r="41" spans="1:8" ht="12.75" customHeight="1" x14ac:dyDescent="0.2">
      <c r="A41" s="1078">
        <v>2</v>
      </c>
      <c r="B41" s="1986" t="s">
        <v>230</v>
      </c>
      <c r="C41" s="1986"/>
      <c r="D41" s="1986"/>
      <c r="E41" s="1986"/>
      <c r="F41" s="1986"/>
      <c r="G41" s="1986"/>
      <c r="H41" s="1986"/>
    </row>
    <row r="42" spans="1:8" x14ac:dyDescent="0.2">
      <c r="B42" s="1986"/>
      <c r="C42" s="1986"/>
      <c r="D42" s="1986"/>
      <c r="E42" s="1986"/>
      <c r="F42" s="1986"/>
      <c r="G42" s="1986"/>
      <c r="H42" s="1986"/>
    </row>
    <row r="43" spans="1:8" x14ac:dyDescent="0.2">
      <c r="B43" s="1986"/>
      <c r="C43" s="1986"/>
      <c r="D43" s="1986"/>
      <c r="E43" s="1986"/>
      <c r="F43" s="1986"/>
      <c r="G43" s="1986"/>
      <c r="H43" s="1986"/>
    </row>
    <row r="45" spans="1:8" x14ac:dyDescent="0.2">
      <c r="A45" s="1078">
        <v>3</v>
      </c>
      <c r="B45" s="1891" t="s">
        <v>189</v>
      </c>
      <c r="C45" s="1891"/>
      <c r="D45" s="1891"/>
      <c r="E45" s="1891"/>
      <c r="F45" s="1891"/>
      <c r="G45" s="1891"/>
      <c r="H45" s="1891"/>
    </row>
    <row r="46" spans="1:8" x14ac:dyDescent="0.2">
      <c r="B46" s="1891"/>
      <c r="C46" s="1891"/>
      <c r="D46" s="1891"/>
      <c r="E46" s="1891"/>
      <c r="F46" s="1891"/>
      <c r="G46" s="1891"/>
      <c r="H46" s="1891"/>
    </row>
    <row r="47" spans="1:8" x14ac:dyDescent="0.2">
      <c r="B47" s="1891"/>
      <c r="C47" s="1891"/>
      <c r="D47" s="1891"/>
      <c r="E47" s="1891"/>
      <c r="F47" s="1891"/>
      <c r="G47" s="1891"/>
      <c r="H47" s="1891"/>
    </row>
    <row r="48" spans="1:8" x14ac:dyDescent="0.2">
      <c r="B48" s="1891"/>
      <c r="C48" s="1891"/>
      <c r="D48" s="1891"/>
      <c r="E48" s="1891"/>
      <c r="F48" s="1891"/>
      <c r="G48" s="1891"/>
      <c r="H48" s="1891"/>
    </row>
    <row r="50" spans="2:8" x14ac:dyDescent="0.2">
      <c r="B50" s="1891" t="s">
        <v>82</v>
      </c>
      <c r="C50" s="1891"/>
      <c r="D50" s="1891"/>
      <c r="E50" s="1891"/>
      <c r="F50" s="1891"/>
      <c r="G50" s="1891"/>
      <c r="H50" s="1891"/>
    </row>
    <row r="51" spans="2:8" x14ac:dyDescent="0.2">
      <c r="B51" s="1891"/>
      <c r="C51" s="1891"/>
      <c r="D51" s="1891"/>
      <c r="E51" s="1891"/>
      <c r="F51" s="1891"/>
      <c r="G51" s="1891"/>
      <c r="H51" s="1891"/>
    </row>
    <row r="52" spans="2:8" x14ac:dyDescent="0.2">
      <c r="B52" s="1891"/>
      <c r="C52" s="1891"/>
      <c r="D52" s="1891"/>
      <c r="E52" s="1891"/>
      <c r="F52" s="1891"/>
      <c r="G52" s="1891"/>
      <c r="H52" s="1891"/>
    </row>
    <row r="53" spans="2:8" x14ac:dyDescent="0.2">
      <c r="B53" s="1891"/>
      <c r="C53" s="1891"/>
      <c r="D53" s="1891"/>
      <c r="E53" s="1891"/>
      <c r="F53" s="1891"/>
      <c r="G53" s="1891"/>
      <c r="H53" s="1891"/>
    </row>
    <row r="55" spans="2:8" x14ac:dyDescent="0.2">
      <c r="B55" s="43" t="s">
        <v>184</v>
      </c>
      <c r="C55" s="1891" t="s">
        <v>192</v>
      </c>
      <c r="D55" s="1891"/>
      <c r="E55" s="1891"/>
      <c r="F55" s="1891"/>
      <c r="G55" s="1891"/>
      <c r="H55" s="1891"/>
    </row>
    <row r="56" spans="2:8" x14ac:dyDescent="0.2">
      <c r="C56" s="1891"/>
      <c r="D56" s="1891"/>
      <c r="E56" s="1891"/>
      <c r="F56" s="1891"/>
      <c r="G56" s="1891"/>
      <c r="H56" s="1891"/>
    </row>
    <row r="58" spans="2:8" x14ac:dyDescent="0.2">
      <c r="B58" s="43" t="s">
        <v>185</v>
      </c>
      <c r="C58" s="1549" t="s">
        <v>193</v>
      </c>
      <c r="D58" s="1549"/>
      <c r="E58" s="1549"/>
      <c r="F58" s="1549"/>
      <c r="G58" s="1549"/>
      <c r="H58" s="1549"/>
    </row>
    <row r="59" spans="2:8" x14ac:dyDescent="0.2">
      <c r="C59" s="1549"/>
      <c r="D59" s="1549"/>
      <c r="E59" s="1549"/>
      <c r="F59" s="1549"/>
      <c r="G59" s="1549"/>
      <c r="H59" s="1549"/>
    </row>
    <row r="60" spans="2:8" x14ac:dyDescent="0.2">
      <c r="C60" s="1549"/>
      <c r="D60" s="1549"/>
      <c r="E60" s="1549"/>
      <c r="F60" s="1549"/>
      <c r="G60" s="1549"/>
      <c r="H60" s="1549"/>
    </row>
    <row r="61" spans="2:8" x14ac:dyDescent="0.2">
      <c r="C61" s="1549"/>
      <c r="D61" s="1549"/>
      <c r="E61" s="1549"/>
      <c r="F61" s="1549"/>
      <c r="G61" s="1549"/>
      <c r="H61" s="1549"/>
    </row>
    <row r="63" spans="2:8" x14ac:dyDescent="0.2">
      <c r="B63" s="43" t="s">
        <v>186</v>
      </c>
      <c r="C63" s="1549" t="s">
        <v>232</v>
      </c>
      <c r="D63" s="1549"/>
      <c r="E63" s="1549"/>
      <c r="F63" s="1549"/>
      <c r="G63" s="1549"/>
      <c r="H63" s="1549"/>
    </row>
    <row r="64" spans="2:8" x14ac:dyDescent="0.2">
      <c r="C64" s="1549"/>
      <c r="D64" s="1549"/>
      <c r="E64" s="1549"/>
      <c r="F64" s="1549"/>
      <c r="G64" s="1549"/>
      <c r="H64" s="1549"/>
    </row>
    <row r="65" spans="1:8" x14ac:dyDescent="0.2">
      <c r="C65" s="1549"/>
      <c r="D65" s="1549"/>
      <c r="E65" s="1549"/>
      <c r="F65" s="1549"/>
      <c r="G65" s="1549"/>
      <c r="H65" s="1549"/>
    </row>
    <row r="67" spans="1:8" x14ac:dyDescent="0.2">
      <c r="A67" s="1990" t="s">
        <v>617</v>
      </c>
      <c r="B67" s="1991"/>
      <c r="C67" s="1991"/>
      <c r="D67" s="1991"/>
      <c r="E67" s="1991"/>
      <c r="F67" s="1991"/>
      <c r="G67" s="1991"/>
      <c r="H67" s="1991"/>
    </row>
    <row r="68" spans="1:8" x14ac:dyDescent="0.2">
      <c r="A68" s="1991"/>
      <c r="B68" s="1991"/>
      <c r="C68" s="1991"/>
      <c r="D68" s="1991"/>
      <c r="E68" s="1991"/>
      <c r="F68" s="1991"/>
      <c r="G68" s="1991"/>
      <c r="H68" s="1991"/>
    </row>
    <row r="70" spans="1:8" x14ac:dyDescent="0.2">
      <c r="A70" s="1078">
        <v>1</v>
      </c>
      <c r="B70" s="1891" t="s">
        <v>188</v>
      </c>
      <c r="C70" s="1891"/>
      <c r="D70" s="1891"/>
      <c r="E70" s="1891"/>
      <c r="F70" s="1891"/>
      <c r="G70" s="1891"/>
      <c r="H70" s="1891"/>
    </row>
    <row r="71" spans="1:8" x14ac:dyDescent="0.2">
      <c r="A71" s="1078"/>
      <c r="B71" s="1891"/>
      <c r="C71" s="1891"/>
      <c r="D71" s="1891"/>
      <c r="E71" s="1891"/>
      <c r="F71" s="1891"/>
      <c r="G71" s="1891"/>
      <c r="H71" s="1891"/>
    </row>
    <row r="72" spans="1:8" x14ac:dyDescent="0.2">
      <c r="A72" s="1078"/>
    </row>
    <row r="73" spans="1:8" ht="12.75" customHeight="1" x14ac:dyDescent="0.2">
      <c r="A73" s="1078">
        <v>2</v>
      </c>
      <c r="B73" s="1989" t="s">
        <v>231</v>
      </c>
      <c r="C73" s="1989"/>
      <c r="D73" s="1989"/>
      <c r="E73" s="1989"/>
      <c r="F73" s="1989"/>
      <c r="G73" s="1989"/>
      <c r="H73" s="1989"/>
    </row>
    <row r="74" spans="1:8" x14ac:dyDescent="0.2">
      <c r="A74" s="1078"/>
      <c r="B74" s="1989"/>
      <c r="C74" s="1989"/>
      <c r="D74" s="1989"/>
      <c r="E74" s="1989"/>
      <c r="F74" s="1989"/>
      <c r="G74" s="1989"/>
      <c r="H74" s="1989"/>
    </row>
    <row r="75" spans="1:8" x14ac:dyDescent="0.2">
      <c r="A75" s="1078"/>
      <c r="B75" s="1989"/>
      <c r="C75" s="1989"/>
      <c r="D75" s="1989"/>
      <c r="E75" s="1989"/>
      <c r="F75" s="1989"/>
      <c r="G75" s="1989"/>
      <c r="H75" s="1989"/>
    </row>
    <row r="76" spans="1:8" x14ac:dyDescent="0.2">
      <c r="A76" s="1078"/>
      <c r="B76" s="1080"/>
      <c r="C76" s="1080"/>
      <c r="D76" s="1080"/>
      <c r="E76" s="1080"/>
      <c r="F76" s="1080"/>
      <c r="G76" s="1080"/>
      <c r="H76" s="1080"/>
    </row>
    <row r="77" spans="1:8" x14ac:dyDescent="0.2">
      <c r="A77" s="1078">
        <v>3</v>
      </c>
      <c r="B77" s="1891" t="s">
        <v>83</v>
      </c>
      <c r="C77" s="1891"/>
      <c r="D77" s="1891"/>
      <c r="E77" s="1891"/>
      <c r="F77" s="1891"/>
      <c r="G77" s="1891"/>
      <c r="H77" s="1891"/>
    </row>
    <row r="78" spans="1:8" x14ac:dyDescent="0.2">
      <c r="A78" s="1078"/>
      <c r="B78" s="1891"/>
      <c r="C78" s="1891"/>
      <c r="D78" s="1891"/>
      <c r="E78" s="1891"/>
      <c r="F78" s="1891"/>
      <c r="G78" s="1891"/>
      <c r="H78" s="1891"/>
    </row>
    <row r="79" spans="1:8" x14ac:dyDescent="0.2">
      <c r="A79" s="1078"/>
      <c r="B79" s="1891"/>
      <c r="C79" s="1891"/>
      <c r="D79" s="1891"/>
      <c r="E79" s="1891"/>
      <c r="F79" s="1891"/>
      <c r="G79" s="1891"/>
      <c r="H79" s="1891"/>
    </row>
    <row r="80" spans="1:8" x14ac:dyDescent="0.2">
      <c r="A80" s="1078"/>
    </row>
    <row r="81" spans="1:8" x14ac:dyDescent="0.2">
      <c r="A81" s="1078">
        <v>4</v>
      </c>
      <c r="B81" s="1891" t="s">
        <v>196</v>
      </c>
      <c r="C81" s="1891"/>
      <c r="D81" s="1891"/>
      <c r="E81" s="1891"/>
      <c r="F81" s="1891"/>
      <c r="G81" s="1891"/>
      <c r="H81" s="1891"/>
    </row>
    <row r="82" spans="1:8" x14ac:dyDescent="0.2">
      <c r="A82" s="1078"/>
      <c r="B82" s="1891"/>
      <c r="C82" s="1891"/>
      <c r="D82" s="1891"/>
      <c r="E82" s="1891"/>
      <c r="F82" s="1891"/>
      <c r="G82" s="1891"/>
      <c r="H82" s="1891"/>
    </row>
    <row r="83" spans="1:8" x14ac:dyDescent="0.2">
      <c r="A83" s="1078"/>
      <c r="B83" s="1891"/>
      <c r="C83" s="1891"/>
      <c r="D83" s="1891"/>
      <c r="E83" s="1891"/>
      <c r="F83" s="1891"/>
      <c r="G83" s="1891"/>
      <c r="H83" s="1891"/>
    </row>
    <row r="84" spans="1:8" x14ac:dyDescent="0.2">
      <c r="A84" s="1078"/>
    </row>
    <row r="85" spans="1:8" x14ac:dyDescent="0.2">
      <c r="A85" s="1078">
        <v>5</v>
      </c>
      <c r="B85" s="1891" t="s">
        <v>84</v>
      </c>
      <c r="C85" s="1891"/>
      <c r="D85" s="1891"/>
      <c r="E85" s="1891"/>
      <c r="F85" s="1891"/>
      <c r="G85" s="1891"/>
      <c r="H85" s="1891"/>
    </row>
    <row r="86" spans="1:8" x14ac:dyDescent="0.2">
      <c r="A86" s="1078"/>
      <c r="B86" s="1891"/>
      <c r="C86" s="1891"/>
      <c r="D86" s="1891"/>
      <c r="E86" s="1891"/>
      <c r="F86" s="1891"/>
      <c r="G86" s="1891"/>
      <c r="H86" s="1891"/>
    </row>
    <row r="87" spans="1:8" x14ac:dyDescent="0.2">
      <c r="A87" s="1078"/>
      <c r="B87" s="1891"/>
      <c r="C87" s="1891"/>
      <c r="D87" s="1891"/>
      <c r="E87" s="1891"/>
      <c r="F87" s="1891"/>
      <c r="G87" s="1891"/>
      <c r="H87" s="1891"/>
    </row>
    <row r="88" spans="1:8" x14ac:dyDescent="0.2">
      <c r="A88" s="1078"/>
    </row>
    <row r="89" spans="1:8" x14ac:dyDescent="0.2">
      <c r="A89" s="1078">
        <v>6</v>
      </c>
      <c r="B89" s="1891" t="s">
        <v>85</v>
      </c>
      <c r="C89" s="1891"/>
      <c r="D89" s="1891"/>
      <c r="E89" s="1891"/>
      <c r="F89" s="1891"/>
      <c r="G89" s="1891"/>
      <c r="H89" s="1891"/>
    </row>
    <row r="90" spans="1:8" x14ac:dyDescent="0.2">
      <c r="A90" s="1078"/>
      <c r="B90" s="1891"/>
      <c r="C90" s="1891"/>
      <c r="D90" s="1891"/>
      <c r="E90" s="1891"/>
      <c r="F90" s="1891"/>
      <c r="G90" s="1891"/>
      <c r="H90" s="1891"/>
    </row>
    <row r="91" spans="1:8" ht="15" customHeight="1" x14ac:dyDescent="0.2"/>
    <row r="92" spans="1:8" ht="12.75" customHeight="1" x14ac:dyDescent="0.2">
      <c r="A92" s="1556" t="s">
        <v>1015</v>
      </c>
      <c r="B92" s="1557"/>
      <c r="C92" s="1557"/>
      <c r="D92" s="1557"/>
      <c r="E92" s="1557"/>
      <c r="F92" s="1557"/>
      <c r="G92" s="1557"/>
      <c r="H92" s="1557"/>
    </row>
    <row r="93" spans="1:8" x14ac:dyDescent="0.2">
      <c r="A93" s="1557"/>
      <c r="B93" s="1557"/>
      <c r="C93" s="1557"/>
      <c r="D93" s="1557"/>
      <c r="E93" s="1557"/>
      <c r="F93" s="1557"/>
      <c r="G93" s="1557"/>
      <c r="H93" s="1557"/>
    </row>
    <row r="94" spans="1:8" x14ac:dyDescent="0.2">
      <c r="A94" s="1557"/>
      <c r="B94" s="1557"/>
      <c r="C94" s="1557"/>
      <c r="D94" s="1557"/>
      <c r="E94" s="1557"/>
      <c r="F94" s="1557"/>
      <c r="G94" s="1557"/>
      <c r="H94" s="1557"/>
    </row>
    <row r="95" spans="1:8" x14ac:dyDescent="0.2">
      <c r="A95" s="1557"/>
      <c r="B95" s="1557"/>
      <c r="C95" s="1557"/>
      <c r="D95" s="1557"/>
      <c r="E95" s="1557"/>
      <c r="F95" s="1557"/>
      <c r="G95" s="1557"/>
      <c r="H95" s="1557"/>
    </row>
  </sheetData>
  <sheetProtection password="F8BD" sheet="1" objects="1" scenarios="1"/>
  <mergeCells count="19">
    <mergeCell ref="A9:H9"/>
    <mergeCell ref="A10:H10"/>
    <mergeCell ref="A30:H33"/>
    <mergeCell ref="A35:H36"/>
    <mergeCell ref="C55:H56"/>
    <mergeCell ref="C63:H65"/>
    <mergeCell ref="A67:H68"/>
    <mergeCell ref="B38:H39"/>
    <mergeCell ref="B41:H43"/>
    <mergeCell ref="B45:H48"/>
    <mergeCell ref="B50:H53"/>
    <mergeCell ref="C58:H61"/>
    <mergeCell ref="A92:H95"/>
    <mergeCell ref="B85:H87"/>
    <mergeCell ref="B89:H90"/>
    <mergeCell ref="B70:H71"/>
    <mergeCell ref="B77:H79"/>
    <mergeCell ref="B81:H83"/>
    <mergeCell ref="B73:H75"/>
  </mergeCells>
  <phoneticPr fontId="16" type="noConversion"/>
  <dataValidations count="1">
    <dataValidation allowBlank="1" showInputMessage="1" showErrorMessage="1" promptTitle="Date Format" prompt="E.g:  &quot;August 1, 2011&quot;" sqref="H7"/>
  </dataValidations>
  <pageMargins left="0.74803149606299213" right="0.74803149606299213" top="0.98425196850393704" bottom="0.98425196850393704" header="0.51181102362204722" footer="0.51181102362204722"/>
  <pageSetup scale="77" fitToHeight="0" orientation="portrait" r:id="rId1"/>
  <headerFooter alignWithMargins="0"/>
  <rowBreaks count="1" manualBreakCount="1">
    <brk id="65" max="7"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rgb="FFFFC000"/>
    <pageSetUpPr fitToPage="1"/>
  </sheetPr>
  <dimension ref="A1:T40"/>
  <sheetViews>
    <sheetView showGridLines="0" zoomScaleNormal="100" workbookViewId="0">
      <selection activeCell="A9" sqref="A9:I9"/>
    </sheetView>
  </sheetViews>
  <sheetFormatPr defaultRowHeight="12.75" x14ac:dyDescent="0.2"/>
  <cols>
    <col min="1" max="2" width="9.140625" style="52"/>
    <col min="3" max="3" width="15.5703125" style="52" customWidth="1"/>
    <col min="4" max="6" width="14.7109375" style="52" customWidth="1"/>
    <col min="7" max="9" width="20.7109375" style="52" customWidth="1"/>
    <col min="10" max="16384" width="9.140625" style="52"/>
  </cols>
  <sheetData>
    <row r="1" spans="1:9" x14ac:dyDescent="0.2">
      <c r="H1" s="152" t="s">
        <v>301</v>
      </c>
      <c r="I1" s="1092" t="str">
        <f>EBNUMBER</f>
        <v>EB-2016-0066</v>
      </c>
    </row>
    <row r="2" spans="1:9" x14ac:dyDescent="0.2">
      <c r="H2" s="152" t="s">
        <v>302</v>
      </c>
      <c r="I2" s="51"/>
    </row>
    <row r="3" spans="1:9" x14ac:dyDescent="0.2">
      <c r="H3" s="152" t="s">
        <v>303</v>
      </c>
      <c r="I3" s="51"/>
    </row>
    <row r="4" spans="1:9" x14ac:dyDescent="0.2">
      <c r="H4" s="152" t="s">
        <v>304</v>
      </c>
      <c r="I4" s="51"/>
    </row>
    <row r="5" spans="1:9" x14ac:dyDescent="0.2">
      <c r="H5" s="152" t="s">
        <v>305</v>
      </c>
      <c r="I5" s="1093"/>
    </row>
    <row r="6" spans="1:9" x14ac:dyDescent="0.2">
      <c r="H6" s="152"/>
      <c r="I6" s="1092"/>
    </row>
    <row r="7" spans="1:9" x14ac:dyDescent="0.2">
      <c r="H7" s="152" t="s">
        <v>306</v>
      </c>
      <c r="I7" s="1093"/>
    </row>
    <row r="9" spans="1:9" ht="18" x14ac:dyDescent="0.25">
      <c r="A9" s="1591" t="s">
        <v>1439</v>
      </c>
      <c r="B9" s="1728"/>
      <c r="C9" s="1728"/>
      <c r="D9" s="1728"/>
      <c r="E9" s="1728"/>
      <c r="F9" s="1728"/>
      <c r="G9" s="1728"/>
      <c r="H9" s="1728"/>
      <c r="I9" s="1728"/>
    </row>
    <row r="10" spans="1:9" ht="18" x14ac:dyDescent="0.25">
      <c r="A10" s="1591" t="s">
        <v>523</v>
      </c>
      <c r="B10" s="1729"/>
      <c r="C10" s="1729"/>
      <c r="D10" s="1729"/>
      <c r="E10" s="1729"/>
      <c r="F10" s="1729"/>
      <c r="G10" s="1729"/>
      <c r="H10" s="1729"/>
      <c r="I10" s="1729"/>
    </row>
    <row r="11" spans="1:9" ht="18" x14ac:dyDescent="0.25">
      <c r="A11" s="1591" t="s">
        <v>524</v>
      </c>
      <c r="B11" s="1729"/>
      <c r="C11" s="1729"/>
      <c r="D11" s="1729"/>
      <c r="E11" s="1729"/>
      <c r="F11" s="1729"/>
      <c r="G11" s="1729"/>
      <c r="H11" s="1729"/>
      <c r="I11" s="1729"/>
    </row>
    <row r="14" spans="1:9" ht="13.5" thickBot="1" x14ac:dyDescent="0.25"/>
    <row r="15" spans="1:9" ht="12.75" customHeight="1" x14ac:dyDescent="0.2">
      <c r="A15" s="1712" t="s">
        <v>525</v>
      </c>
      <c r="B15" s="2044"/>
      <c r="C15" s="2045"/>
      <c r="D15" s="349">
        <f>TestYear</f>
        <v>2017</v>
      </c>
      <c r="E15" s="1017">
        <f>TestYear</f>
        <v>2017</v>
      </c>
      <c r="F15" s="1017" t="s">
        <v>73</v>
      </c>
      <c r="G15" s="2051" t="s">
        <v>526</v>
      </c>
      <c r="H15" s="2052"/>
      <c r="I15" s="2053"/>
    </row>
    <row r="16" spans="1:9" ht="14.25" x14ac:dyDescent="0.2">
      <c r="A16" s="1713"/>
      <c r="B16" s="2046"/>
      <c r="C16" s="2047"/>
      <c r="D16" s="350" t="s">
        <v>105</v>
      </c>
      <c r="E16" s="1249" t="s">
        <v>1186</v>
      </c>
      <c r="F16" s="1019"/>
      <c r="G16" s="2054" t="s">
        <v>1244</v>
      </c>
      <c r="H16" s="2055"/>
      <c r="I16" s="2056"/>
    </row>
    <row r="17" spans="1:9" ht="13.5" thickBot="1" x14ac:dyDescent="0.25">
      <c r="A17" s="2048"/>
      <c r="B17" s="2049"/>
      <c r="C17" s="2050"/>
      <c r="D17" s="1026"/>
      <c r="E17" s="1250"/>
      <c r="F17" s="1027"/>
      <c r="G17" s="1028"/>
      <c r="H17" s="1029"/>
      <c r="I17" s="1030"/>
    </row>
    <row r="18" spans="1:9" x14ac:dyDescent="0.2">
      <c r="A18" s="2032" t="s">
        <v>1032</v>
      </c>
      <c r="B18" s="2033"/>
      <c r="C18" s="2034"/>
      <c r="D18" s="1031"/>
      <c r="E18" s="1031"/>
      <c r="F18" s="1032">
        <f>+D18-E18</f>
        <v>0</v>
      </c>
      <c r="G18" s="2035"/>
      <c r="H18" s="2036"/>
      <c r="I18" s="2037"/>
    </row>
    <row r="19" spans="1:9" x14ac:dyDescent="0.2">
      <c r="A19" s="2038" t="s">
        <v>1113</v>
      </c>
      <c r="B19" s="2039"/>
      <c r="C19" s="2040"/>
      <c r="D19" s="339"/>
      <c r="E19" s="339"/>
      <c r="F19" s="1023">
        <f>+D19-E19</f>
        <v>0</v>
      </c>
      <c r="G19" s="1995"/>
      <c r="H19" s="1996"/>
      <c r="I19" s="1997"/>
    </row>
    <row r="20" spans="1:9" x14ac:dyDescent="0.2">
      <c r="A20" s="2041" t="s">
        <v>527</v>
      </c>
      <c r="B20" s="2042"/>
      <c r="C20" s="2043"/>
      <c r="D20" s="1033">
        <f>(D18+D19)/2</f>
        <v>0</v>
      </c>
      <c r="E20" s="1023">
        <f>(E18+E19)/2</f>
        <v>0</v>
      </c>
      <c r="F20" s="1023">
        <f>+D20-E20</f>
        <v>0</v>
      </c>
      <c r="G20" s="1995"/>
      <c r="H20" s="1996"/>
      <c r="I20" s="1997"/>
    </row>
    <row r="21" spans="1:9" x14ac:dyDescent="0.2">
      <c r="A21" s="2019" t="s">
        <v>528</v>
      </c>
      <c r="B21" s="2020"/>
      <c r="C21" s="2021"/>
      <c r="D21" s="339"/>
      <c r="E21" s="339"/>
      <c r="F21" s="1033">
        <f>+D21-E21</f>
        <v>0</v>
      </c>
      <c r="G21" s="2022"/>
      <c r="H21" s="1996"/>
      <c r="I21" s="1997"/>
    </row>
    <row r="22" spans="1:9" ht="13.5" thickBot="1" x14ac:dyDescent="0.25">
      <c r="A22" s="2023" t="s">
        <v>529</v>
      </c>
      <c r="B22" s="2024"/>
      <c r="C22" s="2025"/>
      <c r="D22" s="1034">
        <f>SUM(D20:D21)</f>
        <v>0</v>
      </c>
      <c r="E22" s="1034">
        <f>SUM(E20:E21)</f>
        <v>0</v>
      </c>
      <c r="F22" s="1033">
        <f>+D22-E22</f>
        <v>0</v>
      </c>
      <c r="G22" s="2026"/>
      <c r="H22" s="2027"/>
      <c r="I22" s="2028"/>
    </row>
    <row r="23" spans="1:9" ht="13.5" thickTop="1" x14ac:dyDescent="0.2">
      <c r="A23" s="2029"/>
      <c r="B23" s="2030"/>
      <c r="C23" s="2031"/>
      <c r="D23" s="2029"/>
      <c r="E23" s="2030"/>
      <c r="F23" s="2031">
        <f t="shared" ref="F23:F34" si="0">+D23-E23</f>
        <v>0</v>
      </c>
      <c r="G23" s="2029"/>
      <c r="H23" s="2030"/>
      <c r="I23" s="2031"/>
    </row>
    <row r="24" spans="1:9" x14ac:dyDescent="0.2">
      <c r="A24" s="2016" t="s">
        <v>530</v>
      </c>
      <c r="B24" s="2017"/>
      <c r="C24" s="2018"/>
      <c r="D24" s="339"/>
      <c r="E24" s="339"/>
      <c r="F24" s="1023">
        <f t="shared" si="0"/>
        <v>0</v>
      </c>
      <c r="G24" s="1995"/>
      <c r="H24" s="1996"/>
      <c r="I24" s="1997"/>
    </row>
    <row r="25" spans="1:9" x14ac:dyDescent="0.2">
      <c r="A25" s="2013"/>
      <c r="B25" s="2014"/>
      <c r="C25" s="2015"/>
      <c r="D25" s="339"/>
      <c r="E25" s="339"/>
      <c r="F25" s="1023">
        <f t="shared" si="0"/>
        <v>0</v>
      </c>
      <c r="G25" s="1995"/>
      <c r="H25" s="1996"/>
      <c r="I25" s="1997"/>
    </row>
    <row r="26" spans="1:9" x14ac:dyDescent="0.2">
      <c r="A26" s="1992" t="s">
        <v>119</v>
      </c>
      <c r="B26" s="1993"/>
      <c r="C26" s="1994"/>
      <c r="D26" s="339"/>
      <c r="E26" s="339"/>
      <c r="F26" s="1023">
        <f t="shared" si="0"/>
        <v>0</v>
      </c>
      <c r="G26" s="1995"/>
      <c r="H26" s="1996"/>
      <c r="I26" s="1997"/>
    </row>
    <row r="27" spans="1:9" ht="12.75" customHeight="1" x14ac:dyDescent="0.2">
      <c r="A27" s="1992" t="s">
        <v>531</v>
      </c>
      <c r="B27" s="1993"/>
      <c r="C27" s="1994"/>
      <c r="D27" s="339"/>
      <c r="E27" s="339"/>
      <c r="F27" s="1023">
        <f t="shared" si="0"/>
        <v>0</v>
      </c>
      <c r="G27" s="1995"/>
      <c r="H27" s="1996"/>
      <c r="I27" s="1997"/>
    </row>
    <row r="28" spans="1:9" x14ac:dyDescent="0.2">
      <c r="A28" s="2013" t="s">
        <v>532</v>
      </c>
      <c r="B28" s="2014"/>
      <c r="C28" s="2015"/>
      <c r="D28" s="339"/>
      <c r="E28" s="339"/>
      <c r="F28" s="1023">
        <f t="shared" si="0"/>
        <v>0</v>
      </c>
      <c r="G28" s="1995"/>
      <c r="H28" s="1996"/>
      <c r="I28" s="1997"/>
    </row>
    <row r="29" spans="1:9" x14ac:dyDescent="0.2">
      <c r="A29" s="2013"/>
      <c r="B29" s="2014"/>
      <c r="C29" s="2015"/>
      <c r="D29" s="339"/>
      <c r="E29" s="339"/>
      <c r="F29" s="1023">
        <f t="shared" si="0"/>
        <v>0</v>
      </c>
      <c r="G29" s="1995"/>
      <c r="H29" s="1996"/>
      <c r="I29" s="1997"/>
    </row>
    <row r="30" spans="1:9" x14ac:dyDescent="0.2">
      <c r="A30" s="1992" t="s">
        <v>533</v>
      </c>
      <c r="B30" s="1993"/>
      <c r="C30" s="1994"/>
      <c r="D30" s="339"/>
      <c r="E30" s="339"/>
      <c r="F30" s="1023">
        <f t="shared" si="0"/>
        <v>0</v>
      </c>
      <c r="G30" s="1995"/>
      <c r="H30" s="1996"/>
      <c r="I30" s="1997"/>
    </row>
    <row r="31" spans="1:9" x14ac:dyDescent="0.2">
      <c r="A31" s="1998"/>
      <c r="B31" s="1999"/>
      <c r="C31" s="2000"/>
      <c r="D31" s="339"/>
      <c r="E31" s="339"/>
      <c r="F31" s="1023">
        <f t="shared" si="0"/>
        <v>0</v>
      </c>
      <c r="G31" s="1995"/>
      <c r="H31" s="1996"/>
      <c r="I31" s="1997"/>
    </row>
    <row r="32" spans="1:9" x14ac:dyDescent="0.2">
      <c r="A32" s="1992"/>
      <c r="B32" s="1993"/>
      <c r="C32" s="1994"/>
      <c r="D32" s="339"/>
      <c r="E32" s="339"/>
      <c r="F32" s="1023">
        <f t="shared" si="0"/>
        <v>0</v>
      </c>
      <c r="G32" s="1995"/>
      <c r="H32" s="1996"/>
      <c r="I32" s="1997"/>
    </row>
    <row r="33" spans="1:20" x14ac:dyDescent="0.2">
      <c r="A33" s="1992"/>
      <c r="B33" s="1993"/>
      <c r="C33" s="1994"/>
      <c r="D33" s="339"/>
      <c r="E33" s="339"/>
      <c r="F33" s="1023">
        <f t="shared" si="0"/>
        <v>0</v>
      </c>
      <c r="G33" s="1995"/>
      <c r="H33" s="1996"/>
      <c r="I33" s="1997"/>
    </row>
    <row r="34" spans="1:20" ht="13.5" thickBot="1" x14ac:dyDescent="0.25">
      <c r="A34" s="2001" t="s">
        <v>182</v>
      </c>
      <c r="B34" s="2002"/>
      <c r="C34" s="2003"/>
      <c r="D34" s="341"/>
      <c r="E34" s="341"/>
      <c r="F34" s="1023">
        <f t="shared" si="0"/>
        <v>0</v>
      </c>
      <c r="G34" s="2004"/>
      <c r="H34" s="2005"/>
      <c r="I34" s="2006"/>
    </row>
    <row r="35" spans="1:20" ht="14.25" customHeight="1" thickTop="1" thickBot="1" x14ac:dyDescent="0.25">
      <c r="A35" s="2007" t="s">
        <v>534</v>
      </c>
      <c r="B35" s="2008"/>
      <c r="C35" s="2009"/>
      <c r="D35" s="343">
        <f>SUM(D24:D34)</f>
        <v>0</v>
      </c>
      <c r="E35" s="343">
        <f>SUM(E24:E34)</f>
        <v>0</v>
      </c>
      <c r="F35" s="343">
        <f>SUM(F24:F34)</f>
        <v>0</v>
      </c>
      <c r="G35" s="2010"/>
      <c r="H35" s="2011"/>
      <c r="I35" s="2012"/>
    </row>
    <row r="37" spans="1:20" ht="87" customHeight="1" x14ac:dyDescent="0.2">
      <c r="A37" s="1590" t="s">
        <v>1264</v>
      </c>
      <c r="B37" s="1590"/>
      <c r="C37" s="1590"/>
      <c r="D37" s="1590"/>
      <c r="E37" s="1590"/>
      <c r="F37" s="1590"/>
      <c r="G37" s="1590"/>
      <c r="H37" s="1590"/>
      <c r="I37" s="1590"/>
      <c r="J37" s="1045"/>
      <c r="K37" s="1045"/>
      <c r="L37" s="1045"/>
      <c r="M37" s="1045"/>
      <c r="N37" s="1045"/>
      <c r="O37" s="1045"/>
      <c r="P37" s="1045"/>
      <c r="Q37" s="1045"/>
      <c r="R37" s="1045"/>
      <c r="S37" s="1045"/>
      <c r="T37" s="1045"/>
    </row>
    <row r="38" spans="1:20" ht="12.75" customHeight="1" x14ac:dyDescent="0.2">
      <c r="A38" s="1248"/>
      <c r="B38" s="1248"/>
      <c r="C38" s="1248"/>
      <c r="D38" s="1248"/>
      <c r="E38" s="1248"/>
      <c r="F38" s="1248"/>
      <c r="G38" s="1248"/>
      <c r="H38" s="1248"/>
      <c r="I38" s="1248"/>
      <c r="J38" s="1045"/>
      <c r="K38" s="1045"/>
      <c r="L38" s="1045"/>
      <c r="M38" s="1045"/>
      <c r="N38" s="1045"/>
      <c r="O38" s="1045"/>
      <c r="P38" s="1045"/>
      <c r="Q38" s="1045"/>
      <c r="R38" s="1045"/>
      <c r="S38" s="1045"/>
      <c r="T38" s="1045"/>
    </row>
    <row r="39" spans="1:20" x14ac:dyDescent="0.2">
      <c r="A39" s="1248"/>
      <c r="B39" s="1248"/>
      <c r="C39" s="1248"/>
      <c r="D39" s="1248"/>
      <c r="E39" s="1248"/>
      <c r="F39" s="1248"/>
      <c r="G39" s="1248"/>
      <c r="H39" s="1248"/>
      <c r="I39" s="1248"/>
      <c r="J39" s="1045"/>
      <c r="K39" s="1045"/>
      <c r="L39" s="1045"/>
      <c r="M39" s="1045"/>
      <c r="N39" s="1045"/>
      <c r="O39" s="1045"/>
      <c r="P39" s="1045"/>
      <c r="Q39" s="1045"/>
      <c r="R39" s="1045"/>
      <c r="S39" s="1045"/>
      <c r="T39" s="1045"/>
    </row>
    <row r="40" spans="1:20" ht="12.75" customHeight="1" x14ac:dyDescent="0.2">
      <c r="A40" s="1248"/>
      <c r="B40" s="1248"/>
      <c r="C40" s="1248"/>
      <c r="D40" s="1248"/>
      <c r="E40" s="1248"/>
      <c r="F40" s="1248"/>
      <c r="G40" s="1248"/>
      <c r="H40" s="1248"/>
      <c r="I40" s="1248"/>
    </row>
  </sheetData>
  <mergeCells count="44">
    <mergeCell ref="A9:I9"/>
    <mergeCell ref="A10:I10"/>
    <mergeCell ref="A11:I11"/>
    <mergeCell ref="A15:C17"/>
    <mergeCell ref="G15:I15"/>
    <mergeCell ref="G16:I16"/>
    <mergeCell ref="A18:C18"/>
    <mergeCell ref="G18:I18"/>
    <mergeCell ref="A19:C19"/>
    <mergeCell ref="G19:I19"/>
    <mergeCell ref="A20:C20"/>
    <mergeCell ref="G20:I20"/>
    <mergeCell ref="A21:C21"/>
    <mergeCell ref="G21:I21"/>
    <mergeCell ref="A22:C22"/>
    <mergeCell ref="G22:I22"/>
    <mergeCell ref="A23:C23"/>
    <mergeCell ref="D23:F23"/>
    <mergeCell ref="G23:I23"/>
    <mergeCell ref="A24:C24"/>
    <mergeCell ref="G24:I24"/>
    <mergeCell ref="A25:C25"/>
    <mergeCell ref="G25:I25"/>
    <mergeCell ref="A26:C26"/>
    <mergeCell ref="G26:I26"/>
    <mergeCell ref="A27:C27"/>
    <mergeCell ref="G27:I27"/>
    <mergeCell ref="A28:C28"/>
    <mergeCell ref="G28:I28"/>
    <mergeCell ref="A29:C29"/>
    <mergeCell ref="G29:I29"/>
    <mergeCell ref="A37:I37"/>
    <mergeCell ref="A30:C30"/>
    <mergeCell ref="G30:I30"/>
    <mergeCell ref="A31:C31"/>
    <mergeCell ref="G31:I31"/>
    <mergeCell ref="A32:C32"/>
    <mergeCell ref="G32:I32"/>
    <mergeCell ref="A33:C33"/>
    <mergeCell ref="G33:I33"/>
    <mergeCell ref="A34:C34"/>
    <mergeCell ref="G34:I34"/>
    <mergeCell ref="A35:C35"/>
    <mergeCell ref="G35:I35"/>
  </mergeCells>
  <pageMargins left="0.7" right="0.7" top="0.75" bottom="0.75" header="0.3" footer="0.3"/>
  <pageSetup scale="89" orientation="landscape" verticalDpi="0"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dimension ref="A1:J72"/>
  <sheetViews>
    <sheetView zoomScale="85" zoomScaleNormal="85" workbookViewId="0">
      <pane ySplit="1" topLeftCell="A35" activePane="bottomLeft" state="frozenSplit"/>
      <selection pane="bottomLeft" activeCell="M37" sqref="M37"/>
    </sheetView>
  </sheetViews>
  <sheetFormatPr defaultRowHeight="12.75" x14ac:dyDescent="0.2"/>
  <cols>
    <col min="1" max="1" width="33.5703125" style="43" bestFit="1" customWidth="1"/>
    <col min="2" max="9" width="11.85546875" style="43" bestFit="1" customWidth="1"/>
    <col min="10" max="15" width="9.140625" style="43"/>
    <col min="16" max="16" width="33.5703125" style="43" bestFit="1" customWidth="1"/>
    <col min="17" max="16384" width="9.140625" style="43"/>
  </cols>
  <sheetData>
    <row r="1" spans="1:9" x14ac:dyDescent="0.2">
      <c r="B1" s="1035" t="s">
        <v>104</v>
      </c>
      <c r="C1" s="1035" t="s">
        <v>104</v>
      </c>
      <c r="D1" s="1035" t="s">
        <v>104</v>
      </c>
      <c r="E1" s="1035" t="s">
        <v>105</v>
      </c>
      <c r="F1" s="1035" t="s">
        <v>594</v>
      </c>
      <c r="G1" s="1035" t="s">
        <v>746</v>
      </c>
      <c r="H1" s="1035" t="s">
        <v>746</v>
      </c>
      <c r="I1" s="1035" t="s">
        <v>746</v>
      </c>
    </row>
    <row r="2" spans="1:9" x14ac:dyDescent="0.2">
      <c r="B2" s="1035" t="s">
        <v>266</v>
      </c>
      <c r="C2" s="1035">
        <v>2012</v>
      </c>
      <c r="D2" s="1035">
        <v>2013</v>
      </c>
      <c r="E2" s="1035"/>
      <c r="F2" s="1035"/>
      <c r="G2" s="1035" t="s">
        <v>266</v>
      </c>
      <c r="H2" s="1035">
        <v>2012</v>
      </c>
      <c r="I2" s="1035">
        <v>2013</v>
      </c>
    </row>
    <row r="3" spans="1:9" x14ac:dyDescent="0.2">
      <c r="A3" s="680" t="s">
        <v>537</v>
      </c>
      <c r="B3" s="941" t="s">
        <v>591</v>
      </c>
      <c r="C3" s="941" t="s">
        <v>591</v>
      </c>
      <c r="D3" s="941" t="s">
        <v>591</v>
      </c>
      <c r="E3" s="941" t="s">
        <v>591</v>
      </c>
      <c r="F3" s="941" t="s">
        <v>591</v>
      </c>
      <c r="G3" s="941" t="s">
        <v>591</v>
      </c>
      <c r="H3" s="941" t="s">
        <v>591</v>
      </c>
      <c r="I3" s="941" t="s">
        <v>591</v>
      </c>
    </row>
    <row r="4" spans="1:9" x14ac:dyDescent="0.2">
      <c r="A4" s="680" t="s">
        <v>727</v>
      </c>
      <c r="B4" s="941" t="s">
        <v>591</v>
      </c>
      <c r="C4" s="941" t="s">
        <v>591</v>
      </c>
      <c r="D4" s="941" t="s">
        <v>591</v>
      </c>
      <c r="E4" s="941" t="s">
        <v>591</v>
      </c>
      <c r="F4" s="941" t="s">
        <v>591</v>
      </c>
      <c r="G4" s="941" t="s">
        <v>591</v>
      </c>
      <c r="H4" s="941" t="s">
        <v>591</v>
      </c>
      <c r="I4" s="941" t="s">
        <v>591</v>
      </c>
    </row>
    <row r="5" spans="1:9" x14ac:dyDescent="0.2">
      <c r="A5" s="680" t="s">
        <v>619</v>
      </c>
      <c r="B5" s="941" t="s">
        <v>591</v>
      </c>
      <c r="C5" s="941" t="s">
        <v>591</v>
      </c>
      <c r="D5" s="941" t="s">
        <v>591</v>
      </c>
      <c r="E5" s="941" t="s">
        <v>591</v>
      </c>
      <c r="F5" s="941" t="s">
        <v>591</v>
      </c>
      <c r="G5" s="941" t="s">
        <v>591</v>
      </c>
      <c r="H5" s="941" t="s">
        <v>591</v>
      </c>
      <c r="I5" s="941" t="s">
        <v>591</v>
      </c>
    </row>
    <row r="6" spans="1:9" x14ac:dyDescent="0.2">
      <c r="A6" s="680" t="s">
        <v>620</v>
      </c>
      <c r="B6" s="941" t="s">
        <v>591</v>
      </c>
      <c r="C6" s="941" t="s">
        <v>591</v>
      </c>
      <c r="D6" s="941" t="s">
        <v>591</v>
      </c>
      <c r="E6" s="941" t="s">
        <v>591</v>
      </c>
      <c r="F6" s="941" t="s">
        <v>591</v>
      </c>
      <c r="G6" s="941" t="s">
        <v>591</v>
      </c>
      <c r="H6" s="941" t="s">
        <v>591</v>
      </c>
      <c r="I6" s="941" t="s">
        <v>591</v>
      </c>
    </row>
    <row r="7" spans="1:9" x14ac:dyDescent="0.2">
      <c r="A7" s="680" t="s">
        <v>728</v>
      </c>
      <c r="B7" s="941" t="s">
        <v>591</v>
      </c>
      <c r="C7" s="941" t="s">
        <v>591</v>
      </c>
      <c r="D7" s="941" t="s">
        <v>591</v>
      </c>
      <c r="E7" s="941" t="s">
        <v>591</v>
      </c>
      <c r="F7" s="941" t="s">
        <v>591</v>
      </c>
      <c r="G7" s="941" t="s">
        <v>591</v>
      </c>
      <c r="H7" s="941" t="s">
        <v>591</v>
      </c>
      <c r="I7" s="941" t="s">
        <v>591</v>
      </c>
    </row>
    <row r="8" spans="1:9" x14ac:dyDescent="0.2">
      <c r="A8" s="680" t="s">
        <v>729</v>
      </c>
      <c r="B8" s="941" t="s">
        <v>591</v>
      </c>
      <c r="C8" s="941" t="s">
        <v>591</v>
      </c>
      <c r="D8" s="941" t="s">
        <v>591</v>
      </c>
      <c r="E8" s="941" t="s">
        <v>591</v>
      </c>
      <c r="F8" s="941" t="s">
        <v>591</v>
      </c>
      <c r="G8" s="941" t="s">
        <v>591</v>
      </c>
      <c r="H8" s="941" t="s">
        <v>591</v>
      </c>
      <c r="I8" s="941" t="s">
        <v>591</v>
      </c>
    </row>
    <row r="9" spans="1:9" x14ac:dyDescent="0.2">
      <c r="A9" s="680" t="s">
        <v>742</v>
      </c>
      <c r="B9" s="941" t="s">
        <v>591</v>
      </c>
      <c r="C9" s="941" t="s">
        <v>591</v>
      </c>
      <c r="D9" s="941" t="s">
        <v>591</v>
      </c>
      <c r="E9" s="941" t="s">
        <v>593</v>
      </c>
      <c r="F9" s="941" t="s">
        <v>591</v>
      </c>
      <c r="G9" s="941" t="s">
        <v>591</v>
      </c>
      <c r="H9" s="941" t="s">
        <v>591</v>
      </c>
      <c r="I9" s="941" t="s">
        <v>591</v>
      </c>
    </row>
    <row r="10" spans="1:9" x14ac:dyDescent="0.2">
      <c r="A10" s="680" t="s">
        <v>743</v>
      </c>
      <c r="B10" s="941" t="s">
        <v>593</v>
      </c>
      <c r="C10" s="941" t="s">
        <v>593</v>
      </c>
      <c r="D10" s="941" t="s">
        <v>593</v>
      </c>
      <c r="E10" s="941" t="s">
        <v>591</v>
      </c>
      <c r="F10" s="941" t="s">
        <v>593</v>
      </c>
      <c r="G10" s="941" t="s">
        <v>593</v>
      </c>
      <c r="H10" s="941" t="s">
        <v>593</v>
      </c>
      <c r="I10" s="941" t="s">
        <v>593</v>
      </c>
    </row>
    <row r="11" spans="1:9" x14ac:dyDescent="0.2">
      <c r="A11" s="680" t="s">
        <v>538</v>
      </c>
      <c r="B11" s="941" t="s">
        <v>591</v>
      </c>
      <c r="C11" s="941" t="s">
        <v>591</v>
      </c>
      <c r="D11" s="941" t="s">
        <v>591</v>
      </c>
      <c r="E11" s="941" t="s">
        <v>591</v>
      </c>
      <c r="F11" s="941" t="s">
        <v>591</v>
      </c>
      <c r="G11" s="941" t="s">
        <v>591</v>
      </c>
      <c r="H11" s="941" t="s">
        <v>591</v>
      </c>
      <c r="I11" s="941" t="s">
        <v>591</v>
      </c>
    </row>
    <row r="12" spans="1:9" x14ac:dyDescent="0.2">
      <c r="A12" s="680" t="s">
        <v>539</v>
      </c>
      <c r="B12" s="941" t="s">
        <v>593</v>
      </c>
      <c r="C12" s="941" t="s">
        <v>593</v>
      </c>
      <c r="D12" s="941" t="s">
        <v>593</v>
      </c>
      <c r="E12" s="941" t="s">
        <v>591</v>
      </c>
      <c r="F12" s="941" t="s">
        <v>593</v>
      </c>
      <c r="G12" s="941" t="s">
        <v>593</v>
      </c>
      <c r="H12" s="941" t="s">
        <v>593</v>
      </c>
      <c r="I12" s="941" t="s">
        <v>593</v>
      </c>
    </row>
    <row r="13" spans="1:9" x14ac:dyDescent="0.2">
      <c r="A13" s="680" t="s">
        <v>540</v>
      </c>
      <c r="B13" s="941" t="s">
        <v>593</v>
      </c>
      <c r="C13" s="941" t="s">
        <v>593</v>
      </c>
      <c r="D13" s="941" t="s">
        <v>593</v>
      </c>
      <c r="E13" s="941" t="s">
        <v>591</v>
      </c>
      <c r="F13" s="941" t="s">
        <v>593</v>
      </c>
      <c r="G13" s="941" t="s">
        <v>593</v>
      </c>
      <c r="H13" s="941" t="s">
        <v>593</v>
      </c>
      <c r="I13" s="941" t="s">
        <v>593</v>
      </c>
    </row>
    <row r="14" spans="1:9" x14ac:dyDescent="0.2">
      <c r="A14" s="680" t="s">
        <v>541</v>
      </c>
      <c r="B14" s="941" t="s">
        <v>593</v>
      </c>
      <c r="C14" s="941" t="s">
        <v>593</v>
      </c>
      <c r="D14" s="941" t="s">
        <v>593</v>
      </c>
      <c r="E14" s="941" t="s">
        <v>591</v>
      </c>
      <c r="F14" s="941" t="s">
        <v>593</v>
      </c>
      <c r="G14" s="941" t="s">
        <v>593</v>
      </c>
      <c r="H14" s="941" t="s">
        <v>593</v>
      </c>
      <c r="I14" s="941" t="s">
        <v>593</v>
      </c>
    </row>
    <row r="15" spans="1:9" x14ac:dyDescent="0.2">
      <c r="A15" s="680" t="s">
        <v>542</v>
      </c>
      <c r="B15" s="941" t="s">
        <v>593</v>
      </c>
      <c r="C15" s="941" t="s">
        <v>593</v>
      </c>
      <c r="D15" s="941" t="s">
        <v>593</v>
      </c>
      <c r="E15" s="941" t="s">
        <v>591</v>
      </c>
      <c r="F15" s="941" t="s">
        <v>593</v>
      </c>
      <c r="G15" s="941" t="s">
        <v>593</v>
      </c>
      <c r="H15" s="941" t="s">
        <v>593</v>
      </c>
      <c r="I15" s="941" t="s">
        <v>593</v>
      </c>
    </row>
    <row r="16" spans="1:9" x14ac:dyDescent="0.2">
      <c r="A16" s="680" t="s">
        <v>543</v>
      </c>
      <c r="B16" s="941" t="s">
        <v>593</v>
      </c>
      <c r="C16" s="941" t="s">
        <v>593</v>
      </c>
      <c r="D16" s="941" t="s">
        <v>593</v>
      </c>
      <c r="E16" s="941" t="s">
        <v>591</v>
      </c>
      <c r="F16" s="941" t="s">
        <v>593</v>
      </c>
      <c r="G16" s="941" t="s">
        <v>593</v>
      </c>
      <c r="H16" s="941" t="s">
        <v>593</v>
      </c>
      <c r="I16" s="941" t="s">
        <v>593</v>
      </c>
    </row>
    <row r="17" spans="1:9" x14ac:dyDescent="0.2">
      <c r="A17" s="680" t="s">
        <v>544</v>
      </c>
      <c r="B17" s="941" t="s">
        <v>593</v>
      </c>
      <c r="C17" s="941" t="s">
        <v>593</v>
      </c>
      <c r="D17" s="941" t="s">
        <v>593</v>
      </c>
      <c r="E17" s="941" t="s">
        <v>591</v>
      </c>
      <c r="F17" s="941" t="s">
        <v>593</v>
      </c>
      <c r="G17" s="941" t="s">
        <v>593</v>
      </c>
      <c r="H17" s="941" t="s">
        <v>593</v>
      </c>
      <c r="I17" s="941" t="s">
        <v>593</v>
      </c>
    </row>
    <row r="18" spans="1:9" x14ac:dyDescent="0.2">
      <c r="A18" s="680" t="s">
        <v>545</v>
      </c>
      <c r="B18" s="941" t="s">
        <v>593</v>
      </c>
      <c r="C18" s="941" t="s">
        <v>593</v>
      </c>
      <c r="D18" s="941" t="s">
        <v>593</v>
      </c>
      <c r="E18" s="941" t="s">
        <v>591</v>
      </c>
      <c r="F18" s="941" t="s">
        <v>593</v>
      </c>
      <c r="G18" s="941" t="s">
        <v>593</v>
      </c>
      <c r="H18" s="941" t="s">
        <v>593</v>
      </c>
      <c r="I18" s="941" t="s">
        <v>593</v>
      </c>
    </row>
    <row r="19" spans="1:9" x14ac:dyDescent="0.2">
      <c r="A19" s="680" t="s">
        <v>546</v>
      </c>
      <c r="B19" s="941" t="s">
        <v>593</v>
      </c>
      <c r="C19" s="941" t="s">
        <v>593</v>
      </c>
      <c r="D19" s="941" t="s">
        <v>593</v>
      </c>
      <c r="E19" s="941" t="s">
        <v>591</v>
      </c>
      <c r="F19" s="941" t="s">
        <v>593</v>
      </c>
      <c r="G19" s="941" t="s">
        <v>593</v>
      </c>
      <c r="H19" s="941" t="s">
        <v>593</v>
      </c>
      <c r="I19" s="941" t="s">
        <v>593</v>
      </c>
    </row>
    <row r="20" spans="1:9" x14ac:dyDescent="0.2">
      <c r="A20" s="680" t="s">
        <v>547</v>
      </c>
      <c r="B20" s="941" t="s">
        <v>593</v>
      </c>
      <c r="C20" s="941" t="s">
        <v>593</v>
      </c>
      <c r="D20" s="941" t="s">
        <v>593</v>
      </c>
      <c r="E20" s="941" t="s">
        <v>591</v>
      </c>
      <c r="F20" s="941" t="s">
        <v>593</v>
      </c>
      <c r="G20" s="941" t="s">
        <v>593</v>
      </c>
      <c r="H20" s="941" t="s">
        <v>593</v>
      </c>
      <c r="I20" s="941" t="s">
        <v>593</v>
      </c>
    </row>
    <row r="21" spans="1:9" x14ac:dyDescent="0.2">
      <c r="A21" s="680" t="s">
        <v>548</v>
      </c>
      <c r="B21" s="941" t="s">
        <v>593</v>
      </c>
      <c r="C21" s="941" t="s">
        <v>593</v>
      </c>
      <c r="D21" s="941" t="s">
        <v>593</v>
      </c>
      <c r="E21" s="941" t="s">
        <v>591</v>
      </c>
      <c r="F21" s="941" t="s">
        <v>593</v>
      </c>
      <c r="G21" s="941" t="s">
        <v>593</v>
      </c>
      <c r="H21" s="941" t="s">
        <v>593</v>
      </c>
      <c r="I21" s="941" t="s">
        <v>593</v>
      </c>
    </row>
    <row r="22" spans="1:9" x14ac:dyDescent="0.2">
      <c r="A22" s="680" t="s">
        <v>549</v>
      </c>
      <c r="B22" s="941" t="s">
        <v>593</v>
      </c>
      <c r="C22" s="941" t="s">
        <v>593</v>
      </c>
      <c r="D22" s="941" t="s">
        <v>593</v>
      </c>
      <c r="E22" s="941" t="s">
        <v>591</v>
      </c>
      <c r="F22" s="941" t="s">
        <v>593</v>
      </c>
      <c r="G22" s="941" t="s">
        <v>593</v>
      </c>
      <c r="H22" s="941" t="s">
        <v>593</v>
      </c>
      <c r="I22" s="941" t="s">
        <v>593</v>
      </c>
    </row>
    <row r="23" spans="1:9" x14ac:dyDescent="0.2">
      <c r="A23" s="680" t="s">
        <v>550</v>
      </c>
      <c r="B23" s="941" t="s">
        <v>593</v>
      </c>
      <c r="C23" s="941" t="s">
        <v>593</v>
      </c>
      <c r="D23" s="941" t="s">
        <v>593</v>
      </c>
      <c r="E23" s="941" t="s">
        <v>591</v>
      </c>
      <c r="F23" s="941" t="s">
        <v>593</v>
      </c>
      <c r="G23" s="941" t="s">
        <v>593</v>
      </c>
      <c r="H23" s="941" t="s">
        <v>593</v>
      </c>
      <c r="I23" s="941" t="s">
        <v>593</v>
      </c>
    </row>
    <row r="24" spans="1:9" x14ac:dyDescent="0.2">
      <c r="A24" s="680" t="s">
        <v>551</v>
      </c>
      <c r="B24" s="941" t="s">
        <v>593</v>
      </c>
      <c r="C24" s="941" t="s">
        <v>593</v>
      </c>
      <c r="D24" s="941" t="s">
        <v>593</v>
      </c>
      <c r="E24" s="941" t="s">
        <v>591</v>
      </c>
      <c r="F24" s="941" t="s">
        <v>593</v>
      </c>
      <c r="G24" s="941" t="s">
        <v>593</v>
      </c>
      <c r="H24" s="941" t="s">
        <v>593</v>
      </c>
      <c r="I24" s="941" t="s">
        <v>593</v>
      </c>
    </row>
    <row r="25" spans="1:9" x14ac:dyDescent="0.2">
      <c r="A25" s="680" t="s">
        <v>552</v>
      </c>
      <c r="B25" s="941" t="s">
        <v>593</v>
      </c>
      <c r="C25" s="941" t="s">
        <v>593</v>
      </c>
      <c r="D25" s="941" t="s">
        <v>593</v>
      </c>
      <c r="E25" s="941" t="s">
        <v>591</v>
      </c>
      <c r="F25" s="941" t="s">
        <v>593</v>
      </c>
      <c r="G25" s="941" t="s">
        <v>593</v>
      </c>
      <c r="H25" s="941" t="s">
        <v>593</v>
      </c>
      <c r="I25" s="941" t="s">
        <v>593</v>
      </c>
    </row>
    <row r="26" spans="1:9" x14ac:dyDescent="0.2">
      <c r="A26" s="680" t="s">
        <v>553</v>
      </c>
      <c r="B26" s="941" t="s">
        <v>591</v>
      </c>
      <c r="C26" s="941" t="s">
        <v>591</v>
      </c>
      <c r="D26" s="941" t="s">
        <v>591</v>
      </c>
      <c r="E26" s="941" t="s">
        <v>593</v>
      </c>
      <c r="F26" s="941" t="s">
        <v>593</v>
      </c>
      <c r="G26" s="941" t="s">
        <v>591</v>
      </c>
      <c r="H26" s="941" t="s">
        <v>591</v>
      </c>
      <c r="I26" s="941" t="s">
        <v>591</v>
      </c>
    </row>
    <row r="27" spans="1:9" x14ac:dyDescent="0.2">
      <c r="A27" s="680" t="s">
        <v>554</v>
      </c>
      <c r="B27" s="941" t="s">
        <v>591</v>
      </c>
      <c r="C27" s="941" t="s">
        <v>591</v>
      </c>
      <c r="D27" s="941" t="s">
        <v>593</v>
      </c>
      <c r="E27" s="941" t="s">
        <v>593</v>
      </c>
      <c r="F27" s="941" t="s">
        <v>593</v>
      </c>
      <c r="G27" s="941" t="s">
        <v>591</v>
      </c>
      <c r="H27" s="941" t="s">
        <v>591</v>
      </c>
      <c r="I27" s="941" t="s">
        <v>593</v>
      </c>
    </row>
    <row r="28" spans="1:9" x14ac:dyDescent="0.2">
      <c r="A28" s="680" t="s">
        <v>555</v>
      </c>
      <c r="B28" s="941" t="s">
        <v>591</v>
      </c>
      <c r="C28" s="941" t="s">
        <v>591</v>
      </c>
      <c r="D28" s="941" t="s">
        <v>593</v>
      </c>
      <c r="E28" s="941" t="s">
        <v>593</v>
      </c>
      <c r="F28" s="941" t="s">
        <v>593</v>
      </c>
      <c r="G28" s="941" t="s">
        <v>591</v>
      </c>
      <c r="H28" s="941" t="s">
        <v>591</v>
      </c>
      <c r="I28" s="941" t="s">
        <v>593</v>
      </c>
    </row>
    <row r="29" spans="1:9" x14ac:dyDescent="0.2">
      <c r="A29" s="680" t="s">
        <v>556</v>
      </c>
      <c r="B29" s="941" t="s">
        <v>591</v>
      </c>
      <c r="C29" s="941" t="s">
        <v>591</v>
      </c>
      <c r="D29" s="941" t="s">
        <v>593</v>
      </c>
      <c r="E29" s="941" t="s">
        <v>593</v>
      </c>
      <c r="F29" s="941" t="s">
        <v>593</v>
      </c>
      <c r="G29" s="941" t="s">
        <v>591</v>
      </c>
      <c r="H29" s="941" t="s">
        <v>591</v>
      </c>
      <c r="I29" s="941" t="s">
        <v>593</v>
      </c>
    </row>
    <row r="30" spans="1:9" x14ac:dyDescent="0.2">
      <c r="A30" s="680" t="s">
        <v>557</v>
      </c>
      <c r="B30" s="941" t="s">
        <v>591</v>
      </c>
      <c r="C30" s="941" t="s">
        <v>591</v>
      </c>
      <c r="D30" s="941" t="s">
        <v>593</v>
      </c>
      <c r="E30" s="941" t="s">
        <v>593</v>
      </c>
      <c r="F30" s="941" t="s">
        <v>593</v>
      </c>
      <c r="G30" s="941" t="s">
        <v>591</v>
      </c>
      <c r="H30" s="941" t="s">
        <v>591</v>
      </c>
      <c r="I30" s="941" t="s">
        <v>593</v>
      </c>
    </row>
    <row r="31" spans="1:9" x14ac:dyDescent="0.2">
      <c r="A31" s="680" t="s">
        <v>558</v>
      </c>
      <c r="B31" s="941" t="s">
        <v>591</v>
      </c>
      <c r="C31" s="941" t="s">
        <v>593</v>
      </c>
      <c r="D31" s="941" t="s">
        <v>591</v>
      </c>
      <c r="E31" s="941" t="s">
        <v>593</v>
      </c>
      <c r="F31" s="941" t="s">
        <v>593</v>
      </c>
      <c r="G31" s="941" t="s">
        <v>591</v>
      </c>
      <c r="H31" s="941" t="s">
        <v>593</v>
      </c>
      <c r="I31" s="941" t="s">
        <v>591</v>
      </c>
    </row>
    <row r="32" spans="1:9" x14ac:dyDescent="0.2">
      <c r="A32" s="680" t="s">
        <v>559</v>
      </c>
      <c r="B32" s="941" t="s">
        <v>591</v>
      </c>
      <c r="C32" s="941" t="s">
        <v>593</v>
      </c>
      <c r="D32" s="941" t="s">
        <v>591</v>
      </c>
      <c r="E32" s="941" t="s">
        <v>593</v>
      </c>
      <c r="F32" s="941" t="s">
        <v>593</v>
      </c>
      <c r="G32" s="941" t="s">
        <v>591</v>
      </c>
      <c r="H32" s="941" t="s">
        <v>593</v>
      </c>
      <c r="I32" s="941" t="s">
        <v>591</v>
      </c>
    </row>
    <row r="33" spans="1:10" x14ac:dyDescent="0.2">
      <c r="A33" s="680" t="s">
        <v>560</v>
      </c>
      <c r="B33" s="941" t="s">
        <v>591</v>
      </c>
      <c r="C33" s="941" t="s">
        <v>593</v>
      </c>
      <c r="D33" s="941" t="s">
        <v>591</v>
      </c>
      <c r="E33" s="941" t="s">
        <v>593</v>
      </c>
      <c r="F33" s="941" t="s">
        <v>593</v>
      </c>
      <c r="G33" s="941" t="s">
        <v>591</v>
      </c>
      <c r="H33" s="941" t="s">
        <v>593</v>
      </c>
      <c r="I33" s="941" t="s">
        <v>591</v>
      </c>
    </row>
    <row r="34" spans="1:10" x14ac:dyDescent="0.2">
      <c r="A34" s="680" t="s">
        <v>561</v>
      </c>
      <c r="B34" s="941" t="s">
        <v>591</v>
      </c>
      <c r="C34" s="941" t="s">
        <v>593</v>
      </c>
      <c r="D34" s="941" t="s">
        <v>591</v>
      </c>
      <c r="E34" s="941" t="s">
        <v>593</v>
      </c>
      <c r="F34" s="941" t="s">
        <v>593</v>
      </c>
      <c r="G34" s="941" t="s">
        <v>591</v>
      </c>
      <c r="H34" s="941" t="s">
        <v>593</v>
      </c>
      <c r="I34" s="941" t="s">
        <v>591</v>
      </c>
    </row>
    <row r="35" spans="1:10" x14ac:dyDescent="0.2">
      <c r="A35" s="680" t="s">
        <v>595</v>
      </c>
      <c r="B35" s="941" t="s">
        <v>593</v>
      </c>
      <c r="C35" s="941" t="s">
        <v>593</v>
      </c>
      <c r="D35" s="941" t="s">
        <v>593</v>
      </c>
      <c r="E35" s="941" t="s">
        <v>593</v>
      </c>
      <c r="F35" s="941" t="s">
        <v>591</v>
      </c>
      <c r="G35" s="941" t="s">
        <v>593</v>
      </c>
      <c r="H35" s="941" t="s">
        <v>593</v>
      </c>
      <c r="I35" s="941" t="s">
        <v>593</v>
      </c>
    </row>
    <row r="36" spans="1:10" x14ac:dyDescent="0.2">
      <c r="A36" s="680" t="s">
        <v>562</v>
      </c>
      <c r="B36" s="941" t="s">
        <v>593</v>
      </c>
      <c r="C36" s="941" t="s">
        <v>593</v>
      </c>
      <c r="D36" s="941" t="s">
        <v>593</v>
      </c>
      <c r="E36" s="941" t="s">
        <v>591</v>
      </c>
      <c r="F36" s="941" t="s">
        <v>593</v>
      </c>
      <c r="G36" s="941" t="s">
        <v>593</v>
      </c>
      <c r="H36" s="941" t="s">
        <v>593</v>
      </c>
      <c r="I36" s="941" t="s">
        <v>593</v>
      </c>
    </row>
    <row r="37" spans="1:10" x14ac:dyDescent="0.2">
      <c r="A37" s="680" t="s">
        <v>563</v>
      </c>
      <c r="B37" s="941" t="s">
        <v>591</v>
      </c>
      <c r="C37" s="941" t="s">
        <v>591</v>
      </c>
      <c r="D37" s="941" t="s">
        <v>591</v>
      </c>
      <c r="E37" s="941" t="s">
        <v>593</v>
      </c>
      <c r="F37" s="941" t="s">
        <v>593</v>
      </c>
      <c r="G37" s="941" t="s">
        <v>591</v>
      </c>
      <c r="H37" s="941" t="s">
        <v>591</v>
      </c>
      <c r="I37" s="941" t="s">
        <v>591</v>
      </c>
    </row>
    <row r="38" spans="1:10" x14ac:dyDescent="0.2">
      <c r="A38" s="680" t="s">
        <v>564</v>
      </c>
      <c r="B38" s="941" t="s">
        <v>593</v>
      </c>
      <c r="C38" s="941" t="s">
        <v>593</v>
      </c>
      <c r="D38" s="941" t="s">
        <v>593</v>
      </c>
      <c r="E38" s="941" t="s">
        <v>591</v>
      </c>
      <c r="F38" s="941" t="s">
        <v>591</v>
      </c>
      <c r="G38" s="941" t="s">
        <v>593</v>
      </c>
      <c r="H38" s="941" t="s">
        <v>593</v>
      </c>
      <c r="I38" s="941" t="s">
        <v>593</v>
      </c>
    </row>
    <row r="39" spans="1:10" x14ac:dyDescent="0.2">
      <c r="A39" s="680" t="s">
        <v>565</v>
      </c>
      <c r="B39" s="941" t="s">
        <v>593</v>
      </c>
      <c r="C39" s="941" t="s">
        <v>593</v>
      </c>
      <c r="D39" s="941" t="s">
        <v>593</v>
      </c>
      <c r="E39" s="941" t="s">
        <v>591</v>
      </c>
      <c r="F39" s="941" t="s">
        <v>591</v>
      </c>
      <c r="G39" s="941" t="s">
        <v>593</v>
      </c>
      <c r="H39" s="941" t="s">
        <v>593</v>
      </c>
      <c r="I39" s="941" t="s">
        <v>593</v>
      </c>
    </row>
    <row r="40" spans="1:10" x14ac:dyDescent="0.2">
      <c r="A40" s="680" t="s">
        <v>566</v>
      </c>
      <c r="B40" s="941" t="s">
        <v>593</v>
      </c>
      <c r="C40" s="941" t="s">
        <v>593</v>
      </c>
      <c r="D40" s="941" t="s">
        <v>593</v>
      </c>
      <c r="E40" s="941" t="s">
        <v>591</v>
      </c>
      <c r="F40" s="941" t="s">
        <v>591</v>
      </c>
      <c r="G40" s="941" t="s">
        <v>593</v>
      </c>
      <c r="H40" s="941" t="s">
        <v>593</v>
      </c>
      <c r="I40" s="941" t="s">
        <v>593</v>
      </c>
    </row>
    <row r="41" spans="1:10" x14ac:dyDescent="0.2">
      <c r="A41" s="680" t="s">
        <v>567</v>
      </c>
      <c r="B41" s="941" t="s">
        <v>591</v>
      </c>
      <c r="C41" s="941" t="s">
        <v>591</v>
      </c>
      <c r="D41" s="941" t="s">
        <v>593</v>
      </c>
      <c r="E41" s="941" t="s">
        <v>591</v>
      </c>
      <c r="F41" s="941" t="s">
        <v>591</v>
      </c>
      <c r="G41" s="941" t="s">
        <v>591</v>
      </c>
      <c r="H41" s="941" t="s">
        <v>591</v>
      </c>
      <c r="I41" s="941" t="s">
        <v>593</v>
      </c>
    </row>
    <row r="42" spans="1:10" x14ac:dyDescent="0.2">
      <c r="A42" s="680" t="s">
        <v>568</v>
      </c>
      <c r="B42" s="941" t="s">
        <v>591</v>
      </c>
      <c r="C42" s="941" t="s">
        <v>593</v>
      </c>
      <c r="D42" s="941" t="s">
        <v>591</v>
      </c>
      <c r="E42" s="941" t="s">
        <v>591</v>
      </c>
      <c r="F42" s="941" t="s">
        <v>591</v>
      </c>
      <c r="G42" s="941" t="s">
        <v>591</v>
      </c>
      <c r="H42" s="941" t="s">
        <v>593</v>
      </c>
      <c r="I42" s="941" t="s">
        <v>591</v>
      </c>
    </row>
    <row r="43" spans="1:10" x14ac:dyDescent="0.2">
      <c r="A43" s="680" t="s">
        <v>569</v>
      </c>
      <c r="B43" s="941" t="s">
        <v>592</v>
      </c>
      <c r="C43" s="941" t="s">
        <v>592</v>
      </c>
      <c r="D43" s="941" t="s">
        <v>592</v>
      </c>
      <c r="E43" s="941" t="s">
        <v>592</v>
      </c>
      <c r="F43" s="941" t="s">
        <v>592</v>
      </c>
      <c r="G43" s="941" t="s">
        <v>592</v>
      </c>
      <c r="H43" s="941" t="s">
        <v>592</v>
      </c>
      <c r="I43" s="941" t="s">
        <v>592</v>
      </c>
    </row>
    <row r="44" spans="1:10" x14ac:dyDescent="0.2">
      <c r="A44" s="680" t="s">
        <v>748</v>
      </c>
      <c r="B44" s="941" t="s">
        <v>592</v>
      </c>
      <c r="C44" s="941" t="s">
        <v>592</v>
      </c>
      <c r="D44" s="941" t="s">
        <v>592</v>
      </c>
      <c r="E44" s="941" t="s">
        <v>592</v>
      </c>
      <c r="F44" s="941" t="s">
        <v>592</v>
      </c>
      <c r="G44" s="941" t="s">
        <v>592</v>
      </c>
      <c r="H44" s="941" t="s">
        <v>592</v>
      </c>
      <c r="I44" s="941" t="s">
        <v>592</v>
      </c>
    </row>
    <row r="45" spans="1:10" x14ac:dyDescent="0.2">
      <c r="A45" s="680" t="s">
        <v>747</v>
      </c>
      <c r="B45" s="941" t="s">
        <v>592</v>
      </c>
      <c r="C45" s="941" t="s">
        <v>592</v>
      </c>
      <c r="D45" s="941" t="s">
        <v>592</v>
      </c>
      <c r="E45" s="941" t="s">
        <v>592</v>
      </c>
      <c r="F45" s="941" t="s">
        <v>592</v>
      </c>
      <c r="G45" s="941" t="s">
        <v>592</v>
      </c>
      <c r="H45" s="941" t="s">
        <v>592</v>
      </c>
      <c r="I45" s="941" t="s">
        <v>592</v>
      </c>
    </row>
    <row r="46" spans="1:10" x14ac:dyDescent="0.2">
      <c r="A46" s="680" t="s">
        <v>570</v>
      </c>
      <c r="B46" s="941" t="s">
        <v>591</v>
      </c>
      <c r="C46" s="941" t="s">
        <v>591</v>
      </c>
      <c r="D46" s="941" t="s">
        <v>591</v>
      </c>
      <c r="E46" s="941" t="s">
        <v>591</v>
      </c>
      <c r="F46" s="941" t="s">
        <v>591</v>
      </c>
      <c r="G46" s="941" t="s">
        <v>591</v>
      </c>
      <c r="H46" s="941" t="s">
        <v>591</v>
      </c>
      <c r="I46" s="941" t="s">
        <v>591</v>
      </c>
      <c r="J46" s="52"/>
    </row>
    <row r="47" spans="1:10" x14ac:dyDescent="0.2">
      <c r="A47" s="680" t="s">
        <v>571</v>
      </c>
      <c r="B47" s="941" t="s">
        <v>591</v>
      </c>
      <c r="C47" s="941" t="s">
        <v>591</v>
      </c>
      <c r="D47" s="941" t="s">
        <v>591</v>
      </c>
      <c r="E47" s="941" t="s">
        <v>591</v>
      </c>
      <c r="F47" s="941" t="s">
        <v>591</v>
      </c>
      <c r="G47" s="941" t="s">
        <v>591</v>
      </c>
      <c r="H47" s="941" t="s">
        <v>591</v>
      </c>
      <c r="I47" s="941" t="s">
        <v>591</v>
      </c>
      <c r="J47" s="52"/>
    </row>
    <row r="48" spans="1:10" x14ac:dyDescent="0.2">
      <c r="A48" s="680" t="s">
        <v>572</v>
      </c>
      <c r="B48" s="941" t="s">
        <v>591</v>
      </c>
      <c r="C48" s="941" t="s">
        <v>591</v>
      </c>
      <c r="D48" s="941" t="s">
        <v>591</v>
      </c>
      <c r="E48" s="941" t="s">
        <v>591</v>
      </c>
      <c r="F48" s="941" t="s">
        <v>591</v>
      </c>
      <c r="G48" s="941" t="s">
        <v>591</v>
      </c>
      <c r="H48" s="941" t="s">
        <v>591</v>
      </c>
      <c r="I48" s="941" t="s">
        <v>591</v>
      </c>
      <c r="J48" s="52"/>
    </row>
    <row r="49" spans="1:10" x14ac:dyDescent="0.2">
      <c r="A49" s="680" t="s">
        <v>760</v>
      </c>
      <c r="B49" s="941" t="s">
        <v>591</v>
      </c>
      <c r="C49" s="941" t="s">
        <v>591</v>
      </c>
      <c r="D49" s="941" t="s">
        <v>591</v>
      </c>
      <c r="E49" s="941" t="s">
        <v>591</v>
      </c>
      <c r="F49" s="941" t="s">
        <v>591</v>
      </c>
      <c r="G49" s="941" t="s">
        <v>591</v>
      </c>
      <c r="H49" s="941" t="s">
        <v>591</v>
      </c>
      <c r="I49" s="941" t="s">
        <v>591</v>
      </c>
      <c r="J49" s="1036"/>
    </row>
    <row r="50" spans="1:10" x14ac:dyDescent="0.2">
      <c r="A50" s="680" t="s">
        <v>761</v>
      </c>
      <c r="B50" s="941" t="s">
        <v>591</v>
      </c>
      <c r="C50" s="941" t="s">
        <v>591</v>
      </c>
      <c r="D50" s="941" t="s">
        <v>591</v>
      </c>
      <c r="E50" s="941" t="s">
        <v>591</v>
      </c>
      <c r="F50" s="941" t="s">
        <v>591</v>
      </c>
      <c r="G50" s="941" t="s">
        <v>591</v>
      </c>
      <c r="H50" s="941" t="s">
        <v>591</v>
      </c>
      <c r="I50" s="941" t="s">
        <v>591</v>
      </c>
      <c r="J50" s="1036"/>
    </row>
    <row r="51" spans="1:10" x14ac:dyDescent="0.2">
      <c r="A51" s="680" t="s">
        <v>762</v>
      </c>
      <c r="B51" s="941" t="s">
        <v>591</v>
      </c>
      <c r="C51" s="941" t="s">
        <v>591</v>
      </c>
      <c r="D51" s="941" t="s">
        <v>591</v>
      </c>
      <c r="E51" s="941" t="s">
        <v>591</v>
      </c>
      <c r="F51" s="941" t="s">
        <v>591</v>
      </c>
      <c r="G51" s="941" t="s">
        <v>591</v>
      </c>
      <c r="H51" s="941" t="s">
        <v>591</v>
      </c>
      <c r="I51" s="941" t="s">
        <v>591</v>
      </c>
    </row>
    <row r="52" spans="1:10" x14ac:dyDescent="0.2">
      <c r="A52" s="680" t="s">
        <v>573</v>
      </c>
      <c r="B52" s="941" t="s">
        <v>591</v>
      </c>
      <c r="C52" s="941" t="s">
        <v>591</v>
      </c>
      <c r="D52" s="941" t="s">
        <v>591</v>
      </c>
      <c r="E52" s="941" t="s">
        <v>591</v>
      </c>
      <c r="F52" s="941" t="s">
        <v>591</v>
      </c>
      <c r="G52" s="941" t="s">
        <v>591</v>
      </c>
      <c r="H52" s="941" t="s">
        <v>591</v>
      </c>
      <c r="I52" s="941" t="s">
        <v>591</v>
      </c>
    </row>
    <row r="53" spans="1:10" x14ac:dyDescent="0.2">
      <c r="A53" s="680" t="s">
        <v>574</v>
      </c>
      <c r="B53" s="941" t="s">
        <v>591</v>
      </c>
      <c r="C53" s="941" t="s">
        <v>591</v>
      </c>
      <c r="D53" s="941" t="s">
        <v>591</v>
      </c>
      <c r="E53" s="941" t="s">
        <v>591</v>
      </c>
      <c r="F53" s="941" t="s">
        <v>591</v>
      </c>
      <c r="G53" s="941" t="s">
        <v>591</v>
      </c>
      <c r="H53" s="941" t="s">
        <v>591</v>
      </c>
      <c r="I53" s="941" t="s">
        <v>591</v>
      </c>
    </row>
    <row r="54" spans="1:10" x14ac:dyDescent="0.2">
      <c r="A54" s="680" t="s">
        <v>575</v>
      </c>
      <c r="B54" s="941" t="s">
        <v>591</v>
      </c>
      <c r="C54" s="941" t="s">
        <v>591</v>
      </c>
      <c r="D54" s="941" t="s">
        <v>591</v>
      </c>
      <c r="E54" s="941" t="s">
        <v>591</v>
      </c>
      <c r="F54" s="941" t="s">
        <v>591</v>
      </c>
      <c r="G54" s="941" t="s">
        <v>591</v>
      </c>
      <c r="H54" s="941" t="s">
        <v>591</v>
      </c>
      <c r="I54" s="941" t="s">
        <v>591</v>
      </c>
    </row>
    <row r="55" spans="1:10" x14ac:dyDescent="0.2">
      <c r="A55" s="680" t="s">
        <v>576</v>
      </c>
      <c r="B55" s="941" t="s">
        <v>591</v>
      </c>
      <c r="C55" s="941" t="s">
        <v>591</v>
      </c>
      <c r="D55" s="941" t="s">
        <v>591</v>
      </c>
      <c r="E55" s="941" t="s">
        <v>591</v>
      </c>
      <c r="F55" s="941" t="s">
        <v>591</v>
      </c>
      <c r="G55" s="941" t="s">
        <v>591</v>
      </c>
      <c r="H55" s="941" t="s">
        <v>591</v>
      </c>
      <c r="I55" s="941" t="s">
        <v>591</v>
      </c>
    </row>
    <row r="56" spans="1:10" x14ac:dyDescent="0.2">
      <c r="A56" s="680" t="s">
        <v>577</v>
      </c>
      <c r="B56" s="941" t="s">
        <v>591</v>
      </c>
      <c r="C56" s="941" t="s">
        <v>591</v>
      </c>
      <c r="D56" s="941" t="s">
        <v>591</v>
      </c>
      <c r="E56" s="941" t="s">
        <v>591</v>
      </c>
      <c r="F56" s="941" t="s">
        <v>591</v>
      </c>
      <c r="G56" s="941" t="s">
        <v>591</v>
      </c>
      <c r="H56" s="941" t="s">
        <v>591</v>
      </c>
      <c r="I56" s="941" t="s">
        <v>591</v>
      </c>
    </row>
    <row r="57" spans="1:10" x14ac:dyDescent="0.2">
      <c r="A57" s="680" t="s">
        <v>578</v>
      </c>
      <c r="B57" s="941" t="s">
        <v>591</v>
      </c>
      <c r="C57" s="941" t="s">
        <v>591</v>
      </c>
      <c r="D57" s="941" t="s">
        <v>591</v>
      </c>
      <c r="E57" s="941" t="s">
        <v>591</v>
      </c>
      <c r="F57" s="941" t="s">
        <v>591</v>
      </c>
      <c r="G57" s="941" t="s">
        <v>591</v>
      </c>
      <c r="H57" s="941" t="s">
        <v>591</v>
      </c>
      <c r="I57" s="941" t="s">
        <v>591</v>
      </c>
    </row>
    <row r="58" spans="1:10" x14ac:dyDescent="0.2">
      <c r="A58" s="680" t="s">
        <v>579</v>
      </c>
      <c r="B58" s="941" t="s">
        <v>591</v>
      </c>
      <c r="C58" s="941" t="s">
        <v>591</v>
      </c>
      <c r="D58" s="941" t="s">
        <v>591</v>
      </c>
      <c r="E58" s="941" t="s">
        <v>591</v>
      </c>
      <c r="F58" s="941" t="s">
        <v>591</v>
      </c>
      <c r="G58" s="941" t="s">
        <v>591</v>
      </c>
      <c r="H58" s="941" t="s">
        <v>591</v>
      </c>
      <c r="I58" s="941" t="s">
        <v>591</v>
      </c>
    </row>
    <row r="59" spans="1:10" x14ac:dyDescent="0.2">
      <c r="A59" s="680" t="s">
        <v>580</v>
      </c>
      <c r="B59" s="941" t="s">
        <v>764</v>
      </c>
      <c r="C59" s="941" t="s">
        <v>764</v>
      </c>
      <c r="D59" s="941" t="s">
        <v>764</v>
      </c>
      <c r="E59" s="941" t="s">
        <v>764</v>
      </c>
      <c r="F59" s="941" t="s">
        <v>764</v>
      </c>
      <c r="G59" s="941" t="s">
        <v>764</v>
      </c>
      <c r="H59" s="941" t="s">
        <v>764</v>
      </c>
      <c r="I59" s="941" t="s">
        <v>764</v>
      </c>
    </row>
    <row r="60" spans="1:10" x14ac:dyDescent="0.2">
      <c r="A60" s="680" t="s">
        <v>581</v>
      </c>
      <c r="B60" s="941" t="s">
        <v>591</v>
      </c>
      <c r="C60" s="941" t="s">
        <v>591</v>
      </c>
      <c r="D60" s="941" t="s">
        <v>591</v>
      </c>
      <c r="E60" s="941" t="s">
        <v>591</v>
      </c>
      <c r="F60" s="941" t="s">
        <v>591</v>
      </c>
      <c r="G60" s="941" t="s">
        <v>591</v>
      </c>
      <c r="H60" s="941" t="s">
        <v>591</v>
      </c>
      <c r="I60" s="941" t="s">
        <v>591</v>
      </c>
    </row>
    <row r="61" spans="1:10" x14ac:dyDescent="0.2">
      <c r="A61" s="680" t="s">
        <v>582</v>
      </c>
      <c r="B61" s="941" t="s">
        <v>591</v>
      </c>
      <c r="C61" s="941" t="s">
        <v>591</v>
      </c>
      <c r="D61" s="941" t="s">
        <v>591</v>
      </c>
      <c r="E61" s="941" t="s">
        <v>591</v>
      </c>
      <c r="F61" s="941" t="s">
        <v>591</v>
      </c>
      <c r="G61" s="941" t="s">
        <v>591</v>
      </c>
      <c r="H61" s="941" t="s">
        <v>591</v>
      </c>
      <c r="I61" s="941" t="s">
        <v>591</v>
      </c>
    </row>
    <row r="62" spans="1:10" x14ac:dyDescent="0.2">
      <c r="A62" s="680" t="s">
        <v>583</v>
      </c>
      <c r="B62" s="941" t="s">
        <v>591</v>
      </c>
      <c r="C62" s="941" t="s">
        <v>591</v>
      </c>
      <c r="D62" s="941" t="s">
        <v>591</v>
      </c>
      <c r="E62" s="941" t="s">
        <v>591</v>
      </c>
      <c r="F62" s="941" t="s">
        <v>591</v>
      </c>
      <c r="G62" s="941" t="s">
        <v>591</v>
      </c>
      <c r="H62" s="941" t="s">
        <v>591</v>
      </c>
      <c r="I62" s="941" t="s">
        <v>591</v>
      </c>
    </row>
    <row r="63" spans="1:10" x14ac:dyDescent="0.2">
      <c r="A63" s="680" t="s">
        <v>584</v>
      </c>
      <c r="B63" s="941" t="s">
        <v>591</v>
      </c>
      <c r="C63" s="941" t="s">
        <v>591</v>
      </c>
      <c r="D63" s="941" t="s">
        <v>591</v>
      </c>
      <c r="E63" s="941" t="s">
        <v>591</v>
      </c>
      <c r="F63" s="941" t="s">
        <v>591</v>
      </c>
      <c r="G63" s="941" t="s">
        <v>591</v>
      </c>
      <c r="H63" s="941" t="s">
        <v>591</v>
      </c>
      <c r="I63" s="941" t="s">
        <v>591</v>
      </c>
    </row>
    <row r="64" spans="1:10" x14ac:dyDescent="0.2">
      <c r="A64" s="680" t="s">
        <v>585</v>
      </c>
      <c r="B64" s="941" t="s">
        <v>591</v>
      </c>
      <c r="C64" s="941" t="s">
        <v>591</v>
      </c>
      <c r="D64" s="941" t="s">
        <v>591</v>
      </c>
      <c r="E64" s="941" t="s">
        <v>591</v>
      </c>
      <c r="F64" s="941" t="s">
        <v>591</v>
      </c>
      <c r="G64" s="941" t="s">
        <v>591</v>
      </c>
      <c r="H64" s="941" t="s">
        <v>591</v>
      </c>
      <c r="I64" s="941" t="s">
        <v>591</v>
      </c>
    </row>
    <row r="65" spans="1:9" x14ac:dyDescent="0.2">
      <c r="A65" s="680" t="s">
        <v>586</v>
      </c>
      <c r="B65" s="941" t="s">
        <v>591</v>
      </c>
      <c r="C65" s="941" t="s">
        <v>591</v>
      </c>
      <c r="D65" s="941" t="s">
        <v>591</v>
      </c>
      <c r="E65" s="941" t="s">
        <v>591</v>
      </c>
      <c r="F65" s="941" t="s">
        <v>591</v>
      </c>
      <c r="G65" s="941" t="s">
        <v>591</v>
      </c>
      <c r="H65" s="941" t="s">
        <v>591</v>
      </c>
      <c r="I65" s="941" t="s">
        <v>591</v>
      </c>
    </row>
    <row r="66" spans="1:9" x14ac:dyDescent="0.2">
      <c r="A66" s="947" t="s">
        <v>587</v>
      </c>
      <c r="B66" s="941" t="s">
        <v>591</v>
      </c>
      <c r="C66" s="941" t="s">
        <v>591</v>
      </c>
      <c r="D66" s="941" t="s">
        <v>591</v>
      </c>
      <c r="E66" s="941" t="s">
        <v>591</v>
      </c>
      <c r="F66" s="941" t="s">
        <v>591</v>
      </c>
      <c r="G66" s="941" t="s">
        <v>591</v>
      </c>
      <c r="H66" s="941" t="s">
        <v>591</v>
      </c>
      <c r="I66" s="941" t="s">
        <v>591</v>
      </c>
    </row>
    <row r="67" spans="1:9" x14ac:dyDescent="0.2">
      <c r="A67" s="680" t="s">
        <v>588</v>
      </c>
      <c r="B67" s="941" t="s">
        <v>593</v>
      </c>
      <c r="C67" s="941" t="s">
        <v>593</v>
      </c>
      <c r="D67" s="941" t="s">
        <v>593</v>
      </c>
      <c r="E67" s="941" t="s">
        <v>591</v>
      </c>
      <c r="F67" s="941" t="s">
        <v>593</v>
      </c>
      <c r="G67" s="941" t="s">
        <v>593</v>
      </c>
      <c r="H67" s="941" t="s">
        <v>593</v>
      </c>
      <c r="I67" s="941" t="s">
        <v>593</v>
      </c>
    </row>
    <row r="68" spans="1:9" x14ac:dyDescent="0.2">
      <c r="A68" s="680" t="s">
        <v>589</v>
      </c>
      <c r="B68" s="941" t="s">
        <v>591</v>
      </c>
      <c r="C68" s="941" t="s">
        <v>591</v>
      </c>
      <c r="D68" s="941" t="s">
        <v>591</v>
      </c>
      <c r="E68" s="941" t="s">
        <v>593</v>
      </c>
      <c r="F68" s="941" t="s">
        <v>593</v>
      </c>
      <c r="G68" s="941" t="s">
        <v>591</v>
      </c>
      <c r="H68" s="941" t="s">
        <v>591</v>
      </c>
      <c r="I68" s="941" t="s">
        <v>591</v>
      </c>
    </row>
    <row r="69" spans="1:9" x14ac:dyDescent="0.2">
      <c r="A69" s="680" t="s">
        <v>621</v>
      </c>
      <c r="B69" s="941" t="s">
        <v>591</v>
      </c>
      <c r="C69" s="941" t="s">
        <v>591</v>
      </c>
      <c r="D69" s="941" t="s">
        <v>591</v>
      </c>
      <c r="E69" s="941" t="s">
        <v>591</v>
      </c>
      <c r="F69" s="941" t="s">
        <v>591</v>
      </c>
      <c r="G69" s="941" t="s">
        <v>591</v>
      </c>
      <c r="H69" s="941" t="s">
        <v>591</v>
      </c>
      <c r="I69" s="941" t="s">
        <v>591</v>
      </c>
    </row>
    <row r="70" spans="1:9" x14ac:dyDescent="0.2">
      <c r="A70" s="680" t="s">
        <v>759</v>
      </c>
      <c r="B70" s="941" t="s">
        <v>593</v>
      </c>
      <c r="C70" s="941" t="s">
        <v>593</v>
      </c>
      <c r="D70" s="941" t="s">
        <v>593</v>
      </c>
      <c r="E70" s="941" t="s">
        <v>593</v>
      </c>
      <c r="F70" s="941" t="s">
        <v>593</v>
      </c>
      <c r="G70" s="941" t="s">
        <v>593</v>
      </c>
      <c r="H70" s="941" t="s">
        <v>593</v>
      </c>
      <c r="I70" s="941" t="s">
        <v>593</v>
      </c>
    </row>
    <row r="71" spans="1:9" x14ac:dyDescent="0.2">
      <c r="A71" s="680" t="s">
        <v>763</v>
      </c>
      <c r="B71" s="941" t="s">
        <v>593</v>
      </c>
      <c r="C71" s="941" t="s">
        <v>593</v>
      </c>
      <c r="D71" s="941" t="s">
        <v>593</v>
      </c>
      <c r="E71" s="941" t="s">
        <v>593</v>
      </c>
      <c r="F71" s="941" t="s">
        <v>593</v>
      </c>
      <c r="G71" s="941" t="s">
        <v>593</v>
      </c>
      <c r="H71" s="941" t="s">
        <v>593</v>
      </c>
      <c r="I71" s="941" t="s">
        <v>593</v>
      </c>
    </row>
    <row r="72" spans="1:9" x14ac:dyDescent="0.2">
      <c r="A72" s="680" t="s">
        <v>590</v>
      </c>
      <c r="B72" s="1037" t="s">
        <v>593</v>
      </c>
      <c r="C72" s="1037" t="s">
        <v>593</v>
      </c>
      <c r="D72" s="1037" t="s">
        <v>593</v>
      </c>
      <c r="E72" s="1037" t="s">
        <v>593</v>
      </c>
      <c r="F72" s="1037" t="s">
        <v>593</v>
      </c>
      <c r="G72" s="1037" t="s">
        <v>593</v>
      </c>
      <c r="H72" s="1037" t="s">
        <v>593</v>
      </c>
      <c r="I72" s="1037" t="s">
        <v>593</v>
      </c>
    </row>
  </sheetData>
  <conditionalFormatting sqref="B3:B11 B26:B35 B37 B41:B66 B68:B80 E3:F80">
    <cfRule type="cellIs" dxfId="59" priority="62" operator="equal">
      <formula>"o"</formula>
    </cfRule>
    <cfRule type="cellIs" dxfId="58" priority="63" operator="equal">
      <formula>"x"</formula>
    </cfRule>
  </conditionalFormatting>
  <conditionalFormatting sqref="B3:B11 B26:B35 B37 B41:B66 B68:B72 E3:F72">
    <cfRule type="cellIs" dxfId="57" priority="61" operator="equal">
      <formula>"e"</formula>
    </cfRule>
  </conditionalFormatting>
  <conditionalFormatting sqref="C3:D11 C26:D26 C37:D37 D31:D34 C27:C30 C43:D66 D42 C41 C68:D80">
    <cfRule type="cellIs" dxfId="56" priority="59" operator="equal">
      <formula>"o"</formula>
    </cfRule>
    <cfRule type="cellIs" dxfId="55" priority="60" operator="equal">
      <formula>"x"</formula>
    </cfRule>
  </conditionalFormatting>
  <conditionalFormatting sqref="C3:D11 C26:D26 C37:D37 D31:D34 C27:C30 C43:D66 D42 C41 C68:D72">
    <cfRule type="cellIs" dxfId="54" priority="58" operator="equal">
      <formula>"e"</formula>
    </cfRule>
  </conditionalFormatting>
  <conditionalFormatting sqref="H3:I26 H37:I37 H27:H30 I31:I34 H43:I66 H41 I42 H68:I80">
    <cfRule type="cellIs" dxfId="53" priority="50" operator="equal">
      <formula>"o"</formula>
    </cfRule>
    <cfRule type="cellIs" dxfId="52" priority="51" operator="equal">
      <formula>"x"</formula>
    </cfRule>
  </conditionalFormatting>
  <conditionalFormatting sqref="H3:I26 H37:I37 H27:H30 I31:I34 H43:I66 H41 I42 H68:I72">
    <cfRule type="cellIs" dxfId="51" priority="49" operator="equal">
      <formula>"e"</formula>
    </cfRule>
  </conditionalFormatting>
  <conditionalFormatting sqref="G3:G34 G37 G41:G66 G68:G80">
    <cfRule type="cellIs" dxfId="50" priority="53" operator="equal">
      <formula>"o"</formula>
    </cfRule>
    <cfRule type="cellIs" dxfId="49" priority="54" operator="equal">
      <formula>"x"</formula>
    </cfRule>
  </conditionalFormatting>
  <conditionalFormatting sqref="G3:G34 G37 G41:G66 G68:G72">
    <cfRule type="cellIs" dxfId="48" priority="52" operator="equal">
      <formula>"e"</formula>
    </cfRule>
  </conditionalFormatting>
  <conditionalFormatting sqref="B12:D25">
    <cfRule type="cellIs" dxfId="47" priority="47" operator="equal">
      <formula>"o"</formula>
    </cfRule>
    <cfRule type="cellIs" dxfId="46" priority="48" operator="equal">
      <formula>"x"</formula>
    </cfRule>
  </conditionalFormatting>
  <conditionalFormatting sqref="B12:D25">
    <cfRule type="cellIs" dxfId="45" priority="46" operator="equal">
      <formula>"e"</formula>
    </cfRule>
  </conditionalFormatting>
  <conditionalFormatting sqref="B36:D36">
    <cfRule type="cellIs" dxfId="44" priority="44" operator="equal">
      <formula>"o"</formula>
    </cfRule>
    <cfRule type="cellIs" dxfId="43" priority="45" operator="equal">
      <formula>"x"</formula>
    </cfRule>
  </conditionalFormatting>
  <conditionalFormatting sqref="B36:D36">
    <cfRule type="cellIs" dxfId="42" priority="43" operator="equal">
      <formula>"e"</formula>
    </cfRule>
  </conditionalFormatting>
  <conditionalFormatting sqref="C31:C35">
    <cfRule type="cellIs" dxfId="41" priority="41" operator="equal">
      <formula>"o"</formula>
    </cfRule>
    <cfRule type="cellIs" dxfId="40" priority="42" operator="equal">
      <formula>"x"</formula>
    </cfRule>
  </conditionalFormatting>
  <conditionalFormatting sqref="C31:C35">
    <cfRule type="cellIs" dxfId="39" priority="40" operator="equal">
      <formula>"e"</formula>
    </cfRule>
  </conditionalFormatting>
  <conditionalFormatting sqref="D35">
    <cfRule type="cellIs" dxfId="38" priority="38" operator="equal">
      <formula>"o"</formula>
    </cfRule>
    <cfRule type="cellIs" dxfId="37" priority="39" operator="equal">
      <formula>"x"</formula>
    </cfRule>
  </conditionalFormatting>
  <conditionalFormatting sqref="D35">
    <cfRule type="cellIs" dxfId="36" priority="37" operator="equal">
      <formula>"e"</formula>
    </cfRule>
  </conditionalFormatting>
  <conditionalFormatting sqref="D27:D30">
    <cfRule type="cellIs" dxfId="35" priority="35" operator="equal">
      <formula>"o"</formula>
    </cfRule>
    <cfRule type="cellIs" dxfId="34" priority="36" operator="equal">
      <formula>"x"</formula>
    </cfRule>
  </conditionalFormatting>
  <conditionalFormatting sqref="D27:D30">
    <cfRule type="cellIs" dxfId="33" priority="34" operator="equal">
      <formula>"e"</formula>
    </cfRule>
  </conditionalFormatting>
  <conditionalFormatting sqref="I27:I30">
    <cfRule type="cellIs" dxfId="32" priority="32" operator="equal">
      <formula>"o"</formula>
    </cfRule>
    <cfRule type="cellIs" dxfId="31" priority="33" operator="equal">
      <formula>"x"</formula>
    </cfRule>
  </conditionalFormatting>
  <conditionalFormatting sqref="I27:I30">
    <cfRule type="cellIs" dxfId="30" priority="31" operator="equal">
      <formula>"e"</formula>
    </cfRule>
  </conditionalFormatting>
  <conditionalFormatting sqref="H31:H34">
    <cfRule type="cellIs" dxfId="29" priority="29" operator="equal">
      <formula>"o"</formula>
    </cfRule>
    <cfRule type="cellIs" dxfId="28" priority="30" operator="equal">
      <formula>"x"</formula>
    </cfRule>
  </conditionalFormatting>
  <conditionalFormatting sqref="H31:H34">
    <cfRule type="cellIs" dxfId="27" priority="28" operator="equal">
      <formula>"e"</formula>
    </cfRule>
  </conditionalFormatting>
  <conditionalFormatting sqref="G35:I36">
    <cfRule type="cellIs" dxfId="26" priority="26" operator="equal">
      <formula>"o"</formula>
    </cfRule>
    <cfRule type="cellIs" dxfId="25" priority="27" operator="equal">
      <formula>"x"</formula>
    </cfRule>
  </conditionalFormatting>
  <conditionalFormatting sqref="G35:I36">
    <cfRule type="cellIs" dxfId="24" priority="25" operator="equal">
      <formula>"e"</formula>
    </cfRule>
  </conditionalFormatting>
  <conditionalFormatting sqref="G38:I40">
    <cfRule type="cellIs" dxfId="23" priority="23" operator="equal">
      <formula>"o"</formula>
    </cfRule>
    <cfRule type="cellIs" dxfId="22" priority="24" operator="equal">
      <formula>"x"</formula>
    </cfRule>
  </conditionalFormatting>
  <conditionalFormatting sqref="G38:I40">
    <cfRule type="cellIs" dxfId="21" priority="22" operator="equal">
      <formula>"e"</formula>
    </cfRule>
  </conditionalFormatting>
  <conditionalFormatting sqref="I41">
    <cfRule type="cellIs" dxfId="20" priority="20" operator="equal">
      <formula>"o"</formula>
    </cfRule>
    <cfRule type="cellIs" dxfId="19" priority="21" operator="equal">
      <formula>"x"</formula>
    </cfRule>
  </conditionalFormatting>
  <conditionalFormatting sqref="I41">
    <cfRule type="cellIs" dxfId="18" priority="19" operator="equal">
      <formula>"e"</formula>
    </cfRule>
  </conditionalFormatting>
  <conditionalFormatting sqref="H42">
    <cfRule type="cellIs" dxfId="17" priority="17" operator="equal">
      <formula>"o"</formula>
    </cfRule>
    <cfRule type="cellIs" dxfId="16" priority="18" operator="equal">
      <formula>"x"</formula>
    </cfRule>
  </conditionalFormatting>
  <conditionalFormatting sqref="H42">
    <cfRule type="cellIs" dxfId="15" priority="16" operator="equal">
      <formula>"e"</formula>
    </cfRule>
  </conditionalFormatting>
  <conditionalFormatting sqref="C42">
    <cfRule type="cellIs" dxfId="14" priority="14" operator="equal">
      <formula>"o"</formula>
    </cfRule>
    <cfRule type="cellIs" dxfId="13" priority="15" operator="equal">
      <formula>"x"</formula>
    </cfRule>
  </conditionalFormatting>
  <conditionalFormatting sqref="C42">
    <cfRule type="cellIs" dxfId="12" priority="13" operator="equal">
      <formula>"e"</formula>
    </cfRule>
  </conditionalFormatting>
  <conditionalFormatting sqref="D38:D41">
    <cfRule type="cellIs" dxfId="11" priority="11" operator="equal">
      <formula>"o"</formula>
    </cfRule>
    <cfRule type="cellIs" dxfId="10" priority="12" operator="equal">
      <formula>"x"</formula>
    </cfRule>
  </conditionalFormatting>
  <conditionalFormatting sqref="D38:D41">
    <cfRule type="cellIs" dxfId="9" priority="10" operator="equal">
      <formula>"e"</formula>
    </cfRule>
  </conditionalFormatting>
  <conditionalFormatting sqref="B38:C40">
    <cfRule type="cellIs" dxfId="8" priority="8" operator="equal">
      <formula>"o"</formula>
    </cfRule>
    <cfRule type="cellIs" dxfId="7" priority="9" operator="equal">
      <formula>"x"</formula>
    </cfRule>
  </conditionalFormatting>
  <conditionalFormatting sqref="B38:C40">
    <cfRule type="cellIs" dxfId="6" priority="7" operator="equal">
      <formula>"e"</formula>
    </cfRule>
  </conditionalFormatting>
  <conditionalFormatting sqref="B67:D67">
    <cfRule type="cellIs" dxfId="5" priority="5" operator="equal">
      <formula>"o"</formula>
    </cfRule>
    <cfRule type="cellIs" dxfId="4" priority="6" operator="equal">
      <formula>"x"</formula>
    </cfRule>
  </conditionalFormatting>
  <conditionalFormatting sqref="B67:D67">
    <cfRule type="cellIs" dxfId="3" priority="4" operator="equal">
      <formula>"e"</formula>
    </cfRule>
  </conditionalFormatting>
  <conditionalFormatting sqref="G67:I67">
    <cfRule type="cellIs" dxfId="2" priority="2" operator="equal">
      <formula>"o"</formula>
    </cfRule>
    <cfRule type="cellIs" dxfId="1" priority="3" operator="equal">
      <formula>"x"</formula>
    </cfRule>
  </conditionalFormatting>
  <conditionalFormatting sqref="G67:I67">
    <cfRule type="cellIs" dxfId="0" priority="1" operator="equal">
      <formula>"e"</formula>
    </cfRule>
  </conditionalFormatting>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C000"/>
    <pageSetUpPr fitToPage="1"/>
  </sheetPr>
  <dimension ref="A2:P48"/>
  <sheetViews>
    <sheetView showGridLines="0" zoomScaleNormal="100" workbookViewId="0">
      <selection activeCell="H18" sqref="H18"/>
    </sheetView>
  </sheetViews>
  <sheetFormatPr defaultRowHeight="12.75" x14ac:dyDescent="0.2"/>
  <cols>
    <col min="1" max="1" width="5" style="52" customWidth="1"/>
    <col min="2" max="2" width="47.42578125" style="52" customWidth="1"/>
    <col min="3" max="3" width="12.7109375" style="52" bestFit="1" customWidth="1"/>
    <col min="4" max="4" width="1.7109375" style="52" customWidth="1"/>
    <col min="5" max="8" width="14.7109375" style="52" customWidth="1"/>
    <col min="9" max="12" width="16.7109375" style="52" customWidth="1"/>
    <col min="13" max="13" width="19.28515625" style="52" customWidth="1"/>
    <col min="14" max="14" width="40.140625" style="52" customWidth="1"/>
    <col min="15" max="15" width="13.7109375" style="52" customWidth="1"/>
    <col min="16" max="16" width="40.7109375" style="52" customWidth="1"/>
    <col min="17" max="259" width="9.140625" style="52"/>
    <col min="260" max="260" width="2.85546875" style="52" customWidth="1"/>
    <col min="261" max="261" width="5" style="52" customWidth="1"/>
    <col min="262" max="262" width="62" style="52" customWidth="1"/>
    <col min="263" max="263" width="12.7109375" style="52" bestFit="1" customWidth="1"/>
    <col min="264" max="264" width="1.7109375" style="52" customWidth="1"/>
    <col min="265" max="270" width="15.7109375" style="52" customWidth="1"/>
    <col min="271" max="271" width="13.7109375" style="52" customWidth="1"/>
    <col min="272" max="272" width="40.7109375" style="52" customWidth="1"/>
    <col min="273" max="515" width="9.140625" style="52"/>
    <col min="516" max="516" width="2.85546875" style="52" customWidth="1"/>
    <col min="517" max="517" width="5" style="52" customWidth="1"/>
    <col min="518" max="518" width="62" style="52" customWidth="1"/>
    <col min="519" max="519" width="12.7109375" style="52" bestFit="1" customWidth="1"/>
    <col min="520" max="520" width="1.7109375" style="52" customWidth="1"/>
    <col min="521" max="526" width="15.7109375" style="52" customWidth="1"/>
    <col min="527" max="527" width="13.7109375" style="52" customWidth="1"/>
    <col min="528" max="528" width="40.7109375" style="52" customWidth="1"/>
    <col min="529" max="771" width="9.140625" style="52"/>
    <col min="772" max="772" width="2.85546875" style="52" customWidth="1"/>
    <col min="773" max="773" width="5" style="52" customWidth="1"/>
    <col min="774" max="774" width="62" style="52" customWidth="1"/>
    <col min="775" max="775" width="12.7109375" style="52" bestFit="1" customWidth="1"/>
    <col min="776" max="776" width="1.7109375" style="52" customWidth="1"/>
    <col min="777" max="782" width="15.7109375" style="52" customWidth="1"/>
    <col min="783" max="783" width="13.7109375" style="52" customWidth="1"/>
    <col min="784" max="784" width="40.7109375" style="52" customWidth="1"/>
    <col min="785" max="1027" width="9.140625" style="52"/>
    <col min="1028" max="1028" width="2.85546875" style="52" customWidth="1"/>
    <col min="1029" max="1029" width="5" style="52" customWidth="1"/>
    <col min="1030" max="1030" width="62" style="52" customWidth="1"/>
    <col min="1031" max="1031" width="12.7109375" style="52" bestFit="1" customWidth="1"/>
    <col min="1032" max="1032" width="1.7109375" style="52" customWidth="1"/>
    <col min="1033" max="1038" width="15.7109375" style="52" customWidth="1"/>
    <col min="1039" max="1039" width="13.7109375" style="52" customWidth="1"/>
    <col min="1040" max="1040" width="40.7109375" style="52" customWidth="1"/>
    <col min="1041" max="1283" width="9.140625" style="52"/>
    <col min="1284" max="1284" width="2.85546875" style="52" customWidth="1"/>
    <col min="1285" max="1285" width="5" style="52" customWidth="1"/>
    <col min="1286" max="1286" width="62" style="52" customWidth="1"/>
    <col min="1287" max="1287" width="12.7109375" style="52" bestFit="1" customWidth="1"/>
    <col min="1288" max="1288" width="1.7109375" style="52" customWidth="1"/>
    <col min="1289" max="1294" width="15.7109375" style="52" customWidth="1"/>
    <col min="1295" max="1295" width="13.7109375" style="52" customWidth="1"/>
    <col min="1296" max="1296" width="40.7109375" style="52" customWidth="1"/>
    <col min="1297" max="1539" width="9.140625" style="52"/>
    <col min="1540" max="1540" width="2.85546875" style="52" customWidth="1"/>
    <col min="1541" max="1541" width="5" style="52" customWidth="1"/>
    <col min="1542" max="1542" width="62" style="52" customWidth="1"/>
    <col min="1543" max="1543" width="12.7109375" style="52" bestFit="1" customWidth="1"/>
    <col min="1544" max="1544" width="1.7109375" style="52" customWidth="1"/>
    <col min="1545" max="1550" width="15.7109375" style="52" customWidth="1"/>
    <col min="1551" max="1551" width="13.7109375" style="52" customWidth="1"/>
    <col min="1552" max="1552" width="40.7109375" style="52" customWidth="1"/>
    <col min="1553" max="1795" width="9.140625" style="52"/>
    <col min="1796" max="1796" width="2.85546875" style="52" customWidth="1"/>
    <col min="1797" max="1797" width="5" style="52" customWidth="1"/>
    <col min="1798" max="1798" width="62" style="52" customWidth="1"/>
    <col min="1799" max="1799" width="12.7109375" style="52" bestFit="1" customWidth="1"/>
    <col min="1800" max="1800" width="1.7109375" style="52" customWidth="1"/>
    <col min="1801" max="1806" width="15.7109375" style="52" customWidth="1"/>
    <col min="1807" max="1807" width="13.7109375" style="52" customWidth="1"/>
    <col min="1808" max="1808" width="40.7109375" style="52" customWidth="1"/>
    <col min="1809" max="2051" width="9.140625" style="52"/>
    <col min="2052" max="2052" width="2.85546875" style="52" customWidth="1"/>
    <col min="2053" max="2053" width="5" style="52" customWidth="1"/>
    <col min="2054" max="2054" width="62" style="52" customWidth="1"/>
    <col min="2055" max="2055" width="12.7109375" style="52" bestFit="1" customWidth="1"/>
    <col min="2056" max="2056" width="1.7109375" style="52" customWidth="1"/>
    <col min="2057" max="2062" width="15.7109375" style="52" customWidth="1"/>
    <col min="2063" max="2063" width="13.7109375" style="52" customWidth="1"/>
    <col min="2064" max="2064" width="40.7109375" style="52" customWidth="1"/>
    <col min="2065" max="2307" width="9.140625" style="52"/>
    <col min="2308" max="2308" width="2.85546875" style="52" customWidth="1"/>
    <col min="2309" max="2309" width="5" style="52" customWidth="1"/>
    <col min="2310" max="2310" width="62" style="52" customWidth="1"/>
    <col min="2311" max="2311" width="12.7109375" style="52" bestFit="1" customWidth="1"/>
    <col min="2312" max="2312" width="1.7109375" style="52" customWidth="1"/>
    <col min="2313" max="2318" width="15.7109375" style="52" customWidth="1"/>
    <col min="2319" max="2319" width="13.7109375" style="52" customWidth="1"/>
    <col min="2320" max="2320" width="40.7109375" style="52" customWidth="1"/>
    <col min="2321" max="2563" width="9.140625" style="52"/>
    <col min="2564" max="2564" width="2.85546875" style="52" customWidth="1"/>
    <col min="2565" max="2565" width="5" style="52" customWidth="1"/>
    <col min="2566" max="2566" width="62" style="52" customWidth="1"/>
    <col min="2567" max="2567" width="12.7109375" style="52" bestFit="1" customWidth="1"/>
    <col min="2568" max="2568" width="1.7109375" style="52" customWidth="1"/>
    <col min="2569" max="2574" width="15.7109375" style="52" customWidth="1"/>
    <col min="2575" max="2575" width="13.7109375" style="52" customWidth="1"/>
    <col min="2576" max="2576" width="40.7109375" style="52" customWidth="1"/>
    <col min="2577" max="2819" width="9.140625" style="52"/>
    <col min="2820" max="2820" width="2.85546875" style="52" customWidth="1"/>
    <col min="2821" max="2821" width="5" style="52" customWidth="1"/>
    <col min="2822" max="2822" width="62" style="52" customWidth="1"/>
    <col min="2823" max="2823" width="12.7109375" style="52" bestFit="1" customWidth="1"/>
    <col min="2824" max="2824" width="1.7109375" style="52" customWidth="1"/>
    <col min="2825" max="2830" width="15.7109375" style="52" customWidth="1"/>
    <col min="2831" max="2831" width="13.7109375" style="52" customWidth="1"/>
    <col min="2832" max="2832" width="40.7109375" style="52" customWidth="1"/>
    <col min="2833" max="3075" width="9.140625" style="52"/>
    <col min="3076" max="3076" width="2.85546875" style="52" customWidth="1"/>
    <col min="3077" max="3077" width="5" style="52" customWidth="1"/>
    <col min="3078" max="3078" width="62" style="52" customWidth="1"/>
    <col min="3079" max="3079" width="12.7109375" style="52" bestFit="1" customWidth="1"/>
    <col min="3080" max="3080" width="1.7109375" style="52" customWidth="1"/>
    <col min="3081" max="3086" width="15.7109375" style="52" customWidth="1"/>
    <col min="3087" max="3087" width="13.7109375" style="52" customWidth="1"/>
    <col min="3088" max="3088" width="40.7109375" style="52" customWidth="1"/>
    <col min="3089" max="3331" width="9.140625" style="52"/>
    <col min="3332" max="3332" width="2.85546875" style="52" customWidth="1"/>
    <col min="3333" max="3333" width="5" style="52" customWidth="1"/>
    <col min="3334" max="3334" width="62" style="52" customWidth="1"/>
    <col min="3335" max="3335" width="12.7109375" style="52" bestFit="1" customWidth="1"/>
    <col min="3336" max="3336" width="1.7109375" style="52" customWidth="1"/>
    <col min="3337" max="3342" width="15.7109375" style="52" customWidth="1"/>
    <col min="3343" max="3343" width="13.7109375" style="52" customWidth="1"/>
    <col min="3344" max="3344" width="40.7109375" style="52" customWidth="1"/>
    <col min="3345" max="3587" width="9.140625" style="52"/>
    <col min="3588" max="3588" width="2.85546875" style="52" customWidth="1"/>
    <col min="3589" max="3589" width="5" style="52" customWidth="1"/>
    <col min="3590" max="3590" width="62" style="52" customWidth="1"/>
    <col min="3591" max="3591" width="12.7109375" style="52" bestFit="1" customWidth="1"/>
    <col min="3592" max="3592" width="1.7109375" style="52" customWidth="1"/>
    <col min="3593" max="3598" width="15.7109375" style="52" customWidth="1"/>
    <col min="3599" max="3599" width="13.7109375" style="52" customWidth="1"/>
    <col min="3600" max="3600" width="40.7109375" style="52" customWidth="1"/>
    <col min="3601" max="3843" width="9.140625" style="52"/>
    <col min="3844" max="3844" width="2.85546875" style="52" customWidth="1"/>
    <col min="3845" max="3845" width="5" style="52" customWidth="1"/>
    <col min="3846" max="3846" width="62" style="52" customWidth="1"/>
    <col min="3847" max="3847" width="12.7109375" style="52" bestFit="1" customWidth="1"/>
    <col min="3848" max="3848" width="1.7109375" style="52" customWidth="1"/>
    <col min="3849" max="3854" width="15.7109375" style="52" customWidth="1"/>
    <col min="3855" max="3855" width="13.7109375" style="52" customWidth="1"/>
    <col min="3856" max="3856" width="40.7109375" style="52" customWidth="1"/>
    <col min="3857" max="4099" width="9.140625" style="52"/>
    <col min="4100" max="4100" width="2.85546875" style="52" customWidth="1"/>
    <col min="4101" max="4101" width="5" style="52" customWidth="1"/>
    <col min="4102" max="4102" width="62" style="52" customWidth="1"/>
    <col min="4103" max="4103" width="12.7109375" style="52" bestFit="1" customWidth="1"/>
    <col min="4104" max="4104" width="1.7109375" style="52" customWidth="1"/>
    <col min="4105" max="4110" width="15.7109375" style="52" customWidth="1"/>
    <col min="4111" max="4111" width="13.7109375" style="52" customWidth="1"/>
    <col min="4112" max="4112" width="40.7109375" style="52" customWidth="1"/>
    <col min="4113" max="4355" width="9.140625" style="52"/>
    <col min="4356" max="4356" width="2.85546875" style="52" customWidth="1"/>
    <col min="4357" max="4357" width="5" style="52" customWidth="1"/>
    <col min="4358" max="4358" width="62" style="52" customWidth="1"/>
    <col min="4359" max="4359" width="12.7109375" style="52" bestFit="1" customWidth="1"/>
    <col min="4360" max="4360" width="1.7109375" style="52" customWidth="1"/>
    <col min="4361" max="4366" width="15.7109375" style="52" customWidth="1"/>
    <col min="4367" max="4367" width="13.7109375" style="52" customWidth="1"/>
    <col min="4368" max="4368" width="40.7109375" style="52" customWidth="1"/>
    <col min="4369" max="4611" width="9.140625" style="52"/>
    <col min="4612" max="4612" width="2.85546875" style="52" customWidth="1"/>
    <col min="4613" max="4613" width="5" style="52" customWidth="1"/>
    <col min="4614" max="4614" width="62" style="52" customWidth="1"/>
    <col min="4615" max="4615" width="12.7109375" style="52" bestFit="1" customWidth="1"/>
    <col min="4616" max="4616" width="1.7109375" style="52" customWidth="1"/>
    <col min="4617" max="4622" width="15.7109375" style="52" customWidth="1"/>
    <col min="4623" max="4623" width="13.7109375" style="52" customWidth="1"/>
    <col min="4624" max="4624" width="40.7109375" style="52" customWidth="1"/>
    <col min="4625" max="4867" width="9.140625" style="52"/>
    <col min="4868" max="4868" width="2.85546875" style="52" customWidth="1"/>
    <col min="4869" max="4869" width="5" style="52" customWidth="1"/>
    <col min="4870" max="4870" width="62" style="52" customWidth="1"/>
    <col min="4871" max="4871" width="12.7109375" style="52" bestFit="1" customWidth="1"/>
    <col min="4872" max="4872" width="1.7109375" style="52" customWidth="1"/>
    <col min="4873" max="4878" width="15.7109375" style="52" customWidth="1"/>
    <col min="4879" max="4879" width="13.7109375" style="52" customWidth="1"/>
    <col min="4880" max="4880" width="40.7109375" style="52" customWidth="1"/>
    <col min="4881" max="5123" width="9.140625" style="52"/>
    <col min="5124" max="5124" width="2.85546875" style="52" customWidth="1"/>
    <col min="5125" max="5125" width="5" style="52" customWidth="1"/>
    <col min="5126" max="5126" width="62" style="52" customWidth="1"/>
    <col min="5127" max="5127" width="12.7109375" style="52" bestFit="1" customWidth="1"/>
    <col min="5128" max="5128" width="1.7109375" style="52" customWidth="1"/>
    <col min="5129" max="5134" width="15.7109375" style="52" customWidth="1"/>
    <col min="5135" max="5135" width="13.7109375" style="52" customWidth="1"/>
    <col min="5136" max="5136" width="40.7109375" style="52" customWidth="1"/>
    <col min="5137" max="5379" width="9.140625" style="52"/>
    <col min="5380" max="5380" width="2.85546875" style="52" customWidth="1"/>
    <col min="5381" max="5381" width="5" style="52" customWidth="1"/>
    <col min="5382" max="5382" width="62" style="52" customWidth="1"/>
    <col min="5383" max="5383" width="12.7109375" style="52" bestFit="1" customWidth="1"/>
    <col min="5384" max="5384" width="1.7109375" style="52" customWidth="1"/>
    <col min="5385" max="5390" width="15.7109375" style="52" customWidth="1"/>
    <col min="5391" max="5391" width="13.7109375" style="52" customWidth="1"/>
    <col min="5392" max="5392" width="40.7109375" style="52" customWidth="1"/>
    <col min="5393" max="5635" width="9.140625" style="52"/>
    <col min="5636" max="5636" width="2.85546875" style="52" customWidth="1"/>
    <col min="5637" max="5637" width="5" style="52" customWidth="1"/>
    <col min="5638" max="5638" width="62" style="52" customWidth="1"/>
    <col min="5639" max="5639" width="12.7109375" style="52" bestFit="1" customWidth="1"/>
    <col min="5640" max="5640" width="1.7109375" style="52" customWidth="1"/>
    <col min="5641" max="5646" width="15.7109375" style="52" customWidth="1"/>
    <col min="5647" max="5647" width="13.7109375" style="52" customWidth="1"/>
    <col min="5648" max="5648" width="40.7109375" style="52" customWidth="1"/>
    <col min="5649" max="5891" width="9.140625" style="52"/>
    <col min="5892" max="5892" width="2.85546875" style="52" customWidth="1"/>
    <col min="5893" max="5893" width="5" style="52" customWidth="1"/>
    <col min="5894" max="5894" width="62" style="52" customWidth="1"/>
    <col min="5895" max="5895" width="12.7109375" style="52" bestFit="1" customWidth="1"/>
    <col min="5896" max="5896" width="1.7109375" style="52" customWidth="1"/>
    <col min="5897" max="5902" width="15.7109375" style="52" customWidth="1"/>
    <col min="5903" max="5903" width="13.7109375" style="52" customWidth="1"/>
    <col min="5904" max="5904" width="40.7109375" style="52" customWidth="1"/>
    <col min="5905" max="6147" width="9.140625" style="52"/>
    <col min="6148" max="6148" width="2.85546875" style="52" customWidth="1"/>
    <col min="6149" max="6149" width="5" style="52" customWidth="1"/>
    <col min="6150" max="6150" width="62" style="52" customWidth="1"/>
    <col min="6151" max="6151" width="12.7109375" style="52" bestFit="1" customWidth="1"/>
    <col min="6152" max="6152" width="1.7109375" style="52" customWidth="1"/>
    <col min="6153" max="6158" width="15.7109375" style="52" customWidth="1"/>
    <col min="6159" max="6159" width="13.7109375" style="52" customWidth="1"/>
    <col min="6160" max="6160" width="40.7109375" style="52" customWidth="1"/>
    <col min="6161" max="6403" width="9.140625" style="52"/>
    <col min="6404" max="6404" width="2.85546875" style="52" customWidth="1"/>
    <col min="6405" max="6405" width="5" style="52" customWidth="1"/>
    <col min="6406" max="6406" width="62" style="52" customWidth="1"/>
    <col min="6407" max="6407" width="12.7109375" style="52" bestFit="1" customWidth="1"/>
    <col min="6408" max="6408" width="1.7109375" style="52" customWidth="1"/>
    <col min="6409" max="6414" width="15.7109375" style="52" customWidth="1"/>
    <col min="6415" max="6415" width="13.7109375" style="52" customWidth="1"/>
    <col min="6416" max="6416" width="40.7109375" style="52" customWidth="1"/>
    <col min="6417" max="6659" width="9.140625" style="52"/>
    <col min="6660" max="6660" width="2.85546875" style="52" customWidth="1"/>
    <col min="6661" max="6661" width="5" style="52" customWidth="1"/>
    <col min="6662" max="6662" width="62" style="52" customWidth="1"/>
    <col min="6663" max="6663" width="12.7109375" style="52" bestFit="1" customWidth="1"/>
    <col min="6664" max="6664" width="1.7109375" style="52" customWidth="1"/>
    <col min="6665" max="6670" width="15.7109375" style="52" customWidth="1"/>
    <col min="6671" max="6671" width="13.7109375" style="52" customWidth="1"/>
    <col min="6672" max="6672" width="40.7109375" style="52" customWidth="1"/>
    <col min="6673" max="6915" width="9.140625" style="52"/>
    <col min="6916" max="6916" width="2.85546875" style="52" customWidth="1"/>
    <col min="6917" max="6917" width="5" style="52" customWidth="1"/>
    <col min="6918" max="6918" width="62" style="52" customWidth="1"/>
    <col min="6919" max="6919" width="12.7109375" style="52" bestFit="1" customWidth="1"/>
    <col min="6920" max="6920" width="1.7109375" style="52" customWidth="1"/>
    <col min="6921" max="6926" width="15.7109375" style="52" customWidth="1"/>
    <col min="6927" max="6927" width="13.7109375" style="52" customWidth="1"/>
    <col min="6928" max="6928" width="40.7109375" style="52" customWidth="1"/>
    <col min="6929" max="7171" width="9.140625" style="52"/>
    <col min="7172" max="7172" width="2.85546875" style="52" customWidth="1"/>
    <col min="7173" max="7173" width="5" style="52" customWidth="1"/>
    <col min="7174" max="7174" width="62" style="52" customWidth="1"/>
    <col min="7175" max="7175" width="12.7109375" style="52" bestFit="1" customWidth="1"/>
    <col min="7176" max="7176" width="1.7109375" style="52" customWidth="1"/>
    <col min="7177" max="7182" width="15.7109375" style="52" customWidth="1"/>
    <col min="7183" max="7183" width="13.7109375" style="52" customWidth="1"/>
    <col min="7184" max="7184" width="40.7109375" style="52" customWidth="1"/>
    <col min="7185" max="7427" width="9.140625" style="52"/>
    <col min="7428" max="7428" width="2.85546875" style="52" customWidth="1"/>
    <col min="7429" max="7429" width="5" style="52" customWidth="1"/>
    <col min="7430" max="7430" width="62" style="52" customWidth="1"/>
    <col min="7431" max="7431" width="12.7109375" style="52" bestFit="1" customWidth="1"/>
    <col min="7432" max="7432" width="1.7109375" style="52" customWidth="1"/>
    <col min="7433" max="7438" width="15.7109375" style="52" customWidth="1"/>
    <col min="7439" max="7439" width="13.7109375" style="52" customWidth="1"/>
    <col min="7440" max="7440" width="40.7109375" style="52" customWidth="1"/>
    <col min="7441" max="7683" width="9.140625" style="52"/>
    <col min="7684" max="7684" width="2.85546875" style="52" customWidth="1"/>
    <col min="7685" max="7685" width="5" style="52" customWidth="1"/>
    <col min="7686" max="7686" width="62" style="52" customWidth="1"/>
    <col min="7687" max="7687" width="12.7109375" style="52" bestFit="1" customWidth="1"/>
    <col min="7688" max="7688" width="1.7109375" style="52" customWidth="1"/>
    <col min="7689" max="7694" width="15.7109375" style="52" customWidth="1"/>
    <col min="7695" max="7695" width="13.7109375" style="52" customWidth="1"/>
    <col min="7696" max="7696" width="40.7109375" style="52" customWidth="1"/>
    <col min="7697" max="7939" width="9.140625" style="52"/>
    <col min="7940" max="7940" width="2.85546875" style="52" customWidth="1"/>
    <col min="7941" max="7941" width="5" style="52" customWidth="1"/>
    <col min="7942" max="7942" width="62" style="52" customWidth="1"/>
    <col min="7943" max="7943" width="12.7109375" style="52" bestFit="1" customWidth="1"/>
    <col min="7944" max="7944" width="1.7109375" style="52" customWidth="1"/>
    <col min="7945" max="7950" width="15.7109375" style="52" customWidth="1"/>
    <col min="7951" max="7951" width="13.7109375" style="52" customWidth="1"/>
    <col min="7952" max="7952" width="40.7109375" style="52" customWidth="1"/>
    <col min="7953" max="8195" width="9.140625" style="52"/>
    <col min="8196" max="8196" width="2.85546875" style="52" customWidth="1"/>
    <col min="8197" max="8197" width="5" style="52" customWidth="1"/>
    <col min="8198" max="8198" width="62" style="52" customWidth="1"/>
    <col min="8199" max="8199" width="12.7109375" style="52" bestFit="1" customWidth="1"/>
    <col min="8200" max="8200" width="1.7109375" style="52" customWidth="1"/>
    <col min="8201" max="8206" width="15.7109375" style="52" customWidth="1"/>
    <col min="8207" max="8207" width="13.7109375" style="52" customWidth="1"/>
    <col min="8208" max="8208" width="40.7109375" style="52" customWidth="1"/>
    <col min="8209" max="8451" width="9.140625" style="52"/>
    <col min="8452" max="8452" width="2.85546875" style="52" customWidth="1"/>
    <col min="8453" max="8453" width="5" style="52" customWidth="1"/>
    <col min="8454" max="8454" width="62" style="52" customWidth="1"/>
    <col min="8455" max="8455" width="12.7109375" style="52" bestFit="1" customWidth="1"/>
    <col min="8456" max="8456" width="1.7109375" style="52" customWidth="1"/>
    <col min="8457" max="8462" width="15.7109375" style="52" customWidth="1"/>
    <col min="8463" max="8463" width="13.7109375" style="52" customWidth="1"/>
    <col min="8464" max="8464" width="40.7109375" style="52" customWidth="1"/>
    <col min="8465" max="8707" width="9.140625" style="52"/>
    <col min="8708" max="8708" width="2.85546875" style="52" customWidth="1"/>
    <col min="8709" max="8709" width="5" style="52" customWidth="1"/>
    <col min="8710" max="8710" width="62" style="52" customWidth="1"/>
    <col min="8711" max="8711" width="12.7109375" style="52" bestFit="1" customWidth="1"/>
    <col min="8712" max="8712" width="1.7109375" style="52" customWidth="1"/>
    <col min="8713" max="8718" width="15.7109375" style="52" customWidth="1"/>
    <col min="8719" max="8719" width="13.7109375" style="52" customWidth="1"/>
    <col min="8720" max="8720" width="40.7109375" style="52" customWidth="1"/>
    <col min="8721" max="8963" width="9.140625" style="52"/>
    <col min="8964" max="8964" width="2.85546875" style="52" customWidth="1"/>
    <col min="8965" max="8965" width="5" style="52" customWidth="1"/>
    <col min="8966" max="8966" width="62" style="52" customWidth="1"/>
    <col min="8967" max="8967" width="12.7109375" style="52" bestFit="1" customWidth="1"/>
    <col min="8968" max="8968" width="1.7109375" style="52" customWidth="1"/>
    <col min="8969" max="8974" width="15.7109375" style="52" customWidth="1"/>
    <col min="8975" max="8975" width="13.7109375" style="52" customWidth="1"/>
    <col min="8976" max="8976" width="40.7109375" style="52" customWidth="1"/>
    <col min="8977" max="9219" width="9.140625" style="52"/>
    <col min="9220" max="9220" width="2.85546875" style="52" customWidth="1"/>
    <col min="9221" max="9221" width="5" style="52" customWidth="1"/>
    <col min="9222" max="9222" width="62" style="52" customWidth="1"/>
    <col min="9223" max="9223" width="12.7109375" style="52" bestFit="1" customWidth="1"/>
    <col min="9224" max="9224" width="1.7109375" style="52" customWidth="1"/>
    <col min="9225" max="9230" width="15.7109375" style="52" customWidth="1"/>
    <col min="9231" max="9231" width="13.7109375" style="52" customWidth="1"/>
    <col min="9232" max="9232" width="40.7109375" style="52" customWidth="1"/>
    <col min="9233" max="9475" width="9.140625" style="52"/>
    <col min="9476" max="9476" width="2.85546875" style="52" customWidth="1"/>
    <col min="9477" max="9477" width="5" style="52" customWidth="1"/>
    <col min="9478" max="9478" width="62" style="52" customWidth="1"/>
    <col min="9479" max="9479" width="12.7109375" style="52" bestFit="1" customWidth="1"/>
    <col min="9480" max="9480" width="1.7109375" style="52" customWidth="1"/>
    <col min="9481" max="9486" width="15.7109375" style="52" customWidth="1"/>
    <col min="9487" max="9487" width="13.7109375" style="52" customWidth="1"/>
    <col min="9488" max="9488" width="40.7109375" style="52" customWidth="1"/>
    <col min="9489" max="9731" width="9.140625" style="52"/>
    <col min="9732" max="9732" width="2.85546875" style="52" customWidth="1"/>
    <col min="9733" max="9733" width="5" style="52" customWidth="1"/>
    <col min="9734" max="9734" width="62" style="52" customWidth="1"/>
    <col min="9735" max="9735" width="12.7109375" style="52" bestFit="1" customWidth="1"/>
    <col min="9736" max="9736" width="1.7109375" style="52" customWidth="1"/>
    <col min="9737" max="9742" width="15.7109375" style="52" customWidth="1"/>
    <col min="9743" max="9743" width="13.7109375" style="52" customWidth="1"/>
    <col min="9744" max="9744" width="40.7109375" style="52" customWidth="1"/>
    <col min="9745" max="9987" width="9.140625" style="52"/>
    <col min="9988" max="9988" width="2.85546875" style="52" customWidth="1"/>
    <col min="9989" max="9989" width="5" style="52" customWidth="1"/>
    <col min="9990" max="9990" width="62" style="52" customWidth="1"/>
    <col min="9991" max="9991" width="12.7109375" style="52" bestFit="1" customWidth="1"/>
    <col min="9992" max="9992" width="1.7109375" style="52" customWidth="1"/>
    <col min="9993" max="9998" width="15.7109375" style="52" customWidth="1"/>
    <col min="9999" max="9999" width="13.7109375" style="52" customWidth="1"/>
    <col min="10000" max="10000" width="40.7109375" style="52" customWidth="1"/>
    <col min="10001" max="10243" width="9.140625" style="52"/>
    <col min="10244" max="10244" width="2.85546875" style="52" customWidth="1"/>
    <col min="10245" max="10245" width="5" style="52" customWidth="1"/>
    <col min="10246" max="10246" width="62" style="52" customWidth="1"/>
    <col min="10247" max="10247" width="12.7109375" style="52" bestFit="1" customWidth="1"/>
    <col min="10248" max="10248" width="1.7109375" style="52" customWidth="1"/>
    <col min="10249" max="10254" width="15.7109375" style="52" customWidth="1"/>
    <col min="10255" max="10255" width="13.7109375" style="52" customWidth="1"/>
    <col min="10256" max="10256" width="40.7109375" style="52" customWidth="1"/>
    <col min="10257" max="10499" width="9.140625" style="52"/>
    <col min="10500" max="10500" width="2.85546875" style="52" customWidth="1"/>
    <col min="10501" max="10501" width="5" style="52" customWidth="1"/>
    <col min="10502" max="10502" width="62" style="52" customWidth="1"/>
    <col min="10503" max="10503" width="12.7109375" style="52" bestFit="1" customWidth="1"/>
    <col min="10504" max="10504" width="1.7109375" style="52" customWidth="1"/>
    <col min="10505" max="10510" width="15.7109375" style="52" customWidth="1"/>
    <col min="10511" max="10511" width="13.7109375" style="52" customWidth="1"/>
    <col min="10512" max="10512" width="40.7109375" style="52" customWidth="1"/>
    <col min="10513" max="10755" width="9.140625" style="52"/>
    <col min="10756" max="10756" width="2.85546875" style="52" customWidth="1"/>
    <col min="10757" max="10757" width="5" style="52" customWidth="1"/>
    <col min="10758" max="10758" width="62" style="52" customWidth="1"/>
    <col min="10759" max="10759" width="12.7109375" style="52" bestFit="1" customWidth="1"/>
    <col min="10760" max="10760" width="1.7109375" style="52" customWidth="1"/>
    <col min="10761" max="10766" width="15.7109375" style="52" customWidth="1"/>
    <col min="10767" max="10767" width="13.7109375" style="52" customWidth="1"/>
    <col min="10768" max="10768" width="40.7109375" style="52" customWidth="1"/>
    <col min="10769" max="11011" width="9.140625" style="52"/>
    <col min="11012" max="11012" width="2.85546875" style="52" customWidth="1"/>
    <col min="11013" max="11013" width="5" style="52" customWidth="1"/>
    <col min="11014" max="11014" width="62" style="52" customWidth="1"/>
    <col min="11015" max="11015" width="12.7109375" style="52" bestFit="1" customWidth="1"/>
    <col min="11016" max="11016" width="1.7109375" style="52" customWidth="1"/>
    <col min="11017" max="11022" width="15.7109375" style="52" customWidth="1"/>
    <col min="11023" max="11023" width="13.7109375" style="52" customWidth="1"/>
    <col min="11024" max="11024" width="40.7109375" style="52" customWidth="1"/>
    <col min="11025" max="11267" width="9.140625" style="52"/>
    <col min="11268" max="11268" width="2.85546875" style="52" customWidth="1"/>
    <col min="11269" max="11269" width="5" style="52" customWidth="1"/>
    <col min="11270" max="11270" width="62" style="52" customWidth="1"/>
    <col min="11271" max="11271" width="12.7109375" style="52" bestFit="1" customWidth="1"/>
    <col min="11272" max="11272" width="1.7109375" style="52" customWidth="1"/>
    <col min="11273" max="11278" width="15.7109375" style="52" customWidth="1"/>
    <col min="11279" max="11279" width="13.7109375" style="52" customWidth="1"/>
    <col min="11280" max="11280" width="40.7109375" style="52" customWidth="1"/>
    <col min="11281" max="11523" width="9.140625" style="52"/>
    <col min="11524" max="11524" width="2.85546875" style="52" customWidth="1"/>
    <col min="11525" max="11525" width="5" style="52" customWidth="1"/>
    <col min="11526" max="11526" width="62" style="52" customWidth="1"/>
    <col min="11527" max="11527" width="12.7109375" style="52" bestFit="1" customWidth="1"/>
    <col min="11528" max="11528" width="1.7109375" style="52" customWidth="1"/>
    <col min="11529" max="11534" width="15.7109375" style="52" customWidth="1"/>
    <col min="11535" max="11535" width="13.7109375" style="52" customWidth="1"/>
    <col min="11536" max="11536" width="40.7109375" style="52" customWidth="1"/>
    <col min="11537" max="11779" width="9.140625" style="52"/>
    <col min="11780" max="11780" width="2.85546875" style="52" customWidth="1"/>
    <col min="11781" max="11781" width="5" style="52" customWidth="1"/>
    <col min="11782" max="11782" width="62" style="52" customWidth="1"/>
    <col min="11783" max="11783" width="12.7109375" style="52" bestFit="1" customWidth="1"/>
    <col min="11784" max="11784" width="1.7109375" style="52" customWidth="1"/>
    <col min="11785" max="11790" width="15.7109375" style="52" customWidth="1"/>
    <col min="11791" max="11791" width="13.7109375" style="52" customWidth="1"/>
    <col min="11792" max="11792" width="40.7109375" style="52" customWidth="1"/>
    <col min="11793" max="12035" width="9.140625" style="52"/>
    <col min="12036" max="12036" width="2.85546875" style="52" customWidth="1"/>
    <col min="12037" max="12037" width="5" style="52" customWidth="1"/>
    <col min="12038" max="12038" width="62" style="52" customWidth="1"/>
    <col min="12039" max="12039" width="12.7109375" style="52" bestFit="1" customWidth="1"/>
    <col min="12040" max="12040" width="1.7109375" style="52" customWidth="1"/>
    <col min="12041" max="12046" width="15.7109375" style="52" customWidth="1"/>
    <col min="12047" max="12047" width="13.7109375" style="52" customWidth="1"/>
    <col min="12048" max="12048" width="40.7109375" style="52" customWidth="1"/>
    <col min="12049" max="12291" width="9.140625" style="52"/>
    <col min="12292" max="12292" width="2.85546875" style="52" customWidth="1"/>
    <col min="12293" max="12293" width="5" style="52" customWidth="1"/>
    <col min="12294" max="12294" width="62" style="52" customWidth="1"/>
    <col min="12295" max="12295" width="12.7109375" style="52" bestFit="1" customWidth="1"/>
    <col min="12296" max="12296" width="1.7109375" style="52" customWidth="1"/>
    <col min="12297" max="12302" width="15.7109375" style="52" customWidth="1"/>
    <col min="12303" max="12303" width="13.7109375" style="52" customWidth="1"/>
    <col min="12304" max="12304" width="40.7109375" style="52" customWidth="1"/>
    <col min="12305" max="12547" width="9.140625" style="52"/>
    <col min="12548" max="12548" width="2.85546875" style="52" customWidth="1"/>
    <col min="12549" max="12549" width="5" style="52" customWidth="1"/>
    <col min="12550" max="12550" width="62" style="52" customWidth="1"/>
    <col min="12551" max="12551" width="12.7109375" style="52" bestFit="1" customWidth="1"/>
    <col min="12552" max="12552" width="1.7109375" style="52" customWidth="1"/>
    <col min="12553" max="12558" width="15.7109375" style="52" customWidth="1"/>
    <col min="12559" max="12559" width="13.7109375" style="52" customWidth="1"/>
    <col min="12560" max="12560" width="40.7109375" style="52" customWidth="1"/>
    <col min="12561" max="12803" width="9.140625" style="52"/>
    <col min="12804" max="12804" width="2.85546875" style="52" customWidth="1"/>
    <col min="12805" max="12805" width="5" style="52" customWidth="1"/>
    <col min="12806" max="12806" width="62" style="52" customWidth="1"/>
    <col min="12807" max="12807" width="12.7109375" style="52" bestFit="1" customWidth="1"/>
    <col min="12808" max="12808" width="1.7109375" style="52" customWidth="1"/>
    <col min="12809" max="12814" width="15.7109375" style="52" customWidth="1"/>
    <col min="12815" max="12815" width="13.7109375" style="52" customWidth="1"/>
    <col min="12816" max="12816" width="40.7109375" style="52" customWidth="1"/>
    <col min="12817" max="13059" width="9.140625" style="52"/>
    <col min="13060" max="13060" width="2.85546875" style="52" customWidth="1"/>
    <col min="13061" max="13061" width="5" style="52" customWidth="1"/>
    <col min="13062" max="13062" width="62" style="52" customWidth="1"/>
    <col min="13063" max="13063" width="12.7109375" style="52" bestFit="1" customWidth="1"/>
    <col min="13064" max="13064" width="1.7109375" style="52" customWidth="1"/>
    <col min="13065" max="13070" width="15.7109375" style="52" customWidth="1"/>
    <col min="13071" max="13071" width="13.7109375" style="52" customWidth="1"/>
    <col min="13072" max="13072" width="40.7109375" style="52" customWidth="1"/>
    <col min="13073" max="13315" width="9.140625" style="52"/>
    <col min="13316" max="13316" width="2.85546875" style="52" customWidth="1"/>
    <col min="13317" max="13317" width="5" style="52" customWidth="1"/>
    <col min="13318" max="13318" width="62" style="52" customWidth="1"/>
    <col min="13319" max="13319" width="12.7109375" style="52" bestFit="1" customWidth="1"/>
    <col min="13320" max="13320" width="1.7109375" style="52" customWidth="1"/>
    <col min="13321" max="13326" width="15.7109375" style="52" customWidth="1"/>
    <col min="13327" max="13327" width="13.7109375" style="52" customWidth="1"/>
    <col min="13328" max="13328" width="40.7109375" style="52" customWidth="1"/>
    <col min="13329" max="13571" width="9.140625" style="52"/>
    <col min="13572" max="13572" width="2.85546875" style="52" customWidth="1"/>
    <col min="13573" max="13573" width="5" style="52" customWidth="1"/>
    <col min="13574" max="13574" width="62" style="52" customWidth="1"/>
    <col min="13575" max="13575" width="12.7109375" style="52" bestFit="1" customWidth="1"/>
    <col min="13576" max="13576" width="1.7109375" style="52" customWidth="1"/>
    <col min="13577" max="13582" width="15.7109375" style="52" customWidth="1"/>
    <col min="13583" max="13583" width="13.7109375" style="52" customWidth="1"/>
    <col min="13584" max="13584" width="40.7109375" style="52" customWidth="1"/>
    <col min="13585" max="13827" width="9.140625" style="52"/>
    <col min="13828" max="13828" width="2.85546875" style="52" customWidth="1"/>
    <col min="13829" max="13829" width="5" style="52" customWidth="1"/>
    <col min="13830" max="13830" width="62" style="52" customWidth="1"/>
    <col min="13831" max="13831" width="12.7109375" style="52" bestFit="1" customWidth="1"/>
    <col min="13832" max="13832" width="1.7109375" style="52" customWidth="1"/>
    <col min="13833" max="13838" width="15.7109375" style="52" customWidth="1"/>
    <col min="13839" max="13839" width="13.7109375" style="52" customWidth="1"/>
    <col min="13840" max="13840" width="40.7109375" style="52" customWidth="1"/>
    <col min="13841" max="14083" width="9.140625" style="52"/>
    <col min="14084" max="14084" width="2.85546875" style="52" customWidth="1"/>
    <col min="14085" max="14085" width="5" style="52" customWidth="1"/>
    <col min="14086" max="14086" width="62" style="52" customWidth="1"/>
    <col min="14087" max="14087" width="12.7109375" style="52" bestFit="1" customWidth="1"/>
    <col min="14088" max="14088" width="1.7109375" style="52" customWidth="1"/>
    <col min="14089" max="14094" width="15.7109375" style="52" customWidth="1"/>
    <col min="14095" max="14095" width="13.7109375" style="52" customWidth="1"/>
    <col min="14096" max="14096" width="40.7109375" style="52" customWidth="1"/>
    <col min="14097" max="14339" width="9.140625" style="52"/>
    <col min="14340" max="14340" width="2.85546875" style="52" customWidth="1"/>
    <col min="14341" max="14341" width="5" style="52" customWidth="1"/>
    <col min="14342" max="14342" width="62" style="52" customWidth="1"/>
    <col min="14343" max="14343" width="12.7109375" style="52" bestFit="1" customWidth="1"/>
    <col min="14344" max="14344" width="1.7109375" style="52" customWidth="1"/>
    <col min="14345" max="14350" width="15.7109375" style="52" customWidth="1"/>
    <col min="14351" max="14351" width="13.7109375" style="52" customWidth="1"/>
    <col min="14352" max="14352" width="40.7109375" style="52" customWidth="1"/>
    <col min="14353" max="14595" width="9.140625" style="52"/>
    <col min="14596" max="14596" width="2.85546875" style="52" customWidth="1"/>
    <col min="14597" max="14597" width="5" style="52" customWidth="1"/>
    <col min="14598" max="14598" width="62" style="52" customWidth="1"/>
    <col min="14599" max="14599" width="12.7109375" style="52" bestFit="1" customWidth="1"/>
    <col min="14600" max="14600" width="1.7109375" style="52" customWidth="1"/>
    <col min="14601" max="14606" width="15.7109375" style="52" customWidth="1"/>
    <col min="14607" max="14607" width="13.7109375" style="52" customWidth="1"/>
    <col min="14608" max="14608" width="40.7109375" style="52" customWidth="1"/>
    <col min="14609" max="14851" width="9.140625" style="52"/>
    <col min="14852" max="14852" width="2.85546875" style="52" customWidth="1"/>
    <col min="14853" max="14853" width="5" style="52" customWidth="1"/>
    <col min="14854" max="14854" width="62" style="52" customWidth="1"/>
    <col min="14855" max="14855" width="12.7109375" style="52" bestFit="1" customWidth="1"/>
    <col min="14856" max="14856" width="1.7109375" style="52" customWidth="1"/>
    <col min="14857" max="14862" width="15.7109375" style="52" customWidth="1"/>
    <col min="14863" max="14863" width="13.7109375" style="52" customWidth="1"/>
    <col min="14864" max="14864" width="40.7109375" style="52" customWidth="1"/>
    <col min="14865" max="15107" width="9.140625" style="52"/>
    <col min="15108" max="15108" width="2.85546875" style="52" customWidth="1"/>
    <col min="15109" max="15109" width="5" style="52" customWidth="1"/>
    <col min="15110" max="15110" width="62" style="52" customWidth="1"/>
    <col min="15111" max="15111" width="12.7109375" style="52" bestFit="1" customWidth="1"/>
    <col min="15112" max="15112" width="1.7109375" style="52" customWidth="1"/>
    <col min="15113" max="15118" width="15.7109375" style="52" customWidth="1"/>
    <col min="15119" max="15119" width="13.7109375" style="52" customWidth="1"/>
    <col min="15120" max="15120" width="40.7109375" style="52" customWidth="1"/>
    <col min="15121" max="15363" width="9.140625" style="52"/>
    <col min="15364" max="15364" width="2.85546875" style="52" customWidth="1"/>
    <col min="15365" max="15365" width="5" style="52" customWidth="1"/>
    <col min="15366" max="15366" width="62" style="52" customWidth="1"/>
    <col min="15367" max="15367" width="12.7109375" style="52" bestFit="1" customWidth="1"/>
    <col min="15368" max="15368" width="1.7109375" style="52" customWidth="1"/>
    <col min="15369" max="15374" width="15.7109375" style="52" customWidth="1"/>
    <col min="15375" max="15375" width="13.7109375" style="52" customWidth="1"/>
    <col min="15376" max="15376" width="40.7109375" style="52" customWidth="1"/>
    <col min="15377" max="15619" width="9.140625" style="52"/>
    <col min="15620" max="15620" width="2.85546875" style="52" customWidth="1"/>
    <col min="15621" max="15621" width="5" style="52" customWidth="1"/>
    <col min="15622" max="15622" width="62" style="52" customWidth="1"/>
    <col min="15623" max="15623" width="12.7109375" style="52" bestFit="1" customWidth="1"/>
    <col min="15624" max="15624" width="1.7109375" style="52" customWidth="1"/>
    <col min="15625" max="15630" width="15.7109375" style="52" customWidth="1"/>
    <col min="15631" max="15631" width="13.7109375" style="52" customWidth="1"/>
    <col min="15632" max="15632" width="40.7109375" style="52" customWidth="1"/>
    <col min="15633" max="15875" width="9.140625" style="52"/>
    <col min="15876" max="15876" width="2.85546875" style="52" customWidth="1"/>
    <col min="15877" max="15877" width="5" style="52" customWidth="1"/>
    <col min="15878" max="15878" width="62" style="52" customWidth="1"/>
    <col min="15879" max="15879" width="12.7109375" style="52" bestFit="1" customWidth="1"/>
    <col min="15880" max="15880" width="1.7109375" style="52" customWidth="1"/>
    <col min="15881" max="15886" width="15.7109375" style="52" customWidth="1"/>
    <col min="15887" max="15887" width="13.7109375" style="52" customWidth="1"/>
    <col min="15888" max="15888" width="40.7109375" style="52" customWidth="1"/>
    <col min="15889" max="16131" width="9.140625" style="52"/>
    <col min="16132" max="16132" width="2.85546875" style="52" customWidth="1"/>
    <col min="16133" max="16133" width="5" style="52" customWidth="1"/>
    <col min="16134" max="16134" width="62" style="52" customWidth="1"/>
    <col min="16135" max="16135" width="12.7109375" style="52" bestFit="1" customWidth="1"/>
    <col min="16136" max="16136" width="1.7109375" style="52" customWidth="1"/>
    <col min="16137" max="16142" width="15.7109375" style="52" customWidth="1"/>
    <col min="16143" max="16143" width="13.7109375" style="52" customWidth="1"/>
    <col min="16144" max="16144" width="40.7109375" style="52" customWidth="1"/>
    <col min="16145" max="16384" width="9.140625" style="52"/>
  </cols>
  <sheetData>
    <row r="2" spans="1:16" x14ac:dyDescent="0.2">
      <c r="M2" s="152" t="s">
        <v>301</v>
      </c>
      <c r="N2" s="1092" t="str">
        <f>EBNUMBER</f>
        <v>EB-2016-0066</v>
      </c>
    </row>
    <row r="3" spans="1:16" x14ac:dyDescent="0.2">
      <c r="M3" s="152" t="s">
        <v>302</v>
      </c>
      <c r="N3" s="51"/>
    </row>
    <row r="4" spans="1:16" x14ac:dyDescent="0.2">
      <c r="M4" s="152" t="s">
        <v>303</v>
      </c>
      <c r="N4" s="51"/>
    </row>
    <row r="5" spans="1:16" x14ac:dyDescent="0.2">
      <c r="M5" s="152" t="s">
        <v>304</v>
      </c>
      <c r="N5" s="51"/>
    </row>
    <row r="6" spans="1:16" x14ac:dyDescent="0.2">
      <c r="M6" s="152" t="s">
        <v>305</v>
      </c>
      <c r="N6" s="1093"/>
    </row>
    <row r="7" spans="1:16" x14ac:dyDescent="0.2">
      <c r="M7" s="152"/>
      <c r="N7" s="1092"/>
    </row>
    <row r="8" spans="1:16" x14ac:dyDescent="0.2">
      <c r="M8" s="152" t="s">
        <v>306</v>
      </c>
      <c r="N8" s="1093"/>
    </row>
    <row r="9" spans="1:16" ht="18" x14ac:dyDescent="0.25">
      <c r="A9" s="1591" t="s">
        <v>1243</v>
      </c>
      <c r="B9" s="1728"/>
      <c r="C9" s="1728"/>
      <c r="D9" s="1728"/>
      <c r="E9" s="1728"/>
      <c r="F9" s="1728"/>
      <c r="G9" s="1728"/>
      <c r="H9" s="1728"/>
      <c r="I9" s="1728"/>
      <c r="J9" s="1728"/>
      <c r="K9" s="1728"/>
      <c r="L9" s="1728"/>
      <c r="M9" s="1728"/>
      <c r="N9" s="1728"/>
      <c r="O9" s="1728"/>
      <c r="P9" s="1728"/>
    </row>
    <row r="10" spans="1:16" ht="18" x14ac:dyDescent="0.25">
      <c r="A10" s="1591" t="s">
        <v>408</v>
      </c>
      <c r="B10" s="1729"/>
      <c r="C10" s="1729"/>
      <c r="D10" s="1729"/>
      <c r="E10" s="1729"/>
      <c r="F10" s="1729"/>
      <c r="G10" s="1729"/>
      <c r="H10" s="1729"/>
      <c r="I10" s="1729"/>
      <c r="J10" s="1729"/>
      <c r="K10" s="1729"/>
      <c r="L10" s="1729"/>
      <c r="M10" s="1729"/>
      <c r="N10" s="1729"/>
      <c r="O10" s="1729"/>
      <c r="P10" s="1729"/>
    </row>
    <row r="12" spans="1:16" ht="27" customHeight="1" x14ac:dyDescent="0.2">
      <c r="A12" s="1592" t="s">
        <v>409</v>
      </c>
      <c r="B12" s="1592"/>
      <c r="C12" s="1592"/>
      <c r="D12" s="1592"/>
      <c r="E12" s="1592"/>
      <c r="F12" s="1592"/>
      <c r="G12" s="1592"/>
      <c r="H12" s="1592"/>
      <c r="I12" s="1592"/>
      <c r="J12" s="1592"/>
      <c r="K12" s="1592"/>
      <c r="L12" s="1592"/>
      <c r="M12" s="1592"/>
      <c r="N12" s="1592"/>
      <c r="O12" s="1071"/>
      <c r="P12" s="1071"/>
    </row>
    <row r="13" spans="1:16" ht="13.5" thickBot="1" x14ac:dyDescent="0.25"/>
    <row r="14" spans="1:16" ht="27.75" customHeight="1" x14ac:dyDescent="0.2">
      <c r="A14" s="2077" t="s">
        <v>410</v>
      </c>
      <c r="B14" s="2078"/>
      <c r="C14" s="2078"/>
      <c r="D14" s="1016"/>
      <c r="E14" s="1438" t="s">
        <v>1107</v>
      </c>
      <c r="F14" s="1438" t="s">
        <v>1107</v>
      </c>
      <c r="G14" s="1438" t="s">
        <v>1107</v>
      </c>
      <c r="H14" s="1438" t="s">
        <v>1107</v>
      </c>
      <c r="I14" s="1432" t="s">
        <v>1108</v>
      </c>
      <c r="J14" s="2084" t="s">
        <v>948</v>
      </c>
      <c r="K14" s="2084" t="s">
        <v>948</v>
      </c>
      <c r="L14" s="2086" t="s">
        <v>1111</v>
      </c>
      <c r="M14" s="2081" t="s">
        <v>949</v>
      </c>
      <c r="N14" s="2081" t="s">
        <v>411</v>
      </c>
    </row>
    <row r="15" spans="1:16" x14ac:dyDescent="0.2">
      <c r="A15" s="2079"/>
      <c r="B15" s="2080"/>
      <c r="C15" s="2080"/>
      <c r="D15" s="1018"/>
      <c r="E15" s="1021"/>
      <c r="F15" s="1021"/>
      <c r="G15" s="1021"/>
      <c r="H15" s="1021"/>
      <c r="I15" s="1157"/>
      <c r="J15" s="2085"/>
      <c r="K15" s="2085"/>
      <c r="L15" s="2087"/>
      <c r="M15" s="2089"/>
      <c r="N15" s="2082"/>
    </row>
    <row r="16" spans="1:16" ht="36" customHeight="1" x14ac:dyDescent="0.2">
      <c r="A16" s="2079"/>
      <c r="B16" s="2080"/>
      <c r="C16" s="2080"/>
      <c r="D16" s="1018"/>
      <c r="E16" s="1022">
        <v>2012</v>
      </c>
      <c r="F16" s="1022">
        <v>2013</v>
      </c>
      <c r="G16" s="1022">
        <v>2014</v>
      </c>
      <c r="H16" s="1022">
        <v>2015</v>
      </c>
      <c r="I16" s="1096" t="s">
        <v>1109</v>
      </c>
      <c r="J16" s="1154">
        <v>2016</v>
      </c>
      <c r="K16" s="1096" t="s">
        <v>1110</v>
      </c>
      <c r="L16" s="2088"/>
      <c r="M16" s="2090"/>
      <c r="N16" s="2083"/>
    </row>
    <row r="17" spans="1:16" x14ac:dyDescent="0.2">
      <c r="A17" s="2063" t="s">
        <v>1251</v>
      </c>
      <c r="B17" s="2064"/>
      <c r="C17" s="2065"/>
      <c r="D17" s="175"/>
      <c r="E17" s="339"/>
      <c r="F17" s="339">
        <v>20475</v>
      </c>
      <c r="G17" s="339"/>
      <c r="H17" s="339">
        <v>675</v>
      </c>
      <c r="I17" s="339"/>
      <c r="J17" s="339"/>
      <c r="K17" s="339"/>
      <c r="L17" s="339"/>
      <c r="M17" s="1023">
        <f>SUM(E17:L17)</f>
        <v>21150</v>
      </c>
      <c r="N17" s="1423"/>
    </row>
    <row r="18" spans="1:16" x14ac:dyDescent="0.2">
      <c r="A18" s="2062" t="s">
        <v>1252</v>
      </c>
      <c r="B18" s="1652"/>
      <c r="C18" s="1653"/>
      <c r="D18" s="175"/>
      <c r="E18" s="339"/>
      <c r="F18" s="339"/>
      <c r="G18" s="339"/>
      <c r="H18" s="339"/>
      <c r="I18" s="339"/>
      <c r="J18" s="339"/>
      <c r="K18" s="339"/>
      <c r="L18" s="339"/>
      <c r="M18" s="1023">
        <f t="shared" ref="M18:M28" si="0">SUM(E18:L18)</f>
        <v>0</v>
      </c>
      <c r="N18" s="1423"/>
    </row>
    <row r="19" spans="1:16" x14ac:dyDescent="0.2">
      <c r="A19" s="2063" t="s">
        <v>1253</v>
      </c>
      <c r="B19" s="2064"/>
      <c r="C19" s="2065"/>
      <c r="D19" s="175"/>
      <c r="E19" s="339"/>
      <c r="F19" s="339"/>
      <c r="G19" s="339"/>
      <c r="H19" s="339">
        <v>450.83</v>
      </c>
      <c r="I19" s="339"/>
      <c r="J19" s="339"/>
      <c r="K19" s="339"/>
      <c r="L19" s="339"/>
      <c r="M19" s="1023">
        <f t="shared" si="0"/>
        <v>450.83</v>
      </c>
      <c r="N19" s="1423"/>
    </row>
    <row r="20" spans="1:16" x14ac:dyDescent="0.2">
      <c r="A20" s="2066" t="s">
        <v>1254</v>
      </c>
      <c r="B20" s="2067"/>
      <c r="C20" s="2068"/>
      <c r="D20" s="175"/>
      <c r="E20" s="339"/>
      <c r="F20" s="339"/>
      <c r="G20" s="339"/>
      <c r="H20" s="339"/>
      <c r="I20" s="339"/>
      <c r="J20" s="339"/>
      <c r="K20" s="339"/>
      <c r="L20" s="339"/>
      <c r="M20" s="1023">
        <f t="shared" si="0"/>
        <v>0</v>
      </c>
      <c r="N20" s="1423"/>
    </row>
    <row r="21" spans="1:16" ht="24" customHeight="1" x14ac:dyDescent="0.2">
      <c r="A21" s="2062" t="s">
        <v>1255</v>
      </c>
      <c r="B21" s="1652"/>
      <c r="C21" s="1653"/>
      <c r="D21" s="175"/>
      <c r="E21" s="339"/>
      <c r="F21" s="339"/>
      <c r="G21" s="339"/>
      <c r="H21" s="339"/>
      <c r="I21" s="339"/>
      <c r="J21" s="339"/>
      <c r="K21" s="339"/>
      <c r="L21" s="339"/>
      <c r="M21" s="1023">
        <f t="shared" si="0"/>
        <v>0</v>
      </c>
      <c r="N21" s="1423"/>
    </row>
    <row r="22" spans="1:16" x14ac:dyDescent="0.2">
      <c r="A22" s="2069"/>
      <c r="B22" s="2070"/>
      <c r="C22" s="2071"/>
      <c r="D22" s="175"/>
      <c r="E22" s="339"/>
      <c r="F22" s="339"/>
      <c r="G22" s="339"/>
      <c r="H22" s="339"/>
      <c r="I22" s="339"/>
      <c r="J22" s="339"/>
      <c r="K22" s="339"/>
      <c r="L22" s="339"/>
      <c r="M22" s="1023">
        <f t="shared" si="0"/>
        <v>0</v>
      </c>
      <c r="N22" s="1423"/>
    </row>
    <row r="23" spans="1:16" ht="24.95" customHeight="1" x14ac:dyDescent="0.2">
      <c r="A23" s="2001"/>
      <c r="B23" s="2002"/>
      <c r="C23" s="2072"/>
      <c r="D23" s="175"/>
      <c r="E23" s="339"/>
      <c r="F23" s="339"/>
      <c r="G23" s="339"/>
      <c r="H23" s="339"/>
      <c r="I23" s="339"/>
      <c r="J23" s="339"/>
      <c r="K23" s="339"/>
      <c r="L23" s="339"/>
      <c r="M23" s="1023">
        <f t="shared" si="0"/>
        <v>0</v>
      </c>
      <c r="N23" s="1423"/>
    </row>
    <row r="24" spans="1:16" ht="24.95" customHeight="1" x14ac:dyDescent="0.2">
      <c r="A24" s="2001"/>
      <c r="B24" s="2002"/>
      <c r="C24" s="2072"/>
      <c r="D24" s="175"/>
      <c r="E24" s="339"/>
      <c r="F24" s="339"/>
      <c r="G24" s="339"/>
      <c r="H24" s="339"/>
      <c r="I24" s="339"/>
      <c r="J24" s="339"/>
      <c r="K24" s="339"/>
      <c r="L24" s="339"/>
      <c r="M24" s="1023">
        <f t="shared" si="0"/>
        <v>0</v>
      </c>
      <c r="N24" s="1423"/>
    </row>
    <row r="25" spans="1:16" ht="13.5" customHeight="1" x14ac:dyDescent="0.2">
      <c r="A25" s="2069"/>
      <c r="B25" s="2070"/>
      <c r="C25" s="2071"/>
      <c r="D25" s="175"/>
      <c r="E25" s="339"/>
      <c r="F25" s="339"/>
      <c r="G25" s="339"/>
      <c r="H25" s="339"/>
      <c r="I25" s="339"/>
      <c r="J25" s="339"/>
      <c r="K25" s="339"/>
      <c r="L25" s="339"/>
      <c r="M25" s="1023">
        <f t="shared" si="0"/>
        <v>0</v>
      </c>
      <c r="N25" s="1423"/>
    </row>
    <row r="26" spans="1:16" ht="32.25" customHeight="1" x14ac:dyDescent="0.2">
      <c r="A26" s="1992" t="s">
        <v>1112</v>
      </c>
      <c r="B26" s="1993"/>
      <c r="C26" s="2073"/>
      <c r="D26" s="175"/>
      <c r="E26" s="339"/>
      <c r="F26" s="339"/>
      <c r="G26" s="339"/>
      <c r="H26" s="339"/>
      <c r="I26" s="339"/>
      <c r="J26" s="339"/>
      <c r="K26" s="339"/>
      <c r="L26" s="339"/>
      <c r="M26" s="1023">
        <f t="shared" si="0"/>
        <v>0</v>
      </c>
      <c r="N26" s="1423"/>
    </row>
    <row r="27" spans="1:16" ht="27" customHeight="1" x14ac:dyDescent="0.2">
      <c r="A27" s="1992"/>
      <c r="B27" s="1993"/>
      <c r="C27" s="2073"/>
      <c r="D27" s="175"/>
      <c r="E27" s="339"/>
      <c r="F27" s="339"/>
      <c r="G27" s="339"/>
      <c r="H27" s="339"/>
      <c r="I27" s="339"/>
      <c r="J27" s="339"/>
      <c r="K27" s="339"/>
      <c r="L27" s="339"/>
      <c r="M27" s="1023">
        <f t="shared" si="0"/>
        <v>0</v>
      </c>
      <c r="N27" s="1423"/>
    </row>
    <row r="28" spans="1:16" ht="13.5" thickBot="1" x14ac:dyDescent="0.25">
      <c r="A28" s="2074" t="s">
        <v>182</v>
      </c>
      <c r="B28" s="2075"/>
      <c r="C28" s="2076"/>
      <c r="D28" s="175"/>
      <c r="E28" s="341"/>
      <c r="F28" s="341"/>
      <c r="G28" s="341"/>
      <c r="H28" s="341"/>
      <c r="I28" s="341"/>
      <c r="J28" s="341"/>
      <c r="K28" s="341"/>
      <c r="L28" s="1024"/>
      <c r="M28" s="1023">
        <f t="shared" si="0"/>
        <v>0</v>
      </c>
      <c r="N28" s="1424"/>
    </row>
    <row r="29" spans="1:16" ht="14.25" thickTop="1" thickBot="1" x14ac:dyDescent="0.25">
      <c r="A29" s="2059" t="s">
        <v>295</v>
      </c>
      <c r="B29" s="2060"/>
      <c r="C29" s="2061"/>
      <c r="D29" s="1020"/>
      <c r="E29" s="343">
        <f t="shared" ref="E29:K29" si="1">SUM(E17:E28)</f>
        <v>0</v>
      </c>
      <c r="F29" s="343">
        <f t="shared" si="1"/>
        <v>20475</v>
      </c>
      <c r="G29" s="343"/>
      <c r="H29" s="343">
        <f>SUM(H17:H28)</f>
        <v>1125.83</v>
      </c>
      <c r="I29" s="343">
        <f t="shared" si="1"/>
        <v>0</v>
      </c>
      <c r="J29" s="343"/>
      <c r="K29" s="343">
        <f t="shared" si="1"/>
        <v>0</v>
      </c>
      <c r="L29" s="1025"/>
      <c r="M29" s="343">
        <f>SUM(M17:M28)</f>
        <v>21600.83</v>
      </c>
      <c r="N29" s="1425"/>
    </row>
    <row r="31" spans="1:16" x14ac:dyDescent="0.2">
      <c r="A31" s="152" t="s">
        <v>117</v>
      </c>
      <c r="B31" s="56"/>
      <c r="C31" s="56"/>
      <c r="D31" s="56"/>
    </row>
    <row r="32" spans="1:16" ht="27" customHeight="1" x14ac:dyDescent="0.2">
      <c r="A32" s="1090">
        <v>1</v>
      </c>
      <c r="B32" s="1590" t="s">
        <v>412</v>
      </c>
      <c r="C32" s="1590"/>
      <c r="D32" s="1590"/>
      <c r="E32" s="1590"/>
      <c r="F32" s="1590"/>
      <c r="G32" s="1590"/>
      <c r="H32" s="1590"/>
      <c r="I32" s="1590"/>
      <c r="J32" s="1590"/>
      <c r="K32" s="1590"/>
      <c r="L32" s="1590"/>
      <c r="M32" s="1590"/>
      <c r="N32" s="1590"/>
      <c r="O32" s="1089"/>
      <c r="P32" s="1089"/>
    </row>
    <row r="33" spans="1:14" ht="12.75" customHeight="1" x14ac:dyDescent="0.2">
      <c r="A33" s="1090">
        <v>2</v>
      </c>
      <c r="B33" s="2057" t="s">
        <v>522</v>
      </c>
      <c r="C33" s="2057"/>
      <c r="D33" s="2057"/>
      <c r="E33" s="2057"/>
      <c r="F33" s="2058"/>
      <c r="G33" s="2058"/>
    </row>
    <row r="34" spans="1:14" ht="12.75" customHeight="1" x14ac:dyDescent="0.2">
      <c r="A34" s="1722">
        <v>3</v>
      </c>
      <c r="B34" s="1590" t="s">
        <v>1018</v>
      </c>
      <c r="C34" s="1590"/>
      <c r="D34" s="1590"/>
      <c r="E34" s="1590"/>
      <c r="F34" s="1590"/>
      <c r="G34" s="1590"/>
      <c r="H34" s="1590"/>
      <c r="I34" s="1590"/>
      <c r="J34" s="1590"/>
      <c r="K34" s="1590"/>
      <c r="L34" s="1590"/>
      <c r="M34" s="1590"/>
      <c r="N34" s="1590"/>
    </row>
    <row r="35" spans="1:14" x14ac:dyDescent="0.2">
      <c r="A35" s="1722"/>
      <c r="B35" s="1066"/>
      <c r="C35" s="1066"/>
      <c r="D35" s="1066"/>
    </row>
    <row r="36" spans="1:14" x14ac:dyDescent="0.2">
      <c r="A36" s="334"/>
      <c r="B36" s="56"/>
      <c r="C36" s="56"/>
      <c r="D36" s="56"/>
    </row>
    <row r="37" spans="1:14" ht="12.75" customHeight="1" x14ac:dyDescent="0.2">
      <c r="A37" s="1722"/>
      <c r="B37" s="1683"/>
      <c r="C37" s="1683"/>
      <c r="D37" s="1683"/>
      <c r="E37" s="1089"/>
      <c r="F37" s="1089"/>
      <c r="G37" s="1089"/>
      <c r="H37" s="1089"/>
      <c r="I37" s="1089"/>
      <c r="J37" s="1089"/>
      <c r="K37" s="1089"/>
      <c r="L37" s="1089"/>
      <c r="M37" s="1089"/>
      <c r="N37" s="1089"/>
    </row>
    <row r="38" spans="1:14" x14ac:dyDescent="0.2">
      <c r="A38" s="1722"/>
      <c r="B38" s="1723"/>
      <c r="C38" s="1723"/>
      <c r="D38" s="1723"/>
      <c r="E38" s="1089"/>
      <c r="F38" s="1089"/>
      <c r="G38" s="1089"/>
      <c r="H38" s="1089"/>
      <c r="I38" s="1089"/>
      <c r="J38" s="1089"/>
      <c r="K38" s="1089"/>
      <c r="L38" s="1089"/>
      <c r="M38" s="1089"/>
      <c r="N38" s="1089"/>
    </row>
    <row r="39" spans="1:14" ht="12.75" customHeight="1" x14ac:dyDescent="0.2">
      <c r="A39" s="334"/>
      <c r="B39" s="1068"/>
      <c r="C39" s="1068"/>
      <c r="D39" s="1068"/>
      <c r="E39" s="1089"/>
      <c r="F39" s="1089"/>
      <c r="G39" s="1089"/>
      <c r="H39" s="1089"/>
      <c r="I39" s="1089"/>
      <c r="J39" s="1089"/>
      <c r="K39" s="1089"/>
      <c r="L39" s="1089"/>
      <c r="M39" s="1089"/>
      <c r="N39" s="1089"/>
    </row>
    <row r="40" spans="1:14" x14ac:dyDescent="0.2">
      <c r="A40" s="1724"/>
      <c r="B40" s="1683"/>
      <c r="C40" s="1683"/>
      <c r="D40" s="1683"/>
      <c r="E40" s="1089"/>
      <c r="F40" s="1089"/>
      <c r="G40" s="1089"/>
      <c r="H40" s="1089"/>
      <c r="I40" s="1089"/>
      <c r="J40" s="1089"/>
      <c r="K40" s="1089"/>
      <c r="L40" s="1089"/>
      <c r="M40" s="1089"/>
      <c r="N40" s="1089"/>
    </row>
    <row r="41" spans="1:14" x14ac:dyDescent="0.2">
      <c r="A41" s="1724"/>
      <c r="B41" s="1683"/>
      <c r="C41" s="1683"/>
      <c r="D41" s="1683"/>
      <c r="E41" s="1089"/>
      <c r="F41" s="1089"/>
      <c r="G41" s="1089"/>
      <c r="H41" s="1089"/>
      <c r="I41" s="1089"/>
      <c r="J41" s="1089"/>
      <c r="K41" s="1089"/>
      <c r="L41" s="1089"/>
      <c r="M41" s="1089"/>
      <c r="N41" s="1089"/>
    </row>
    <row r="42" spans="1:14" x14ac:dyDescent="0.2">
      <c r="A42" s="1724"/>
      <c r="B42" s="1723"/>
      <c r="C42" s="1723"/>
      <c r="D42" s="1723"/>
      <c r="E42" s="1089"/>
      <c r="F42" s="1089"/>
      <c r="G42" s="1089"/>
      <c r="H42" s="1089"/>
      <c r="I42" s="1089"/>
      <c r="J42" s="1089"/>
      <c r="K42" s="1089"/>
      <c r="L42" s="1089"/>
      <c r="M42" s="1089"/>
      <c r="N42" s="1089"/>
    </row>
    <row r="43" spans="1:14" x14ac:dyDescent="0.2">
      <c r="A43" s="1724"/>
      <c r="B43" s="1723"/>
      <c r="C43" s="1723"/>
      <c r="D43" s="1723"/>
      <c r="E43" s="1089"/>
      <c r="F43" s="1089"/>
      <c r="G43" s="1089"/>
      <c r="H43" s="1089"/>
      <c r="I43" s="1089"/>
      <c r="J43" s="1089"/>
      <c r="K43" s="1089"/>
      <c r="L43" s="1089"/>
      <c r="M43" s="1089"/>
      <c r="N43" s="1089"/>
    </row>
    <row r="44" spans="1:14" x14ac:dyDescent="0.2">
      <c r="A44" s="334"/>
      <c r="B44" s="56"/>
      <c r="C44" s="56"/>
      <c r="D44" s="56"/>
    </row>
    <row r="45" spans="1:14" ht="12.75" customHeight="1" x14ac:dyDescent="0.2">
      <c r="A45" s="1722"/>
      <c r="B45" s="1683"/>
      <c r="C45" s="1683"/>
      <c r="D45" s="1683"/>
      <c r="E45" s="1089"/>
      <c r="F45" s="1089"/>
      <c r="G45" s="1089"/>
      <c r="H45" s="1089"/>
      <c r="I45" s="1089"/>
      <c r="J45" s="1089"/>
      <c r="K45" s="1089"/>
      <c r="L45" s="1089"/>
      <c r="M45" s="1089"/>
      <c r="N45" s="1089"/>
    </row>
    <row r="46" spans="1:14" x14ac:dyDescent="0.2">
      <c r="A46" s="1722"/>
      <c r="B46" s="1683"/>
      <c r="C46" s="1683"/>
      <c r="D46" s="1683"/>
      <c r="E46" s="1089"/>
      <c r="F46" s="1089"/>
      <c r="G46" s="1089"/>
      <c r="H46" s="1089"/>
      <c r="I46" s="1089"/>
      <c r="J46" s="1089"/>
      <c r="K46" s="1089"/>
      <c r="L46" s="1089"/>
      <c r="M46" s="1089"/>
      <c r="N46" s="1089"/>
    </row>
    <row r="48" spans="1:14" ht="12.75" customHeight="1" x14ac:dyDescent="0.2"/>
  </sheetData>
  <mergeCells count="33">
    <mergeCell ref="A17:C17"/>
    <mergeCell ref="A9:P9"/>
    <mergeCell ref="A10:P10"/>
    <mergeCell ref="A14:C16"/>
    <mergeCell ref="N14:N16"/>
    <mergeCell ref="K14:K15"/>
    <mergeCell ref="L14:L16"/>
    <mergeCell ref="M14:M16"/>
    <mergeCell ref="A12:N12"/>
    <mergeCell ref="J14:J15"/>
    <mergeCell ref="A29:C29"/>
    <mergeCell ref="A18:C18"/>
    <mergeCell ref="A19:C19"/>
    <mergeCell ref="A20:C20"/>
    <mergeCell ref="A21:C21"/>
    <mergeCell ref="A22:C22"/>
    <mergeCell ref="A23:C23"/>
    <mergeCell ref="A24:C24"/>
    <mergeCell ref="A25:C25"/>
    <mergeCell ref="A26:C26"/>
    <mergeCell ref="A27:C27"/>
    <mergeCell ref="A28:C28"/>
    <mergeCell ref="B32:N32"/>
    <mergeCell ref="A40:A43"/>
    <mergeCell ref="B40:D43"/>
    <mergeCell ref="A45:A46"/>
    <mergeCell ref="B45:D46"/>
    <mergeCell ref="A34:A35"/>
    <mergeCell ref="A37:A38"/>
    <mergeCell ref="B37:D38"/>
    <mergeCell ref="B34:N34"/>
    <mergeCell ref="B33:E33"/>
    <mergeCell ref="F33:G33"/>
  </mergeCells>
  <dataValidations count="1">
    <dataValidation allowBlank="1" showInputMessage="1" showErrorMessage="1" promptTitle="Date Format" prompt="E.g:  &quot;August 1, 2011&quot;" sqref="WVQ983040 JE7 TA7 ACW7 AMS7 AWO7 BGK7 BQG7 CAC7 CJY7 CTU7 DDQ7 DNM7 DXI7 EHE7 ERA7 FAW7 FKS7 FUO7 GEK7 GOG7 GYC7 HHY7 HRU7 IBQ7 ILM7 IVI7 JFE7 JPA7 JYW7 KIS7 KSO7 LCK7 LMG7 LWC7 MFY7 MPU7 MZQ7 NJM7 NTI7 ODE7 ONA7 OWW7 PGS7 PQO7 QAK7 QKG7 QUC7 RDY7 RNU7 RXQ7 SHM7 SRI7 TBE7 TLA7 TUW7 UES7 UOO7 UYK7 VIG7 VSC7 WBY7 WLU7 WVQ7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dataValidations>
  <pageMargins left="0.74803149606299213" right="0.74803149606299213" top="0.98425196850393704" bottom="0.98425196850393704" header="0.51181102362204722" footer="0.51181102362204722"/>
  <pageSetup scale="40" orientation="landscape"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
  <sheetViews>
    <sheetView showGridLines="0" workbookViewId="0"/>
  </sheetViews>
  <sheetFormatPr defaultRowHeight="12.75" x14ac:dyDescent="0.2"/>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pageSetUpPr fitToPage="1"/>
  </sheetPr>
  <dimension ref="A1:H44"/>
  <sheetViews>
    <sheetView showGridLines="0" zoomScaleNormal="100" workbookViewId="0">
      <selection activeCell="F42" sqref="F42:H42"/>
    </sheetView>
  </sheetViews>
  <sheetFormatPr defaultRowHeight="12.75" x14ac:dyDescent="0.2"/>
  <cols>
    <col min="1" max="1" width="2.7109375" customWidth="1"/>
    <col min="2" max="2" width="4.7109375" customWidth="1"/>
    <col min="3" max="3" width="2.7109375" customWidth="1"/>
    <col min="4" max="4" width="4.7109375" customWidth="1"/>
    <col min="5" max="5" width="2.7109375" customWidth="1"/>
    <col min="6" max="6" width="70.7109375" customWidth="1"/>
    <col min="7" max="7" width="13.42578125" customWidth="1"/>
    <col min="8" max="8" width="15.7109375" customWidth="1"/>
    <col min="9" max="9" width="31.28515625" customWidth="1"/>
  </cols>
  <sheetData>
    <row r="1" spans="1:8" x14ac:dyDescent="0.2">
      <c r="A1" s="43"/>
      <c r="B1" s="43"/>
      <c r="C1" s="43"/>
      <c r="D1" s="43"/>
      <c r="E1" s="43"/>
      <c r="F1" s="43"/>
      <c r="G1" s="60" t="s">
        <v>301</v>
      </c>
      <c r="H1" s="61" t="str">
        <f>EBNUMBER</f>
        <v>EB-2016-0066</v>
      </c>
    </row>
    <row r="2" spans="1:8" x14ac:dyDescent="0.2">
      <c r="A2" s="43"/>
      <c r="B2" s="43"/>
      <c r="C2" s="43"/>
      <c r="D2" s="43"/>
      <c r="E2" s="43"/>
      <c r="F2" s="43"/>
      <c r="G2" s="60" t="s">
        <v>302</v>
      </c>
      <c r="H2" s="62"/>
    </row>
    <row r="3" spans="1:8" x14ac:dyDescent="0.2">
      <c r="A3" s="43"/>
      <c r="B3" s="43"/>
      <c r="C3" s="43"/>
      <c r="D3" s="43"/>
      <c r="E3" s="43"/>
      <c r="F3" s="43"/>
      <c r="G3" s="60" t="s">
        <v>303</v>
      </c>
      <c r="H3" s="62"/>
    </row>
    <row r="4" spans="1:8" x14ac:dyDescent="0.2">
      <c r="A4" s="43"/>
      <c r="B4" s="43"/>
      <c r="C4" s="43"/>
      <c r="D4" s="43"/>
      <c r="E4" s="43"/>
      <c r="F4" s="43"/>
      <c r="G4" s="60" t="s">
        <v>304</v>
      </c>
      <c r="H4" s="62"/>
    </row>
    <row r="5" spans="1:8" x14ac:dyDescent="0.2">
      <c r="A5" s="43"/>
      <c r="B5" s="43"/>
      <c r="C5" s="43"/>
      <c r="D5" s="43"/>
      <c r="E5" s="43"/>
      <c r="F5" s="43"/>
      <c r="G5" s="60" t="s">
        <v>305</v>
      </c>
      <c r="H5" s="63"/>
    </row>
    <row r="6" spans="1:8" x14ac:dyDescent="0.2">
      <c r="A6" s="43"/>
      <c r="B6" s="43"/>
      <c r="C6" s="43"/>
      <c r="D6" s="43"/>
      <c r="E6" s="43"/>
      <c r="F6" s="43"/>
      <c r="G6" s="60"/>
      <c r="H6" s="61"/>
    </row>
    <row r="7" spans="1:8" x14ac:dyDescent="0.2">
      <c r="A7" s="43"/>
      <c r="B7" s="43"/>
      <c r="C7" s="43"/>
      <c r="D7" s="43"/>
      <c r="E7" s="43"/>
      <c r="F7" s="43"/>
      <c r="G7" s="60" t="s">
        <v>306</v>
      </c>
      <c r="H7" s="63"/>
    </row>
    <row r="9" spans="1:8" ht="18" x14ac:dyDescent="0.25">
      <c r="B9" s="1552" t="s">
        <v>1249</v>
      </c>
      <c r="C9" s="1552"/>
      <c r="D9" s="1552"/>
      <c r="E9" s="1552"/>
      <c r="F9" s="1552"/>
      <c r="G9" s="1552"/>
      <c r="H9" s="1552"/>
    </row>
    <row r="10" spans="1:8" ht="18" x14ac:dyDescent="0.2">
      <c r="B10" s="1553" t="s">
        <v>1246</v>
      </c>
      <c r="C10" s="1553"/>
      <c r="D10" s="1553"/>
      <c r="E10" s="1553"/>
      <c r="F10" s="1553"/>
      <c r="G10" s="1553"/>
      <c r="H10" s="1553"/>
    </row>
    <row r="12" spans="1:8" ht="54" customHeight="1" x14ac:dyDescent="0.2">
      <c r="B12" s="1543" t="s">
        <v>1291</v>
      </c>
      <c r="C12" s="1543"/>
      <c r="D12" s="1543"/>
      <c r="E12" s="1543"/>
      <c r="F12" s="1543"/>
      <c r="G12" s="1543"/>
      <c r="H12" s="1543"/>
    </row>
    <row r="14" spans="1:8" x14ac:dyDescent="0.2">
      <c r="B14" s="1543" t="s">
        <v>1247</v>
      </c>
      <c r="C14" s="1543"/>
      <c r="D14" s="1543"/>
      <c r="E14" s="1543"/>
      <c r="F14" s="1543"/>
      <c r="G14" s="1543"/>
      <c r="H14" s="1543"/>
    </row>
    <row r="16" spans="1:8" ht="26.25" customHeight="1" x14ac:dyDescent="0.2">
      <c r="B16" s="1543" t="s">
        <v>1248</v>
      </c>
      <c r="C16" s="1543"/>
      <c r="D16" s="1543"/>
      <c r="E16" s="1543"/>
      <c r="F16" s="1543"/>
      <c r="G16" s="1543"/>
      <c r="H16" s="1543"/>
    </row>
    <row r="18" spans="2:8" x14ac:dyDescent="0.2">
      <c r="B18" s="1550" t="str">
        <f>CONCATENATE('LDC Info'!E14," is seeking the following approvals in this application:")</f>
        <v>E.L.K. Energy Inc. is seeking the following approvals in this application:</v>
      </c>
      <c r="C18" s="1550"/>
      <c r="D18" s="1550"/>
      <c r="E18" s="1550"/>
      <c r="F18" s="1550"/>
      <c r="G18" s="1550"/>
      <c r="H18" s="1550"/>
    </row>
    <row r="20" spans="2:8" ht="46.5" customHeight="1" x14ac:dyDescent="0.2">
      <c r="B20" s="1410">
        <v>1</v>
      </c>
      <c r="D20" s="1410"/>
      <c r="F20" s="1551" t="s">
        <v>1433</v>
      </c>
      <c r="G20" s="1551"/>
      <c r="H20" s="1551"/>
    </row>
    <row r="22" spans="2:8" ht="26.25" customHeight="1" x14ac:dyDescent="0.2">
      <c r="B22" s="1410">
        <v>2</v>
      </c>
      <c r="D22" s="1410"/>
      <c r="F22" s="1551" t="s">
        <v>1307</v>
      </c>
      <c r="G22" s="1551"/>
      <c r="H22" s="1551"/>
    </row>
    <row r="24" spans="2:8" ht="32.25" customHeight="1" x14ac:dyDescent="0.2">
      <c r="B24" s="1410">
        <v>3</v>
      </c>
      <c r="D24" s="1410"/>
      <c r="F24" s="1551" t="s">
        <v>1308</v>
      </c>
      <c r="G24" s="1551"/>
      <c r="H24" s="1551"/>
    </row>
    <row r="26" spans="2:8" ht="26.25" customHeight="1" x14ac:dyDescent="0.2">
      <c r="B26" s="1410">
        <v>4</v>
      </c>
      <c r="D26" s="1410"/>
      <c r="F26" s="1551" t="s">
        <v>1309</v>
      </c>
      <c r="G26" s="1551"/>
      <c r="H26" s="1551"/>
    </row>
    <row r="28" spans="2:8" ht="41.25" customHeight="1" x14ac:dyDescent="0.2">
      <c r="B28" s="1410">
        <v>5</v>
      </c>
      <c r="D28" s="1410"/>
      <c r="F28" s="1551" t="s">
        <v>1310</v>
      </c>
      <c r="G28" s="1551"/>
      <c r="H28" s="1551"/>
    </row>
    <row r="30" spans="2:8" ht="40.5" customHeight="1" x14ac:dyDescent="0.2">
      <c r="B30" s="1410">
        <v>6</v>
      </c>
      <c r="D30" s="1410"/>
      <c r="F30" s="1551" t="s">
        <v>1311</v>
      </c>
      <c r="G30" s="1551"/>
      <c r="H30" s="1551"/>
    </row>
    <row r="32" spans="2:8" ht="27" customHeight="1" x14ac:dyDescent="0.2">
      <c r="B32" s="1410">
        <v>7</v>
      </c>
      <c r="D32" s="1410"/>
      <c r="F32" s="1551" t="s">
        <v>1312</v>
      </c>
      <c r="G32" s="1551"/>
      <c r="H32" s="1551"/>
    </row>
    <row r="34" spans="2:8" ht="38.25" customHeight="1" x14ac:dyDescent="0.2">
      <c r="B34" s="1410">
        <v>8</v>
      </c>
      <c r="D34" s="1410"/>
      <c r="F34" s="1551" t="s">
        <v>1435</v>
      </c>
      <c r="G34" s="1551"/>
      <c r="H34" s="1551"/>
    </row>
    <row r="36" spans="2:8" ht="48.75" customHeight="1" x14ac:dyDescent="0.2">
      <c r="B36" s="1410">
        <v>9</v>
      </c>
      <c r="D36" s="1410"/>
      <c r="F36" s="1551" t="s">
        <v>1436</v>
      </c>
      <c r="G36" s="1551"/>
      <c r="H36" s="1551"/>
    </row>
    <row r="38" spans="2:8" ht="76.5" customHeight="1" x14ac:dyDescent="0.2">
      <c r="B38" s="1410">
        <v>10</v>
      </c>
      <c r="D38" s="1410"/>
      <c r="F38" s="1551" t="s">
        <v>1527</v>
      </c>
      <c r="G38" s="1551"/>
      <c r="H38" s="1551"/>
    </row>
    <row r="40" spans="2:8" ht="76.5" customHeight="1" x14ac:dyDescent="0.2">
      <c r="B40" s="1410">
        <v>11</v>
      </c>
      <c r="D40" s="1410"/>
      <c r="F40" s="1551" t="s">
        <v>1528</v>
      </c>
      <c r="G40" s="1551"/>
      <c r="H40" s="1551"/>
    </row>
    <row r="42" spans="2:8" ht="52.5" customHeight="1" x14ac:dyDescent="0.2">
      <c r="B42" s="1410">
        <v>12</v>
      </c>
      <c r="D42" s="1410"/>
      <c r="F42" s="1551" t="s">
        <v>1526</v>
      </c>
      <c r="G42" s="1551"/>
      <c r="H42" s="1551"/>
    </row>
    <row r="44" spans="2:8" ht="48.75" customHeight="1" x14ac:dyDescent="0.2">
      <c r="B44" s="1410">
        <v>13</v>
      </c>
      <c r="D44" s="1410"/>
      <c r="F44" s="1551" t="s">
        <v>1432</v>
      </c>
      <c r="G44" s="1551"/>
      <c r="H44" s="1551"/>
    </row>
  </sheetData>
  <mergeCells count="19">
    <mergeCell ref="B9:H9"/>
    <mergeCell ref="F34:H34"/>
    <mergeCell ref="F36:H36"/>
    <mergeCell ref="F38:H38"/>
    <mergeCell ref="B10:H10"/>
    <mergeCell ref="B12:H12"/>
    <mergeCell ref="F30:H30"/>
    <mergeCell ref="F24:H24"/>
    <mergeCell ref="F26:H26"/>
    <mergeCell ref="F28:H28"/>
    <mergeCell ref="F32:H32"/>
    <mergeCell ref="F22:H22"/>
    <mergeCell ref="B14:H14"/>
    <mergeCell ref="B16:H16"/>
    <mergeCell ref="B18:H18"/>
    <mergeCell ref="F20:H20"/>
    <mergeCell ref="F42:H42"/>
    <mergeCell ref="F44:H44"/>
    <mergeCell ref="F40:H40"/>
  </mergeCells>
  <pageMargins left="0.7" right="0.7" top="0.75" bottom="0.75" header="0.3" footer="0.3"/>
  <pageSetup scale="78" fitToHeight="0"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6BF23DFD-526D-4374-8B19-C9F6268B6EBA}">
            <xm:f>'LDC Info'!$E$14:$K$14=""</xm:f>
            <x14:dxf>
              <font>
                <color theme="0"/>
              </font>
            </x14:dxf>
          </x14:cfRule>
          <xm:sqref>B18:H18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F0"/>
    <pageSetUpPr fitToPage="1"/>
  </sheetPr>
  <dimension ref="A1:J182"/>
  <sheetViews>
    <sheetView showGridLines="0" zoomScaleNormal="100" workbookViewId="0">
      <selection activeCell="A156" sqref="A156:I176"/>
    </sheetView>
  </sheetViews>
  <sheetFormatPr defaultRowHeight="12.75" x14ac:dyDescent="0.2"/>
  <cols>
    <col min="1" max="1" width="30.28515625" style="43" customWidth="1"/>
    <col min="2" max="2" width="19.28515625" style="43" customWidth="1"/>
    <col min="3" max="3" width="13" style="43" customWidth="1"/>
    <col min="4" max="4" width="14.42578125" style="43" customWidth="1"/>
    <col min="5" max="8" width="12.7109375" style="43" customWidth="1"/>
    <col min="9" max="9" width="11.85546875" style="43" customWidth="1"/>
    <col min="10" max="16384" width="9.140625" style="43"/>
  </cols>
  <sheetData>
    <row r="1" spans="1:10" x14ac:dyDescent="0.2">
      <c r="H1" s="60" t="s">
        <v>301</v>
      </c>
      <c r="I1" s="61" t="str">
        <f>EBNUMBER</f>
        <v>EB-2016-0066</v>
      </c>
    </row>
    <row r="2" spans="1:10" x14ac:dyDescent="0.2">
      <c r="H2" s="60" t="s">
        <v>302</v>
      </c>
      <c r="I2" s="62"/>
    </row>
    <row r="3" spans="1:10" x14ac:dyDescent="0.2">
      <c r="H3" s="60" t="s">
        <v>303</v>
      </c>
      <c r="I3" s="62"/>
    </row>
    <row r="4" spans="1:10" x14ac:dyDescent="0.2">
      <c r="H4" s="60" t="s">
        <v>304</v>
      </c>
      <c r="I4" s="62"/>
    </row>
    <row r="5" spans="1:10" x14ac:dyDescent="0.2">
      <c r="H5" s="60" t="s">
        <v>305</v>
      </c>
      <c r="I5" s="63"/>
    </row>
    <row r="6" spans="1:10" x14ac:dyDescent="0.2">
      <c r="H6" s="60"/>
      <c r="I6" s="61"/>
    </row>
    <row r="7" spans="1:10" x14ac:dyDescent="0.2">
      <c r="H7" s="60" t="s">
        <v>306</v>
      </c>
      <c r="I7" s="63"/>
    </row>
    <row r="9" spans="1:10" ht="18" x14ac:dyDescent="0.25">
      <c r="A9" s="1555" t="s">
        <v>706</v>
      </c>
      <c r="B9" s="1555"/>
      <c r="C9" s="1555"/>
      <c r="D9" s="1555"/>
      <c r="E9" s="1555"/>
      <c r="F9" s="1555"/>
      <c r="G9" s="1555"/>
      <c r="H9" s="1555"/>
      <c r="I9" s="1555"/>
      <c r="J9" s="64"/>
    </row>
    <row r="10" spans="1:10" ht="18" x14ac:dyDescent="0.25">
      <c r="A10" s="1555" t="s">
        <v>25</v>
      </c>
      <c r="B10" s="1555"/>
      <c r="C10" s="1555"/>
      <c r="D10" s="1555"/>
      <c r="E10" s="1555"/>
      <c r="F10" s="1555"/>
      <c r="G10" s="1555"/>
      <c r="H10" s="1555"/>
      <c r="I10" s="1555"/>
      <c r="J10" s="64"/>
    </row>
    <row r="12" spans="1:10" ht="13.5" thickBot="1" x14ac:dyDescent="0.25">
      <c r="A12" s="1545"/>
      <c r="B12" s="1545"/>
      <c r="C12" s="1545"/>
      <c r="D12" s="1545"/>
      <c r="E12" s="1545"/>
      <c r="F12" s="1545"/>
      <c r="G12" s="1545"/>
      <c r="H12" s="1545"/>
      <c r="I12" s="1545"/>
    </row>
    <row r="13" spans="1:10" ht="25.5" x14ac:dyDescent="0.2">
      <c r="A13" s="65" t="s">
        <v>198</v>
      </c>
      <c r="B13" s="1513" t="s">
        <v>1525</v>
      </c>
      <c r="C13" s="66">
        <f>D13-1</f>
        <v>2012</v>
      </c>
      <c r="D13" s="66">
        <f>E13-1</f>
        <v>2013</v>
      </c>
      <c r="E13" s="66">
        <f>F13-1</f>
        <v>2014</v>
      </c>
      <c r="F13" s="66">
        <f>BridgeYear - 1</f>
        <v>2015</v>
      </c>
      <c r="G13" s="66" t="str">
        <f>BridgeYear &amp; " Bridge Year"</f>
        <v>2016 Bridge Year</v>
      </c>
      <c r="H13" s="66" t="str">
        <f>TestYear &amp; " Test Year"</f>
        <v>2017 Test Year</v>
      </c>
    </row>
    <row r="14" spans="1:10" x14ac:dyDescent="0.2">
      <c r="A14" s="67" t="s">
        <v>103</v>
      </c>
      <c r="B14" s="67"/>
      <c r="C14" s="68"/>
      <c r="D14" s="68"/>
      <c r="E14" s="68"/>
      <c r="F14" s="68"/>
      <c r="G14" s="68"/>
      <c r="H14" s="68"/>
    </row>
    <row r="15" spans="1:10" x14ac:dyDescent="0.2">
      <c r="A15" s="69" t="s">
        <v>200</v>
      </c>
      <c r="B15" s="69"/>
      <c r="C15" s="70"/>
      <c r="D15" s="70"/>
      <c r="E15" s="70"/>
      <c r="F15" s="70"/>
      <c r="G15" s="70"/>
      <c r="H15" s="70"/>
    </row>
    <row r="16" spans="1:10" x14ac:dyDescent="0.2">
      <c r="A16" s="69" t="s">
        <v>1453</v>
      </c>
      <c r="B16" s="1514">
        <v>165527</v>
      </c>
      <c r="C16" s="71">
        <v>206859</v>
      </c>
      <c r="D16" s="71">
        <v>109702</v>
      </c>
      <c r="E16" s="71">
        <v>133322</v>
      </c>
      <c r="F16" s="71">
        <v>494469</v>
      </c>
      <c r="G16" s="71">
        <v>261632</v>
      </c>
      <c r="H16" s="71">
        <v>261793</v>
      </c>
    </row>
    <row r="17" spans="1:8" x14ac:dyDescent="0.2">
      <c r="A17" s="69"/>
      <c r="B17" s="1511"/>
      <c r="C17" s="73"/>
      <c r="D17" s="73"/>
      <c r="E17" s="73"/>
      <c r="F17" s="73"/>
      <c r="G17" s="73"/>
      <c r="H17" s="73"/>
    </row>
    <row r="18" spans="1:8" x14ac:dyDescent="0.2">
      <c r="A18" s="69"/>
      <c r="B18" s="1511"/>
      <c r="C18" s="73"/>
      <c r="D18" s="73"/>
      <c r="E18" s="73"/>
      <c r="F18" s="73"/>
      <c r="G18" s="73"/>
      <c r="H18" s="73"/>
    </row>
    <row r="19" spans="1:8" x14ac:dyDescent="0.2">
      <c r="A19" s="74" t="s">
        <v>204</v>
      </c>
      <c r="B19" s="75">
        <f t="shared" ref="B19" si="0">SUM(B16:B18)</f>
        <v>165527</v>
      </c>
      <c r="C19" s="75">
        <f t="shared" ref="C19:H19" si="1">SUM(C16:C18)</f>
        <v>206859</v>
      </c>
      <c r="D19" s="75">
        <f t="shared" si="1"/>
        <v>109702</v>
      </c>
      <c r="E19" s="75">
        <f t="shared" si="1"/>
        <v>133322</v>
      </c>
      <c r="F19" s="75">
        <f t="shared" si="1"/>
        <v>494469</v>
      </c>
      <c r="G19" s="75">
        <f t="shared" si="1"/>
        <v>261632</v>
      </c>
      <c r="H19" s="75">
        <f t="shared" si="1"/>
        <v>261793</v>
      </c>
    </row>
    <row r="20" spans="1:8" x14ac:dyDescent="0.2">
      <c r="A20" s="76" t="s">
        <v>201</v>
      </c>
      <c r="B20" s="76"/>
      <c r="C20" s="70"/>
      <c r="D20" s="70"/>
      <c r="E20" s="70"/>
      <c r="F20" s="70"/>
      <c r="G20" s="70"/>
      <c r="H20" s="70"/>
    </row>
    <row r="21" spans="1:8" x14ac:dyDescent="0.2">
      <c r="A21" s="69" t="s">
        <v>1454</v>
      </c>
      <c r="B21" s="1510">
        <v>0</v>
      </c>
      <c r="C21" s="71">
        <v>60300</v>
      </c>
      <c r="D21" s="71">
        <v>45000</v>
      </c>
      <c r="E21" s="71">
        <v>28893</v>
      </c>
      <c r="F21" s="71">
        <v>42300</v>
      </c>
      <c r="G21" s="71">
        <v>63900</v>
      </c>
      <c r="H21" s="71"/>
    </row>
    <row r="22" spans="1:8" x14ac:dyDescent="0.2">
      <c r="A22" s="69"/>
      <c r="B22" s="69"/>
      <c r="C22" s="72"/>
      <c r="D22" s="72"/>
      <c r="E22" s="72"/>
      <c r="F22" s="72"/>
      <c r="G22" s="72"/>
      <c r="H22" s="72"/>
    </row>
    <row r="23" spans="1:8" x14ac:dyDescent="0.2">
      <c r="A23" s="74" t="s">
        <v>204</v>
      </c>
      <c r="B23" s="75">
        <f t="shared" ref="B23" si="2">SUM(B21:B22)</f>
        <v>0</v>
      </c>
      <c r="C23" s="75">
        <f t="shared" ref="C23:H23" si="3">SUM(C21:C22)</f>
        <v>60300</v>
      </c>
      <c r="D23" s="75">
        <f t="shared" si="3"/>
        <v>45000</v>
      </c>
      <c r="E23" s="75">
        <f t="shared" si="3"/>
        <v>28893</v>
      </c>
      <c r="F23" s="75">
        <f t="shared" si="3"/>
        <v>42300</v>
      </c>
      <c r="G23" s="75">
        <f t="shared" si="3"/>
        <v>63900</v>
      </c>
      <c r="H23" s="75">
        <f t="shared" si="3"/>
        <v>0</v>
      </c>
    </row>
    <row r="24" spans="1:8" x14ac:dyDescent="0.2">
      <c r="A24" s="76" t="s">
        <v>202</v>
      </c>
      <c r="B24" s="76"/>
      <c r="C24" s="70"/>
      <c r="D24" s="70"/>
      <c r="E24" s="70"/>
      <c r="F24" s="70"/>
      <c r="G24" s="70"/>
      <c r="H24" s="70"/>
    </row>
    <row r="25" spans="1:8" x14ac:dyDescent="0.2">
      <c r="A25" s="69" t="s">
        <v>1455</v>
      </c>
      <c r="B25" s="1514"/>
      <c r="C25" s="71"/>
      <c r="D25" s="71"/>
      <c r="E25" s="71">
        <v>70712</v>
      </c>
      <c r="F25" s="71"/>
      <c r="G25" s="71"/>
      <c r="H25" s="71"/>
    </row>
    <row r="26" spans="1:8" x14ac:dyDescent="0.2">
      <c r="A26" s="69"/>
      <c r="B26" s="69"/>
      <c r="C26" s="72"/>
      <c r="D26" s="72"/>
      <c r="E26" s="72"/>
      <c r="F26" s="72"/>
      <c r="G26" s="72"/>
      <c r="H26" s="72"/>
    </row>
    <row r="27" spans="1:8" x14ac:dyDescent="0.2">
      <c r="A27" s="74" t="s">
        <v>204</v>
      </c>
      <c r="B27" s="75">
        <f t="shared" ref="B27" si="4">SUM(B25:B26)</f>
        <v>0</v>
      </c>
      <c r="C27" s="75">
        <f t="shared" ref="C27:H27" si="5">SUM(C25:C26)</f>
        <v>0</v>
      </c>
      <c r="D27" s="75">
        <f t="shared" si="5"/>
        <v>0</v>
      </c>
      <c r="E27" s="75">
        <f t="shared" si="5"/>
        <v>70712</v>
      </c>
      <c r="F27" s="75">
        <f t="shared" si="5"/>
        <v>0</v>
      </c>
      <c r="G27" s="75">
        <f t="shared" si="5"/>
        <v>0</v>
      </c>
      <c r="H27" s="75">
        <f t="shared" si="5"/>
        <v>0</v>
      </c>
    </row>
    <row r="28" spans="1:8" x14ac:dyDescent="0.2">
      <c r="A28" s="76" t="s">
        <v>203</v>
      </c>
      <c r="B28" s="1512"/>
      <c r="C28" s="77"/>
      <c r="D28" s="77"/>
      <c r="E28" s="77"/>
      <c r="F28" s="77"/>
      <c r="G28" s="77"/>
      <c r="H28" s="77"/>
    </row>
    <row r="29" spans="1:8" x14ac:dyDescent="0.2">
      <c r="A29" s="69" t="s">
        <v>857</v>
      </c>
      <c r="B29" s="1510">
        <v>0</v>
      </c>
      <c r="C29" s="71">
        <v>57319</v>
      </c>
      <c r="D29" s="71"/>
      <c r="E29" s="71"/>
      <c r="F29" s="71"/>
      <c r="G29" s="71"/>
      <c r="H29" s="71"/>
    </row>
    <row r="30" spans="1:8" x14ac:dyDescent="0.2">
      <c r="A30" s="69"/>
      <c r="B30" s="69"/>
      <c r="C30" s="72"/>
      <c r="D30" s="72"/>
      <c r="E30" s="72"/>
      <c r="F30" s="72"/>
      <c r="G30" s="72"/>
      <c r="H30" s="72"/>
    </row>
    <row r="31" spans="1:8" x14ac:dyDescent="0.2">
      <c r="A31" s="74" t="s">
        <v>204</v>
      </c>
      <c r="B31" s="75">
        <f t="shared" ref="B31" si="6">SUM(B29:B30)</f>
        <v>0</v>
      </c>
      <c r="C31" s="75">
        <f t="shared" ref="C31:H31" si="7">SUM(C29:C30)</f>
        <v>57319</v>
      </c>
      <c r="D31" s="75">
        <f t="shared" si="7"/>
        <v>0</v>
      </c>
      <c r="E31" s="75">
        <f t="shared" si="7"/>
        <v>0</v>
      </c>
      <c r="F31" s="75">
        <f t="shared" si="7"/>
        <v>0</v>
      </c>
      <c r="G31" s="75">
        <f t="shared" si="7"/>
        <v>0</v>
      </c>
      <c r="H31" s="75">
        <f t="shared" si="7"/>
        <v>0</v>
      </c>
    </row>
    <row r="32" spans="1:8" x14ac:dyDescent="0.2">
      <c r="A32" s="76" t="s">
        <v>1456</v>
      </c>
      <c r="B32" s="76"/>
      <c r="C32" s="70"/>
      <c r="D32" s="70"/>
      <c r="E32" s="70"/>
      <c r="F32" s="70"/>
      <c r="G32" s="70"/>
      <c r="H32" s="70"/>
    </row>
    <row r="33" spans="1:8" x14ac:dyDescent="0.2">
      <c r="A33" s="69" t="s">
        <v>1457</v>
      </c>
      <c r="B33" s="1514">
        <v>36800</v>
      </c>
      <c r="C33" s="71">
        <v>67810</v>
      </c>
      <c r="D33" s="71"/>
      <c r="E33" s="71"/>
      <c r="F33" s="71"/>
      <c r="G33" s="71"/>
      <c r="H33" s="71"/>
    </row>
    <row r="34" spans="1:8" x14ac:dyDescent="0.2">
      <c r="A34" s="69"/>
      <c r="B34" s="69"/>
      <c r="C34" s="72"/>
      <c r="D34" s="72"/>
      <c r="E34" s="72"/>
      <c r="F34" s="72"/>
      <c r="G34" s="72"/>
      <c r="H34" s="72"/>
    </row>
    <row r="35" spans="1:8" x14ac:dyDescent="0.2">
      <c r="A35" s="74" t="s">
        <v>204</v>
      </c>
      <c r="B35" s="75">
        <f t="shared" ref="B35" si="8">SUM(B33:B34)</f>
        <v>36800</v>
      </c>
      <c r="C35" s="75">
        <f t="shared" ref="C35:H35" si="9">SUM(C33:C34)</f>
        <v>67810</v>
      </c>
      <c r="D35" s="75">
        <f t="shared" si="9"/>
        <v>0</v>
      </c>
      <c r="E35" s="75">
        <f t="shared" si="9"/>
        <v>0</v>
      </c>
      <c r="F35" s="75">
        <f t="shared" si="9"/>
        <v>0</v>
      </c>
      <c r="G35" s="75">
        <f t="shared" si="9"/>
        <v>0</v>
      </c>
      <c r="H35" s="75">
        <f t="shared" si="9"/>
        <v>0</v>
      </c>
    </row>
    <row r="36" spans="1:8" x14ac:dyDescent="0.2">
      <c r="A36" s="76" t="s">
        <v>1458</v>
      </c>
      <c r="B36" s="76"/>
      <c r="C36" s="70"/>
      <c r="D36" s="70"/>
      <c r="E36" s="70"/>
      <c r="F36" s="70"/>
      <c r="G36" s="70"/>
      <c r="H36" s="70"/>
    </row>
    <row r="37" spans="1:8" x14ac:dyDescent="0.2">
      <c r="A37" s="69" t="s">
        <v>1459</v>
      </c>
      <c r="B37" s="1514">
        <v>77500</v>
      </c>
      <c r="C37" s="71">
        <v>66701</v>
      </c>
      <c r="D37" s="71"/>
      <c r="E37" s="71"/>
      <c r="F37" s="71"/>
      <c r="G37" s="71"/>
      <c r="H37" s="71"/>
    </row>
    <row r="38" spans="1:8" x14ac:dyDescent="0.2">
      <c r="A38" s="69"/>
      <c r="B38" s="69"/>
      <c r="C38" s="72"/>
      <c r="D38" s="72"/>
      <c r="E38" s="72"/>
      <c r="F38" s="72"/>
      <c r="G38" s="72"/>
      <c r="H38" s="72"/>
    </row>
    <row r="39" spans="1:8" x14ac:dyDescent="0.2">
      <c r="A39" s="74" t="s">
        <v>204</v>
      </c>
      <c r="B39" s="75">
        <f t="shared" ref="B39" si="10">SUM(B37:B38)</f>
        <v>77500</v>
      </c>
      <c r="C39" s="75">
        <f t="shared" ref="C39:H39" si="11">SUM(C37:C38)</f>
        <v>66701</v>
      </c>
      <c r="D39" s="75">
        <f t="shared" si="11"/>
        <v>0</v>
      </c>
      <c r="E39" s="75">
        <f t="shared" si="11"/>
        <v>0</v>
      </c>
      <c r="F39" s="75">
        <f t="shared" si="11"/>
        <v>0</v>
      </c>
      <c r="G39" s="75">
        <f t="shared" si="11"/>
        <v>0</v>
      </c>
      <c r="H39" s="75">
        <f t="shared" si="11"/>
        <v>0</v>
      </c>
    </row>
    <row r="40" spans="1:8" x14ac:dyDescent="0.2">
      <c r="A40" s="76" t="s">
        <v>1460</v>
      </c>
      <c r="B40" s="1512"/>
      <c r="C40" s="77"/>
      <c r="D40" s="77"/>
      <c r="E40" s="77"/>
      <c r="F40" s="77"/>
      <c r="G40" s="77"/>
      <c r="H40" s="77"/>
    </row>
    <row r="41" spans="1:8" x14ac:dyDescent="0.2">
      <c r="A41" s="69" t="s">
        <v>1461</v>
      </c>
      <c r="B41" s="1510"/>
      <c r="C41" s="71">
        <v>125965</v>
      </c>
      <c r="D41" s="71"/>
      <c r="E41" s="71"/>
      <c r="F41" s="71"/>
      <c r="G41" s="71"/>
      <c r="H41" s="71"/>
    </row>
    <row r="42" spans="1:8" x14ac:dyDescent="0.2">
      <c r="A42" s="69"/>
      <c r="B42" s="69"/>
      <c r="C42" s="72"/>
      <c r="D42" s="72"/>
      <c r="E42" s="72"/>
      <c r="F42" s="72"/>
      <c r="G42" s="72"/>
      <c r="H42" s="72"/>
    </row>
    <row r="43" spans="1:8" x14ac:dyDescent="0.2">
      <c r="A43" s="74" t="s">
        <v>204</v>
      </c>
      <c r="B43" s="75">
        <f t="shared" ref="B43" si="12">SUM(B41:B42)</f>
        <v>0</v>
      </c>
      <c r="C43" s="75">
        <f t="shared" ref="C43:H43" si="13">SUM(C41:C42)</f>
        <v>125965</v>
      </c>
      <c r="D43" s="75">
        <f t="shared" si="13"/>
        <v>0</v>
      </c>
      <c r="E43" s="75">
        <f t="shared" si="13"/>
        <v>0</v>
      </c>
      <c r="F43" s="75">
        <f t="shared" si="13"/>
        <v>0</v>
      </c>
      <c r="G43" s="75">
        <f t="shared" si="13"/>
        <v>0</v>
      </c>
      <c r="H43" s="75">
        <f t="shared" si="13"/>
        <v>0</v>
      </c>
    </row>
    <row r="44" spans="1:8" x14ac:dyDescent="0.2">
      <c r="A44" s="76" t="s">
        <v>1462</v>
      </c>
      <c r="B44" s="76"/>
      <c r="C44" s="70"/>
      <c r="D44" s="70"/>
      <c r="E44" s="70"/>
      <c r="F44" s="70"/>
      <c r="G44" s="70"/>
      <c r="H44" s="70"/>
    </row>
    <row r="45" spans="1:8" x14ac:dyDescent="0.2">
      <c r="A45" s="69" t="s">
        <v>1463</v>
      </c>
      <c r="B45" s="1514">
        <v>67701</v>
      </c>
      <c r="C45" s="71">
        <v>52865</v>
      </c>
      <c r="D45" s="71"/>
      <c r="E45" s="71"/>
      <c r="F45" s="71"/>
      <c r="G45" s="71"/>
      <c r="H45" s="71"/>
    </row>
    <row r="46" spans="1:8" x14ac:dyDescent="0.2">
      <c r="A46" s="69"/>
      <c r="B46" s="69"/>
      <c r="C46" s="72"/>
      <c r="D46" s="72"/>
      <c r="E46" s="72"/>
      <c r="F46" s="72"/>
      <c r="G46" s="72"/>
      <c r="H46" s="72"/>
    </row>
    <row r="47" spans="1:8" x14ac:dyDescent="0.2">
      <c r="A47" s="74" t="s">
        <v>204</v>
      </c>
      <c r="B47" s="75">
        <f t="shared" ref="B47" si="14">SUM(B45:B46)</f>
        <v>67701</v>
      </c>
      <c r="C47" s="75">
        <f t="shared" ref="C47:H47" si="15">SUM(C45:C46)</f>
        <v>52865</v>
      </c>
      <c r="D47" s="75">
        <f t="shared" si="15"/>
        <v>0</v>
      </c>
      <c r="E47" s="75">
        <f t="shared" si="15"/>
        <v>0</v>
      </c>
      <c r="F47" s="75">
        <f t="shared" si="15"/>
        <v>0</v>
      </c>
      <c r="G47" s="75">
        <f t="shared" si="15"/>
        <v>0</v>
      </c>
      <c r="H47" s="75">
        <f t="shared" si="15"/>
        <v>0</v>
      </c>
    </row>
    <row r="48" spans="1:8" x14ac:dyDescent="0.2">
      <c r="A48" s="76" t="s">
        <v>1464</v>
      </c>
      <c r="B48" s="76"/>
      <c r="C48" s="70"/>
      <c r="D48" s="70"/>
      <c r="E48" s="70"/>
      <c r="F48" s="70"/>
      <c r="G48" s="70"/>
      <c r="H48" s="70"/>
    </row>
    <row r="49" spans="1:8" x14ac:dyDescent="0.2">
      <c r="A49" s="69" t="s">
        <v>1465</v>
      </c>
      <c r="B49" s="1510"/>
      <c r="C49" s="71"/>
      <c r="D49" s="71">
        <v>122068</v>
      </c>
      <c r="E49" s="71">
        <v>37754</v>
      </c>
      <c r="F49" s="71"/>
      <c r="G49" s="71"/>
      <c r="H49" s="71"/>
    </row>
    <row r="50" spans="1:8" x14ac:dyDescent="0.2">
      <c r="A50" s="69" t="s">
        <v>1466</v>
      </c>
      <c r="B50" s="69"/>
      <c r="C50" s="72"/>
      <c r="D50" s="72">
        <v>25252</v>
      </c>
      <c r="E50" s="72"/>
      <c r="F50" s="72"/>
      <c r="G50" s="72"/>
      <c r="H50" s="72"/>
    </row>
    <row r="51" spans="1:8" x14ac:dyDescent="0.2">
      <c r="A51" s="74" t="s">
        <v>204</v>
      </c>
      <c r="B51" s="75">
        <f t="shared" ref="B51" si="16">SUM(B49:B50)</f>
        <v>0</v>
      </c>
      <c r="C51" s="75">
        <f t="shared" ref="C51:H51" si="17">SUM(C49:C50)</f>
        <v>0</v>
      </c>
      <c r="D51" s="75">
        <f t="shared" si="17"/>
        <v>147320</v>
      </c>
      <c r="E51" s="75">
        <f t="shared" si="17"/>
        <v>37754</v>
      </c>
      <c r="F51" s="75">
        <f t="shared" si="17"/>
        <v>0</v>
      </c>
      <c r="G51" s="75">
        <f t="shared" si="17"/>
        <v>0</v>
      </c>
      <c r="H51" s="75">
        <f t="shared" si="17"/>
        <v>0</v>
      </c>
    </row>
    <row r="52" spans="1:8" x14ac:dyDescent="0.2">
      <c r="A52" s="76" t="s">
        <v>1467</v>
      </c>
      <c r="B52" s="1512"/>
      <c r="C52" s="77"/>
      <c r="D52" s="77"/>
      <c r="E52" s="77"/>
      <c r="F52" s="77"/>
      <c r="G52" s="77"/>
      <c r="H52" s="77"/>
    </row>
    <row r="53" spans="1:8" x14ac:dyDescent="0.2">
      <c r="A53" s="69" t="s">
        <v>1468</v>
      </c>
      <c r="B53" s="1514"/>
      <c r="C53" s="71"/>
      <c r="D53" s="71">
        <v>161193</v>
      </c>
      <c r="E53" s="71"/>
      <c r="F53" s="71"/>
      <c r="G53" s="71"/>
      <c r="H53" s="71"/>
    </row>
    <row r="54" spans="1:8" x14ac:dyDescent="0.2">
      <c r="A54" s="69"/>
      <c r="B54" s="69"/>
      <c r="C54" s="72"/>
      <c r="D54" s="72"/>
      <c r="E54" s="72"/>
      <c r="F54" s="72"/>
      <c r="G54" s="72"/>
      <c r="H54" s="72"/>
    </row>
    <row r="55" spans="1:8" x14ac:dyDescent="0.2">
      <c r="A55" s="74" t="s">
        <v>204</v>
      </c>
      <c r="B55" s="75">
        <f t="shared" ref="B55" si="18">SUM(B53:B54)</f>
        <v>0</v>
      </c>
      <c r="C55" s="75">
        <f t="shared" ref="C55:H55" si="19">SUM(C53:C54)</f>
        <v>0</v>
      </c>
      <c r="D55" s="75">
        <f t="shared" si="19"/>
        <v>161193</v>
      </c>
      <c r="E55" s="75">
        <f t="shared" si="19"/>
        <v>0</v>
      </c>
      <c r="F55" s="75">
        <f t="shared" si="19"/>
        <v>0</v>
      </c>
      <c r="G55" s="75">
        <f t="shared" si="19"/>
        <v>0</v>
      </c>
      <c r="H55" s="75">
        <f t="shared" si="19"/>
        <v>0</v>
      </c>
    </row>
    <row r="56" spans="1:8" x14ac:dyDescent="0.2">
      <c r="A56" s="76" t="s">
        <v>1469</v>
      </c>
      <c r="B56" s="76"/>
      <c r="C56" s="70"/>
      <c r="D56" s="70"/>
      <c r="E56" s="70"/>
      <c r="F56" s="70"/>
      <c r="G56" s="70"/>
      <c r="H56" s="70"/>
    </row>
    <row r="57" spans="1:8" x14ac:dyDescent="0.2">
      <c r="A57" s="69" t="s">
        <v>1470</v>
      </c>
      <c r="B57" s="1510"/>
      <c r="C57" s="71"/>
      <c r="D57" s="71">
        <v>80885</v>
      </c>
      <c r="E57" s="71"/>
      <c r="F57" s="71"/>
      <c r="G57" s="71"/>
      <c r="H57" s="71"/>
    </row>
    <row r="58" spans="1:8" x14ac:dyDescent="0.2">
      <c r="A58" s="69"/>
      <c r="B58" s="69"/>
      <c r="C58" s="72"/>
      <c r="D58" s="72"/>
      <c r="E58" s="72"/>
      <c r="F58" s="72"/>
      <c r="G58" s="72"/>
      <c r="H58" s="72"/>
    </row>
    <row r="59" spans="1:8" x14ac:dyDescent="0.2">
      <c r="A59" s="74" t="s">
        <v>204</v>
      </c>
      <c r="B59" s="75">
        <f t="shared" ref="B59" si="20">SUM(B57:B58)</f>
        <v>0</v>
      </c>
      <c r="C59" s="75">
        <f t="shared" ref="C59:H59" si="21">SUM(C57:C58)</f>
        <v>0</v>
      </c>
      <c r="D59" s="75">
        <f t="shared" si="21"/>
        <v>80885</v>
      </c>
      <c r="E59" s="75">
        <f t="shared" si="21"/>
        <v>0</v>
      </c>
      <c r="F59" s="75">
        <f t="shared" si="21"/>
        <v>0</v>
      </c>
      <c r="G59" s="75">
        <f t="shared" si="21"/>
        <v>0</v>
      </c>
      <c r="H59" s="75">
        <f t="shared" si="21"/>
        <v>0</v>
      </c>
    </row>
    <row r="60" spans="1:8" x14ac:dyDescent="0.2">
      <c r="A60" s="76" t="s">
        <v>1471</v>
      </c>
      <c r="B60" s="76"/>
      <c r="C60" s="70"/>
      <c r="D60" s="70"/>
      <c r="E60" s="70"/>
      <c r="F60" s="70"/>
      <c r="G60" s="70"/>
      <c r="H60" s="70"/>
    </row>
    <row r="61" spans="1:8" x14ac:dyDescent="0.2">
      <c r="A61" s="69" t="s">
        <v>1472</v>
      </c>
      <c r="B61" s="1510"/>
      <c r="C61" s="71"/>
      <c r="D61" s="71">
        <v>51328</v>
      </c>
      <c r="E61" s="71"/>
      <c r="F61" s="71"/>
      <c r="G61" s="71"/>
      <c r="H61" s="71"/>
    </row>
    <row r="62" spans="1:8" x14ac:dyDescent="0.2">
      <c r="A62" s="69"/>
      <c r="B62" s="69"/>
      <c r="C62" s="72"/>
      <c r="D62" s="72"/>
      <c r="E62" s="72"/>
      <c r="F62" s="72"/>
      <c r="G62" s="72"/>
      <c r="H62" s="72"/>
    </row>
    <row r="63" spans="1:8" x14ac:dyDescent="0.2">
      <c r="A63" s="74" t="s">
        <v>204</v>
      </c>
      <c r="B63" s="75">
        <f t="shared" ref="B63" si="22">SUM(B61:B62)</f>
        <v>0</v>
      </c>
      <c r="C63" s="75">
        <f t="shared" ref="C63:H63" si="23">SUM(C61:C62)</f>
        <v>0</v>
      </c>
      <c r="D63" s="75">
        <f t="shared" si="23"/>
        <v>51328</v>
      </c>
      <c r="E63" s="75">
        <f t="shared" si="23"/>
        <v>0</v>
      </c>
      <c r="F63" s="75">
        <f t="shared" si="23"/>
        <v>0</v>
      </c>
      <c r="G63" s="75">
        <f t="shared" si="23"/>
        <v>0</v>
      </c>
      <c r="H63" s="75">
        <f t="shared" si="23"/>
        <v>0</v>
      </c>
    </row>
    <row r="64" spans="1:8" x14ac:dyDescent="0.2">
      <c r="A64" s="76" t="s">
        <v>1473</v>
      </c>
      <c r="B64" s="1512"/>
      <c r="C64" s="77"/>
      <c r="D64" s="77"/>
      <c r="E64" s="77"/>
      <c r="F64" s="77"/>
      <c r="G64" s="77"/>
      <c r="H64" s="77"/>
    </row>
    <row r="65" spans="1:8" x14ac:dyDescent="0.2">
      <c r="A65" s="69" t="s">
        <v>1474</v>
      </c>
      <c r="B65" s="1510"/>
      <c r="C65" s="71"/>
      <c r="D65" s="71">
        <v>65634</v>
      </c>
      <c r="E65" s="71"/>
      <c r="F65" s="71"/>
      <c r="G65" s="71"/>
      <c r="H65" s="71"/>
    </row>
    <row r="66" spans="1:8" x14ac:dyDescent="0.2">
      <c r="A66" s="69"/>
      <c r="B66" s="69"/>
      <c r="C66" s="72"/>
      <c r="D66" s="72"/>
      <c r="E66" s="72"/>
      <c r="F66" s="72"/>
      <c r="G66" s="72"/>
      <c r="H66" s="72"/>
    </row>
    <row r="67" spans="1:8" x14ac:dyDescent="0.2">
      <c r="A67" s="74" t="s">
        <v>204</v>
      </c>
      <c r="B67" s="75">
        <f t="shared" ref="B67" si="24">SUM(B65:B66)</f>
        <v>0</v>
      </c>
      <c r="C67" s="75">
        <f t="shared" ref="C67:H67" si="25">SUM(C65:C66)</f>
        <v>0</v>
      </c>
      <c r="D67" s="75">
        <f t="shared" si="25"/>
        <v>65634</v>
      </c>
      <c r="E67" s="75">
        <f t="shared" si="25"/>
        <v>0</v>
      </c>
      <c r="F67" s="75">
        <f t="shared" si="25"/>
        <v>0</v>
      </c>
      <c r="G67" s="75">
        <f t="shared" si="25"/>
        <v>0</v>
      </c>
      <c r="H67" s="75">
        <f t="shared" si="25"/>
        <v>0</v>
      </c>
    </row>
    <row r="68" spans="1:8" x14ac:dyDescent="0.2">
      <c r="A68" s="76" t="s">
        <v>1475</v>
      </c>
      <c r="B68" s="76"/>
      <c r="C68" s="70"/>
      <c r="D68" s="70"/>
      <c r="E68" s="70"/>
      <c r="F68" s="70"/>
      <c r="G68" s="70"/>
      <c r="H68" s="70"/>
    </row>
    <row r="69" spans="1:8" x14ac:dyDescent="0.2">
      <c r="A69" s="69" t="s">
        <v>1476</v>
      </c>
      <c r="B69" s="1514">
        <v>102000</v>
      </c>
      <c r="C69" s="71">
        <v>62729</v>
      </c>
      <c r="D69" s="71"/>
      <c r="E69" s="71"/>
      <c r="F69" s="71"/>
      <c r="G69" s="71"/>
      <c r="H69" s="71"/>
    </row>
    <row r="70" spans="1:8" x14ac:dyDescent="0.2">
      <c r="A70" s="69"/>
      <c r="B70" s="69"/>
      <c r="C70" s="72"/>
      <c r="D70" s="72"/>
      <c r="E70" s="72"/>
      <c r="F70" s="72"/>
      <c r="G70" s="72"/>
      <c r="H70" s="72"/>
    </row>
    <row r="71" spans="1:8" x14ac:dyDescent="0.2">
      <c r="A71" s="74" t="s">
        <v>204</v>
      </c>
      <c r="B71" s="75">
        <f t="shared" ref="B71" si="26">SUM(B69:B70)</f>
        <v>102000</v>
      </c>
      <c r="C71" s="75">
        <f t="shared" ref="C71:H71" si="27">SUM(C69:C70)</f>
        <v>62729</v>
      </c>
      <c r="D71" s="75">
        <f t="shared" si="27"/>
        <v>0</v>
      </c>
      <c r="E71" s="75">
        <f t="shared" si="27"/>
        <v>0</v>
      </c>
      <c r="F71" s="75">
        <f t="shared" si="27"/>
        <v>0</v>
      </c>
      <c r="G71" s="75">
        <f t="shared" si="27"/>
        <v>0</v>
      </c>
      <c r="H71" s="75">
        <f t="shared" si="27"/>
        <v>0</v>
      </c>
    </row>
    <row r="72" spans="1:8" x14ac:dyDescent="0.2">
      <c r="A72" s="76" t="s">
        <v>1477</v>
      </c>
      <c r="B72" s="76"/>
      <c r="C72" s="70"/>
      <c r="D72" s="70"/>
      <c r="E72" s="70"/>
      <c r="F72" s="70"/>
      <c r="G72" s="70"/>
      <c r="H72" s="70"/>
    </row>
    <row r="73" spans="1:8" x14ac:dyDescent="0.2">
      <c r="A73" s="69" t="s">
        <v>1478</v>
      </c>
      <c r="B73" s="1514">
        <v>400000</v>
      </c>
      <c r="C73" s="71"/>
      <c r="D73" s="71">
        <v>620528</v>
      </c>
      <c r="E73" s="71"/>
      <c r="F73" s="71"/>
      <c r="G73" s="71"/>
      <c r="H73" s="71"/>
    </row>
    <row r="74" spans="1:8" x14ac:dyDescent="0.2">
      <c r="A74" s="69"/>
      <c r="B74" s="69"/>
      <c r="C74" s="72"/>
      <c r="D74" s="72"/>
      <c r="E74" s="72"/>
      <c r="F74" s="72"/>
      <c r="G74" s="72"/>
      <c r="H74" s="72"/>
    </row>
    <row r="75" spans="1:8" x14ac:dyDescent="0.2">
      <c r="A75" s="74" t="s">
        <v>204</v>
      </c>
      <c r="B75" s="75">
        <f t="shared" ref="B75" si="28">SUM(B73:B74)</f>
        <v>400000</v>
      </c>
      <c r="C75" s="75">
        <f t="shared" ref="C75:H75" si="29">SUM(C73:C74)</f>
        <v>0</v>
      </c>
      <c r="D75" s="75">
        <f t="shared" si="29"/>
        <v>620528</v>
      </c>
      <c r="E75" s="75">
        <f t="shared" si="29"/>
        <v>0</v>
      </c>
      <c r="F75" s="75">
        <f t="shared" si="29"/>
        <v>0</v>
      </c>
      <c r="G75" s="75">
        <f t="shared" si="29"/>
        <v>0</v>
      </c>
      <c r="H75" s="75">
        <f t="shared" si="29"/>
        <v>0</v>
      </c>
    </row>
    <row r="76" spans="1:8" x14ac:dyDescent="0.2">
      <c r="A76" s="76" t="s">
        <v>1479</v>
      </c>
      <c r="B76" s="1512"/>
      <c r="C76" s="77"/>
      <c r="D76" s="77"/>
      <c r="E76" s="77"/>
      <c r="F76" s="77"/>
      <c r="G76" s="77"/>
      <c r="H76" s="77"/>
    </row>
    <row r="77" spans="1:8" x14ac:dyDescent="0.2">
      <c r="A77" s="69" t="s">
        <v>1480</v>
      </c>
      <c r="B77" s="1510"/>
      <c r="C77" s="71"/>
      <c r="D77" s="71"/>
      <c r="E77" s="71">
        <v>39500</v>
      </c>
      <c r="F77" s="71"/>
      <c r="G77" s="71">
        <v>67015</v>
      </c>
      <c r="H77" s="71"/>
    </row>
    <row r="78" spans="1:8" x14ac:dyDescent="0.2">
      <c r="A78" s="69"/>
      <c r="B78" s="69"/>
      <c r="C78" s="72"/>
      <c r="D78" s="72"/>
      <c r="E78" s="72"/>
      <c r="F78" s="72"/>
      <c r="G78" s="72"/>
      <c r="H78" s="72"/>
    </row>
    <row r="79" spans="1:8" x14ac:dyDescent="0.2">
      <c r="A79" s="74" t="s">
        <v>204</v>
      </c>
      <c r="B79" s="75">
        <f t="shared" ref="B79" si="30">SUM(B77:B78)</f>
        <v>0</v>
      </c>
      <c r="C79" s="75">
        <f t="shared" ref="C79:H79" si="31">SUM(C77:C78)</f>
        <v>0</v>
      </c>
      <c r="D79" s="75">
        <f t="shared" si="31"/>
        <v>0</v>
      </c>
      <c r="E79" s="75">
        <f t="shared" si="31"/>
        <v>39500</v>
      </c>
      <c r="F79" s="75">
        <f t="shared" si="31"/>
        <v>0</v>
      </c>
      <c r="G79" s="75">
        <f t="shared" si="31"/>
        <v>67015</v>
      </c>
      <c r="H79" s="75">
        <f t="shared" si="31"/>
        <v>0</v>
      </c>
    </row>
    <row r="80" spans="1:8" x14ac:dyDescent="0.2">
      <c r="A80" s="76" t="s">
        <v>1481</v>
      </c>
      <c r="B80" s="1512"/>
      <c r="C80" s="77"/>
      <c r="D80" s="77"/>
      <c r="E80" s="77"/>
      <c r="F80" s="77"/>
      <c r="G80" s="77"/>
      <c r="H80" s="77"/>
    </row>
    <row r="81" spans="1:8" x14ac:dyDescent="0.2">
      <c r="A81" s="69" t="s">
        <v>1482</v>
      </c>
      <c r="B81" s="1510"/>
      <c r="C81" s="71"/>
      <c r="D81" s="71"/>
      <c r="E81" s="71">
        <v>103369</v>
      </c>
      <c r="F81" s="71"/>
      <c r="G81" s="71"/>
      <c r="H81" s="71"/>
    </row>
    <row r="82" spans="1:8" x14ac:dyDescent="0.2">
      <c r="A82" s="69"/>
      <c r="B82" s="69"/>
      <c r="C82" s="72"/>
      <c r="D82" s="72"/>
      <c r="E82" s="72"/>
      <c r="F82" s="72"/>
      <c r="G82" s="72"/>
      <c r="H82" s="72"/>
    </row>
    <row r="83" spans="1:8" x14ac:dyDescent="0.2">
      <c r="A83" s="74" t="s">
        <v>204</v>
      </c>
      <c r="B83" s="75">
        <f t="shared" ref="B83" si="32">SUM(B81:B82)</f>
        <v>0</v>
      </c>
      <c r="C83" s="75">
        <f t="shared" ref="C83:H83" si="33">SUM(C81:C82)</f>
        <v>0</v>
      </c>
      <c r="D83" s="75">
        <f t="shared" si="33"/>
        <v>0</v>
      </c>
      <c r="E83" s="75">
        <f t="shared" si="33"/>
        <v>103369</v>
      </c>
      <c r="F83" s="75">
        <f t="shared" si="33"/>
        <v>0</v>
      </c>
      <c r="G83" s="75">
        <f t="shared" si="33"/>
        <v>0</v>
      </c>
      <c r="H83" s="75">
        <f t="shared" si="33"/>
        <v>0</v>
      </c>
    </row>
    <row r="84" spans="1:8" x14ac:dyDescent="0.2">
      <c r="A84" s="76" t="s">
        <v>1483</v>
      </c>
      <c r="B84" s="76"/>
      <c r="C84" s="70"/>
      <c r="D84" s="70"/>
      <c r="E84" s="70"/>
      <c r="F84" s="70"/>
      <c r="G84" s="70"/>
      <c r="H84" s="70"/>
    </row>
    <row r="85" spans="1:8" x14ac:dyDescent="0.2">
      <c r="A85" s="69" t="s">
        <v>1484</v>
      </c>
      <c r="B85" s="1510"/>
      <c r="C85" s="71"/>
      <c r="D85" s="71"/>
      <c r="E85" s="71">
        <v>92733</v>
      </c>
      <c r="F85" s="71"/>
      <c r="G85" s="71"/>
      <c r="H85" s="71"/>
    </row>
    <row r="86" spans="1:8" x14ac:dyDescent="0.2">
      <c r="A86" s="69"/>
      <c r="B86" s="69"/>
      <c r="C86" s="72"/>
      <c r="D86" s="72"/>
      <c r="E86" s="72"/>
      <c r="F86" s="72"/>
      <c r="G86" s="72"/>
      <c r="H86" s="72"/>
    </row>
    <row r="87" spans="1:8" x14ac:dyDescent="0.2">
      <c r="A87" s="74" t="s">
        <v>204</v>
      </c>
      <c r="B87" s="75">
        <f t="shared" ref="B87" si="34">SUM(B85:B86)</f>
        <v>0</v>
      </c>
      <c r="C87" s="75">
        <f t="shared" ref="C87:H87" si="35">SUM(C85:C86)</f>
        <v>0</v>
      </c>
      <c r="D87" s="75">
        <f t="shared" si="35"/>
        <v>0</v>
      </c>
      <c r="E87" s="75">
        <f t="shared" si="35"/>
        <v>92733</v>
      </c>
      <c r="F87" s="75">
        <f t="shared" si="35"/>
        <v>0</v>
      </c>
      <c r="G87" s="75">
        <f t="shared" si="35"/>
        <v>0</v>
      </c>
      <c r="H87" s="75">
        <f t="shared" si="35"/>
        <v>0</v>
      </c>
    </row>
    <row r="88" spans="1:8" x14ac:dyDescent="0.2">
      <c r="A88" s="76" t="s">
        <v>1485</v>
      </c>
      <c r="B88" s="76"/>
      <c r="C88" s="70"/>
      <c r="D88" s="70"/>
      <c r="E88" s="70"/>
      <c r="F88" s="70"/>
      <c r="G88" s="70"/>
      <c r="H88" s="70"/>
    </row>
    <row r="89" spans="1:8" x14ac:dyDescent="0.2">
      <c r="A89" s="69" t="s">
        <v>1486</v>
      </c>
      <c r="B89" s="1510"/>
      <c r="C89" s="71"/>
      <c r="D89" s="71"/>
      <c r="E89" s="71">
        <v>69148</v>
      </c>
      <c r="F89" s="71">
        <v>56870</v>
      </c>
      <c r="G89" s="71"/>
      <c r="H89" s="71"/>
    </row>
    <row r="90" spans="1:8" x14ac:dyDescent="0.2">
      <c r="A90" s="69"/>
      <c r="B90" s="69"/>
      <c r="C90" s="72"/>
      <c r="D90" s="72"/>
      <c r="E90" s="72"/>
      <c r="F90" s="72"/>
      <c r="G90" s="72"/>
      <c r="H90" s="72"/>
    </row>
    <row r="91" spans="1:8" x14ac:dyDescent="0.2">
      <c r="A91" s="74" t="s">
        <v>204</v>
      </c>
      <c r="B91" s="75">
        <f t="shared" ref="B91" si="36">SUM(B89:B90)</f>
        <v>0</v>
      </c>
      <c r="C91" s="75">
        <f t="shared" ref="C91:H91" si="37">SUM(C89:C90)</f>
        <v>0</v>
      </c>
      <c r="D91" s="75">
        <f t="shared" si="37"/>
        <v>0</v>
      </c>
      <c r="E91" s="75">
        <f t="shared" si="37"/>
        <v>69148</v>
      </c>
      <c r="F91" s="75">
        <f t="shared" si="37"/>
        <v>56870</v>
      </c>
      <c r="G91" s="75">
        <f t="shared" si="37"/>
        <v>0</v>
      </c>
      <c r="H91" s="75">
        <f t="shared" si="37"/>
        <v>0</v>
      </c>
    </row>
    <row r="92" spans="1:8" x14ac:dyDescent="0.2">
      <c r="A92" s="76" t="s">
        <v>1487</v>
      </c>
      <c r="B92" s="1512"/>
      <c r="C92" s="77"/>
      <c r="D92" s="77"/>
      <c r="E92" s="77"/>
      <c r="F92" s="77"/>
      <c r="G92" s="77"/>
      <c r="H92" s="77"/>
    </row>
    <row r="93" spans="1:8" x14ac:dyDescent="0.2">
      <c r="A93" s="69" t="s">
        <v>1488</v>
      </c>
      <c r="B93" s="1510"/>
      <c r="C93" s="71"/>
      <c r="D93" s="71"/>
      <c r="E93" s="71">
        <v>57145</v>
      </c>
      <c r="F93" s="71"/>
      <c r="G93" s="71"/>
      <c r="H93" s="71"/>
    </row>
    <row r="94" spans="1:8" x14ac:dyDescent="0.2">
      <c r="A94" s="69"/>
      <c r="B94" s="69"/>
      <c r="C94" s="72"/>
      <c r="D94" s="72"/>
      <c r="E94" s="72"/>
      <c r="F94" s="72"/>
      <c r="G94" s="72"/>
      <c r="H94" s="72"/>
    </row>
    <row r="95" spans="1:8" x14ac:dyDescent="0.2">
      <c r="A95" s="74" t="s">
        <v>204</v>
      </c>
      <c r="B95" s="75">
        <f t="shared" ref="B95" si="38">SUM(B93:B94)</f>
        <v>0</v>
      </c>
      <c r="C95" s="75">
        <f t="shared" ref="C95:H95" si="39">SUM(C93:C94)</f>
        <v>0</v>
      </c>
      <c r="D95" s="75">
        <f t="shared" si="39"/>
        <v>0</v>
      </c>
      <c r="E95" s="75">
        <f t="shared" si="39"/>
        <v>57145</v>
      </c>
      <c r="F95" s="75">
        <f t="shared" si="39"/>
        <v>0</v>
      </c>
      <c r="G95" s="75">
        <f t="shared" si="39"/>
        <v>0</v>
      </c>
      <c r="H95" s="75">
        <f t="shared" si="39"/>
        <v>0</v>
      </c>
    </row>
    <row r="96" spans="1:8" x14ac:dyDescent="0.2">
      <c r="A96" s="76" t="s">
        <v>1489</v>
      </c>
      <c r="B96" s="76"/>
      <c r="C96" s="70"/>
      <c r="D96" s="70"/>
      <c r="E96" s="70"/>
      <c r="F96" s="70"/>
      <c r="G96" s="70"/>
      <c r="H96" s="70"/>
    </row>
    <row r="97" spans="1:8" x14ac:dyDescent="0.2">
      <c r="A97" s="69" t="s">
        <v>1490</v>
      </c>
      <c r="B97" s="1510"/>
      <c r="C97" s="71"/>
      <c r="D97" s="71"/>
      <c r="E97" s="71">
        <v>89944</v>
      </c>
      <c r="F97" s="71"/>
      <c r="G97" s="71"/>
      <c r="H97" s="71"/>
    </row>
    <row r="98" spans="1:8" x14ac:dyDescent="0.2">
      <c r="A98" s="69"/>
      <c r="B98" s="69"/>
      <c r="C98" s="72"/>
      <c r="D98" s="72"/>
      <c r="E98" s="72"/>
      <c r="F98" s="72"/>
      <c r="G98" s="72"/>
      <c r="H98" s="72"/>
    </row>
    <row r="99" spans="1:8" x14ac:dyDescent="0.2">
      <c r="A99" s="74" t="s">
        <v>204</v>
      </c>
      <c r="B99" s="75">
        <f t="shared" ref="B99" si="40">SUM(B97:B98)</f>
        <v>0</v>
      </c>
      <c r="C99" s="75">
        <f t="shared" ref="C99:H99" si="41">SUM(C97:C98)</f>
        <v>0</v>
      </c>
      <c r="D99" s="75">
        <f t="shared" si="41"/>
        <v>0</v>
      </c>
      <c r="E99" s="75">
        <f t="shared" si="41"/>
        <v>89944</v>
      </c>
      <c r="F99" s="75">
        <f t="shared" si="41"/>
        <v>0</v>
      </c>
      <c r="G99" s="75">
        <f t="shared" si="41"/>
        <v>0</v>
      </c>
      <c r="H99" s="75">
        <f t="shared" si="41"/>
        <v>0</v>
      </c>
    </row>
    <row r="100" spans="1:8" x14ac:dyDescent="0.2">
      <c r="A100" s="76" t="s">
        <v>1491</v>
      </c>
      <c r="B100" s="76"/>
      <c r="C100" s="70"/>
      <c r="D100" s="70"/>
      <c r="E100" s="70"/>
      <c r="F100" s="70"/>
      <c r="G100" s="70"/>
      <c r="H100" s="70"/>
    </row>
    <row r="101" spans="1:8" x14ac:dyDescent="0.2">
      <c r="A101" s="69" t="s">
        <v>1492</v>
      </c>
      <c r="B101" s="1510"/>
      <c r="C101" s="71"/>
      <c r="D101" s="71"/>
      <c r="E101" s="71">
        <v>102047</v>
      </c>
      <c r="F101" s="71"/>
      <c r="G101" s="71"/>
      <c r="H101" s="71"/>
    </row>
    <row r="102" spans="1:8" x14ac:dyDescent="0.2">
      <c r="A102" s="69"/>
      <c r="B102" s="69"/>
      <c r="C102" s="72"/>
      <c r="D102" s="72"/>
      <c r="E102" s="72"/>
      <c r="F102" s="72"/>
      <c r="G102" s="72"/>
      <c r="H102" s="72"/>
    </row>
    <row r="103" spans="1:8" x14ac:dyDescent="0.2">
      <c r="A103" s="74" t="s">
        <v>204</v>
      </c>
      <c r="B103" s="75">
        <f t="shared" ref="B103" si="42">SUM(B101:B102)</f>
        <v>0</v>
      </c>
      <c r="C103" s="75">
        <f t="shared" ref="C103:H103" si="43">SUM(C101:C102)</f>
        <v>0</v>
      </c>
      <c r="D103" s="75">
        <f t="shared" si="43"/>
        <v>0</v>
      </c>
      <c r="E103" s="75">
        <f t="shared" si="43"/>
        <v>102047</v>
      </c>
      <c r="F103" s="75">
        <f t="shared" si="43"/>
        <v>0</v>
      </c>
      <c r="G103" s="75">
        <f t="shared" si="43"/>
        <v>0</v>
      </c>
      <c r="H103" s="75">
        <f t="shared" si="43"/>
        <v>0</v>
      </c>
    </row>
    <row r="104" spans="1:8" x14ac:dyDescent="0.2">
      <c r="A104" s="76" t="s">
        <v>1493</v>
      </c>
      <c r="B104" s="1512"/>
      <c r="C104" s="77"/>
      <c r="D104" s="77"/>
      <c r="E104" s="77"/>
      <c r="F104" s="77"/>
      <c r="G104" s="77"/>
      <c r="H104" s="77"/>
    </row>
    <row r="105" spans="1:8" x14ac:dyDescent="0.2">
      <c r="A105" s="69" t="s">
        <v>1494</v>
      </c>
      <c r="B105" s="1510"/>
      <c r="C105" s="71"/>
      <c r="D105" s="71">
        <v>53027</v>
      </c>
      <c r="E105" s="71"/>
      <c r="F105" s="71"/>
      <c r="G105" s="71"/>
      <c r="H105" s="71"/>
    </row>
    <row r="106" spans="1:8" x14ac:dyDescent="0.2">
      <c r="A106" s="69"/>
      <c r="B106" s="69"/>
      <c r="C106" s="72"/>
      <c r="D106" s="72"/>
      <c r="E106" s="72"/>
      <c r="F106" s="72"/>
      <c r="G106" s="72"/>
      <c r="H106" s="72"/>
    </row>
    <row r="107" spans="1:8" x14ac:dyDescent="0.2">
      <c r="A107" s="74" t="s">
        <v>204</v>
      </c>
      <c r="B107" s="75">
        <f t="shared" ref="B107" si="44">SUM(B105:B106)</f>
        <v>0</v>
      </c>
      <c r="C107" s="75">
        <f t="shared" ref="C107:H107" si="45">SUM(C105:C106)</f>
        <v>0</v>
      </c>
      <c r="D107" s="75">
        <f t="shared" si="45"/>
        <v>53027</v>
      </c>
      <c r="E107" s="75">
        <f t="shared" si="45"/>
        <v>0</v>
      </c>
      <c r="F107" s="75">
        <f t="shared" si="45"/>
        <v>0</v>
      </c>
      <c r="G107" s="75">
        <f t="shared" si="45"/>
        <v>0</v>
      </c>
      <c r="H107" s="75">
        <f t="shared" si="45"/>
        <v>0</v>
      </c>
    </row>
    <row r="108" spans="1:8" x14ac:dyDescent="0.2">
      <c r="A108" s="76" t="s">
        <v>1495</v>
      </c>
      <c r="B108" s="1512"/>
      <c r="C108" s="77"/>
      <c r="D108" s="77"/>
      <c r="E108" s="77"/>
      <c r="F108" s="77"/>
      <c r="G108" s="77"/>
      <c r="H108" s="77"/>
    </row>
    <row r="109" spans="1:8" x14ac:dyDescent="0.2">
      <c r="A109" s="69" t="s">
        <v>1496</v>
      </c>
      <c r="B109" s="1510"/>
      <c r="C109" s="71"/>
      <c r="D109" s="71"/>
      <c r="E109" s="71"/>
      <c r="F109" s="71">
        <v>72206</v>
      </c>
      <c r="G109" s="71"/>
      <c r="H109" s="71"/>
    </row>
    <row r="110" spans="1:8" x14ac:dyDescent="0.2">
      <c r="A110" s="69"/>
      <c r="B110" s="69"/>
      <c r="C110" s="72"/>
      <c r="D110" s="72"/>
      <c r="E110" s="72"/>
      <c r="F110" s="72"/>
      <c r="G110" s="72"/>
      <c r="H110" s="72"/>
    </row>
    <row r="111" spans="1:8" x14ac:dyDescent="0.2">
      <c r="A111" s="74" t="s">
        <v>204</v>
      </c>
      <c r="B111" s="75">
        <f t="shared" ref="B111" si="46">SUM(B109:B110)</f>
        <v>0</v>
      </c>
      <c r="C111" s="75">
        <f t="shared" ref="C111:H111" si="47">SUM(C109:C110)</f>
        <v>0</v>
      </c>
      <c r="D111" s="75">
        <f t="shared" si="47"/>
        <v>0</v>
      </c>
      <c r="E111" s="75">
        <f t="shared" si="47"/>
        <v>0</v>
      </c>
      <c r="F111" s="75">
        <f t="shared" si="47"/>
        <v>72206</v>
      </c>
      <c r="G111" s="75">
        <f t="shared" si="47"/>
        <v>0</v>
      </c>
      <c r="H111" s="75">
        <f t="shared" si="47"/>
        <v>0</v>
      </c>
    </row>
    <row r="112" spans="1:8" x14ac:dyDescent="0.2">
      <c r="A112" s="76" t="s">
        <v>1497</v>
      </c>
      <c r="B112" s="76"/>
      <c r="C112" s="70"/>
      <c r="D112" s="70"/>
      <c r="E112" s="70"/>
      <c r="F112" s="70"/>
      <c r="G112" s="70"/>
      <c r="H112" s="70"/>
    </row>
    <row r="113" spans="1:8" x14ac:dyDescent="0.2">
      <c r="A113" s="69" t="s">
        <v>1498</v>
      </c>
      <c r="B113" s="1510"/>
      <c r="C113" s="71"/>
      <c r="D113" s="71"/>
      <c r="E113" s="71"/>
      <c r="F113" s="71">
        <v>84647</v>
      </c>
      <c r="G113" s="71"/>
      <c r="H113" s="71"/>
    </row>
    <row r="114" spans="1:8" x14ac:dyDescent="0.2">
      <c r="A114" s="69"/>
      <c r="B114" s="69"/>
      <c r="C114" s="72"/>
      <c r="D114" s="72"/>
      <c r="E114" s="72"/>
      <c r="F114" s="72"/>
      <c r="G114" s="72"/>
      <c r="H114" s="72"/>
    </row>
    <row r="115" spans="1:8" x14ac:dyDescent="0.2">
      <c r="A115" s="74" t="s">
        <v>204</v>
      </c>
      <c r="B115" s="75">
        <f t="shared" ref="B115" si="48">SUM(B113:B114)</f>
        <v>0</v>
      </c>
      <c r="C115" s="75">
        <f t="shared" ref="C115:H115" si="49">SUM(C113:C114)</f>
        <v>0</v>
      </c>
      <c r="D115" s="75">
        <f t="shared" si="49"/>
        <v>0</v>
      </c>
      <c r="E115" s="75">
        <f t="shared" si="49"/>
        <v>0</v>
      </c>
      <c r="F115" s="75">
        <f t="shared" si="49"/>
        <v>84647</v>
      </c>
      <c r="G115" s="75">
        <f t="shared" si="49"/>
        <v>0</v>
      </c>
      <c r="H115" s="75">
        <f t="shared" si="49"/>
        <v>0</v>
      </c>
    </row>
    <row r="116" spans="1:8" x14ac:dyDescent="0.2">
      <c r="A116" s="76" t="s">
        <v>1499</v>
      </c>
      <c r="B116" s="76"/>
      <c r="C116" s="70"/>
      <c r="D116" s="70"/>
      <c r="E116" s="70"/>
      <c r="F116" s="70"/>
      <c r="G116" s="70"/>
      <c r="H116" s="70"/>
    </row>
    <row r="117" spans="1:8" x14ac:dyDescent="0.2">
      <c r="A117" s="69" t="s">
        <v>1500</v>
      </c>
      <c r="B117" s="1510"/>
      <c r="C117" s="71"/>
      <c r="D117" s="71"/>
      <c r="E117" s="71"/>
      <c r="F117" s="71">
        <v>72916</v>
      </c>
      <c r="G117" s="71"/>
      <c r="H117" s="71"/>
    </row>
    <row r="118" spans="1:8" x14ac:dyDescent="0.2">
      <c r="A118" s="69"/>
      <c r="B118" s="69"/>
      <c r="C118" s="72"/>
      <c r="D118" s="72"/>
      <c r="E118" s="72"/>
      <c r="F118" s="72"/>
      <c r="G118" s="72"/>
      <c r="H118" s="72"/>
    </row>
    <row r="119" spans="1:8" x14ac:dyDescent="0.2">
      <c r="A119" s="74" t="s">
        <v>204</v>
      </c>
      <c r="B119" s="75">
        <f t="shared" ref="B119" si="50">SUM(B117:B118)</f>
        <v>0</v>
      </c>
      <c r="C119" s="75">
        <f t="shared" ref="C119:H119" si="51">SUM(C117:C118)</f>
        <v>0</v>
      </c>
      <c r="D119" s="75">
        <f t="shared" si="51"/>
        <v>0</v>
      </c>
      <c r="E119" s="75">
        <f t="shared" si="51"/>
        <v>0</v>
      </c>
      <c r="F119" s="75">
        <f t="shared" si="51"/>
        <v>72916</v>
      </c>
      <c r="G119" s="75">
        <f t="shared" si="51"/>
        <v>0</v>
      </c>
      <c r="H119" s="75">
        <f t="shared" si="51"/>
        <v>0</v>
      </c>
    </row>
    <row r="120" spans="1:8" x14ac:dyDescent="0.2">
      <c r="A120" s="76" t="s">
        <v>1501</v>
      </c>
      <c r="B120" s="1512"/>
      <c r="C120" s="77"/>
      <c r="D120" s="77"/>
      <c r="E120" s="77"/>
      <c r="F120" s="77"/>
      <c r="G120" s="77"/>
      <c r="H120" s="77"/>
    </row>
    <row r="121" spans="1:8" x14ac:dyDescent="0.2">
      <c r="A121" s="69" t="s">
        <v>1502</v>
      </c>
      <c r="B121" s="1510"/>
      <c r="C121" s="71"/>
      <c r="D121" s="71"/>
      <c r="E121" s="71"/>
      <c r="F121" s="71"/>
      <c r="G121" s="71">
        <v>50972</v>
      </c>
      <c r="H121" s="71"/>
    </row>
    <row r="122" spans="1:8" x14ac:dyDescent="0.2">
      <c r="A122" s="69"/>
      <c r="B122" s="69"/>
      <c r="C122" s="72"/>
      <c r="D122" s="72"/>
      <c r="E122" s="72"/>
      <c r="F122" s="72"/>
      <c r="G122" s="72"/>
      <c r="H122" s="72"/>
    </row>
    <row r="123" spans="1:8" x14ac:dyDescent="0.2">
      <c r="A123" s="74" t="s">
        <v>204</v>
      </c>
      <c r="B123" s="75">
        <f t="shared" ref="B123" si="52">SUM(B121:B122)</f>
        <v>0</v>
      </c>
      <c r="C123" s="75">
        <f t="shared" ref="C123:H123" si="53">SUM(C121:C122)</f>
        <v>0</v>
      </c>
      <c r="D123" s="75">
        <f t="shared" si="53"/>
        <v>0</v>
      </c>
      <c r="E123" s="75">
        <f t="shared" si="53"/>
        <v>0</v>
      </c>
      <c r="F123" s="75">
        <f t="shared" si="53"/>
        <v>0</v>
      </c>
      <c r="G123" s="75">
        <f t="shared" si="53"/>
        <v>50972</v>
      </c>
      <c r="H123" s="75">
        <f t="shared" si="53"/>
        <v>0</v>
      </c>
    </row>
    <row r="124" spans="1:8" x14ac:dyDescent="0.2">
      <c r="A124" s="76" t="s">
        <v>1503</v>
      </c>
      <c r="B124" s="76"/>
      <c r="C124" s="70"/>
      <c r="D124" s="70"/>
      <c r="E124" s="70"/>
      <c r="F124" s="70"/>
      <c r="G124" s="70"/>
      <c r="H124" s="70"/>
    </row>
    <row r="125" spans="1:8" x14ac:dyDescent="0.2">
      <c r="A125" s="69" t="s">
        <v>1504</v>
      </c>
      <c r="B125" s="1510"/>
      <c r="C125" s="71"/>
      <c r="D125" s="71"/>
      <c r="E125" s="71"/>
      <c r="F125" s="71"/>
      <c r="G125" s="71">
        <v>51816</v>
      </c>
      <c r="H125" s="71"/>
    </row>
    <row r="126" spans="1:8" x14ac:dyDescent="0.2">
      <c r="A126" s="69"/>
      <c r="B126" s="69"/>
      <c r="C126" s="72"/>
      <c r="D126" s="72"/>
      <c r="E126" s="72"/>
      <c r="F126" s="72"/>
      <c r="G126" s="72"/>
      <c r="H126" s="72"/>
    </row>
    <row r="127" spans="1:8" x14ac:dyDescent="0.2">
      <c r="A127" s="74" t="s">
        <v>204</v>
      </c>
      <c r="B127" s="75">
        <f t="shared" ref="B127" si="54">SUM(B125:B126)</f>
        <v>0</v>
      </c>
      <c r="C127" s="75">
        <f t="shared" ref="C127:H127" si="55">SUM(C125:C126)</f>
        <v>0</v>
      </c>
      <c r="D127" s="75">
        <f t="shared" si="55"/>
        <v>0</v>
      </c>
      <c r="E127" s="75">
        <f t="shared" si="55"/>
        <v>0</v>
      </c>
      <c r="F127" s="75">
        <f t="shared" si="55"/>
        <v>0</v>
      </c>
      <c r="G127" s="75">
        <f t="shared" si="55"/>
        <v>51816</v>
      </c>
      <c r="H127" s="75">
        <f t="shared" si="55"/>
        <v>0</v>
      </c>
    </row>
    <row r="128" spans="1:8" x14ac:dyDescent="0.2">
      <c r="A128" s="76" t="s">
        <v>1505</v>
      </c>
      <c r="B128" s="76"/>
      <c r="C128" s="70"/>
      <c r="D128" s="70"/>
      <c r="E128" s="70"/>
      <c r="F128" s="70"/>
      <c r="G128" s="70"/>
      <c r="H128" s="70"/>
    </row>
    <row r="129" spans="1:8" x14ac:dyDescent="0.2">
      <c r="A129" s="69" t="s">
        <v>1506</v>
      </c>
      <c r="B129" s="1510"/>
      <c r="C129" s="71"/>
      <c r="D129" s="71"/>
      <c r="E129" s="71"/>
      <c r="F129" s="71"/>
      <c r="G129" s="71">
        <v>169043</v>
      </c>
      <c r="H129" s="71"/>
    </row>
    <row r="130" spans="1:8" x14ac:dyDescent="0.2">
      <c r="A130" s="69"/>
      <c r="B130" s="69"/>
      <c r="C130" s="72"/>
      <c r="D130" s="72"/>
      <c r="E130" s="72"/>
      <c r="F130" s="72"/>
      <c r="G130" s="72"/>
      <c r="H130" s="72"/>
    </row>
    <row r="131" spans="1:8" x14ac:dyDescent="0.2">
      <c r="A131" s="74" t="s">
        <v>204</v>
      </c>
      <c r="B131" s="75">
        <f t="shared" ref="B131" si="56">SUM(B129:B130)</f>
        <v>0</v>
      </c>
      <c r="C131" s="75">
        <f t="shared" ref="C131:H131" si="57">SUM(C129:C130)</f>
        <v>0</v>
      </c>
      <c r="D131" s="75">
        <f t="shared" si="57"/>
        <v>0</v>
      </c>
      <c r="E131" s="75">
        <f t="shared" si="57"/>
        <v>0</v>
      </c>
      <c r="F131" s="75">
        <f t="shared" si="57"/>
        <v>0</v>
      </c>
      <c r="G131" s="75">
        <f t="shared" si="57"/>
        <v>169043</v>
      </c>
      <c r="H131" s="75">
        <f t="shared" si="57"/>
        <v>0</v>
      </c>
    </row>
    <row r="132" spans="1:8" x14ac:dyDescent="0.2">
      <c r="A132" s="76" t="s">
        <v>1507</v>
      </c>
      <c r="B132" s="1512"/>
      <c r="C132" s="77"/>
      <c r="D132" s="77"/>
      <c r="E132" s="77"/>
      <c r="F132" s="77"/>
      <c r="G132" s="77"/>
      <c r="H132" s="77"/>
    </row>
    <row r="133" spans="1:8" x14ac:dyDescent="0.2">
      <c r="A133" s="69" t="s">
        <v>1508</v>
      </c>
      <c r="B133" s="1510"/>
      <c r="C133" s="71"/>
      <c r="D133" s="71"/>
      <c r="E133" s="71"/>
      <c r="F133" s="71"/>
      <c r="G133" s="71">
        <v>84853</v>
      </c>
      <c r="H133" s="71"/>
    </row>
    <row r="134" spans="1:8" x14ac:dyDescent="0.2">
      <c r="A134" s="69"/>
      <c r="B134" s="69"/>
      <c r="C134" s="72"/>
      <c r="D134" s="72"/>
      <c r="E134" s="72"/>
      <c r="F134" s="72"/>
      <c r="G134" s="72"/>
      <c r="H134" s="72"/>
    </row>
    <row r="135" spans="1:8" x14ac:dyDescent="0.2">
      <c r="A135" s="74" t="s">
        <v>204</v>
      </c>
      <c r="B135" s="75">
        <f t="shared" ref="B135" si="58">SUM(B133:B134)</f>
        <v>0</v>
      </c>
      <c r="C135" s="75">
        <f t="shared" ref="C135:H135" si="59">SUM(C133:C134)</f>
        <v>0</v>
      </c>
      <c r="D135" s="75">
        <f t="shared" si="59"/>
        <v>0</v>
      </c>
      <c r="E135" s="75">
        <f t="shared" si="59"/>
        <v>0</v>
      </c>
      <c r="F135" s="75">
        <f t="shared" si="59"/>
        <v>0</v>
      </c>
      <c r="G135" s="75">
        <f t="shared" si="59"/>
        <v>84853</v>
      </c>
      <c r="H135" s="75">
        <f t="shared" si="59"/>
        <v>0</v>
      </c>
    </row>
    <row r="136" spans="1:8" x14ac:dyDescent="0.2">
      <c r="A136" s="76" t="s">
        <v>1509</v>
      </c>
      <c r="B136" s="1512"/>
      <c r="C136" s="77"/>
      <c r="D136" s="77"/>
      <c r="E136" s="77"/>
      <c r="F136" s="77"/>
      <c r="G136" s="77"/>
      <c r="H136" s="77"/>
    </row>
    <row r="137" spans="1:8" x14ac:dyDescent="0.2">
      <c r="A137" s="69" t="s">
        <v>1510</v>
      </c>
      <c r="B137" s="1510"/>
      <c r="C137" s="71"/>
      <c r="D137" s="71"/>
      <c r="E137" s="71"/>
      <c r="F137" s="71"/>
      <c r="G137" s="71">
        <v>79796</v>
      </c>
      <c r="H137" s="71"/>
    </row>
    <row r="138" spans="1:8" x14ac:dyDescent="0.2">
      <c r="A138" s="69"/>
      <c r="B138" s="69"/>
      <c r="C138" s="72"/>
      <c r="D138" s="72"/>
      <c r="E138" s="72"/>
      <c r="F138" s="72"/>
      <c r="G138" s="72"/>
      <c r="H138" s="72"/>
    </row>
    <row r="139" spans="1:8" x14ac:dyDescent="0.2">
      <c r="A139" s="74" t="s">
        <v>204</v>
      </c>
      <c r="B139" s="74"/>
      <c r="C139" s="75">
        <f t="shared" ref="C139:H139" si="60">SUM(C137:C138)</f>
        <v>0</v>
      </c>
      <c r="D139" s="75">
        <f t="shared" si="60"/>
        <v>0</v>
      </c>
      <c r="E139" s="75">
        <f t="shared" si="60"/>
        <v>0</v>
      </c>
      <c r="F139" s="75">
        <f t="shared" si="60"/>
        <v>0</v>
      </c>
      <c r="G139" s="75">
        <f t="shared" si="60"/>
        <v>79796</v>
      </c>
      <c r="H139" s="75">
        <f t="shared" si="60"/>
        <v>0</v>
      </c>
    </row>
    <row r="140" spans="1:8" x14ac:dyDescent="0.2">
      <c r="A140" s="76" t="s">
        <v>1511</v>
      </c>
      <c r="B140" s="76"/>
      <c r="C140" s="70"/>
      <c r="D140" s="70"/>
      <c r="E140" s="70"/>
      <c r="F140" s="70"/>
      <c r="G140" s="70"/>
      <c r="H140" s="70"/>
    </row>
    <row r="141" spans="1:8" x14ac:dyDescent="0.2">
      <c r="A141" s="69" t="s">
        <v>1512</v>
      </c>
      <c r="B141" s="1510"/>
      <c r="C141" s="71"/>
      <c r="D141" s="71"/>
      <c r="E141" s="71"/>
      <c r="F141" s="71"/>
      <c r="G141" s="71">
        <v>111183</v>
      </c>
      <c r="H141" s="71"/>
    </row>
    <row r="142" spans="1:8" x14ac:dyDescent="0.2">
      <c r="A142" s="69"/>
      <c r="B142" s="69"/>
      <c r="C142" s="72"/>
      <c r="D142" s="72"/>
      <c r="E142" s="72"/>
      <c r="F142" s="72"/>
      <c r="G142" s="72"/>
      <c r="H142" s="72"/>
    </row>
    <row r="143" spans="1:8" x14ac:dyDescent="0.2">
      <c r="A143" s="74" t="s">
        <v>204</v>
      </c>
      <c r="B143" s="74"/>
      <c r="C143" s="75">
        <f t="shared" ref="C143:H143" si="61">SUM(C141:C142)</f>
        <v>0</v>
      </c>
      <c r="D143" s="75">
        <f t="shared" si="61"/>
        <v>0</v>
      </c>
      <c r="E143" s="75">
        <f t="shared" si="61"/>
        <v>0</v>
      </c>
      <c r="F143" s="75">
        <f t="shared" si="61"/>
        <v>0</v>
      </c>
      <c r="G143" s="75">
        <f t="shared" si="61"/>
        <v>111183</v>
      </c>
      <c r="H143" s="75">
        <f t="shared" si="61"/>
        <v>0</v>
      </c>
    </row>
    <row r="144" spans="1:8" x14ac:dyDescent="0.2">
      <c r="A144" s="76" t="s">
        <v>1513</v>
      </c>
      <c r="B144" s="76"/>
      <c r="C144" s="70"/>
      <c r="D144" s="70"/>
      <c r="E144" s="70"/>
      <c r="F144" s="70"/>
      <c r="G144" s="70"/>
      <c r="H144" s="70"/>
    </row>
    <row r="145" spans="1:8" x14ac:dyDescent="0.2">
      <c r="A145" s="69" t="s">
        <v>1514</v>
      </c>
      <c r="B145" s="1510"/>
      <c r="C145" s="71"/>
      <c r="D145" s="71"/>
      <c r="E145" s="71"/>
      <c r="F145" s="71"/>
      <c r="G145" s="71">
        <v>86309</v>
      </c>
      <c r="H145" s="71"/>
    </row>
    <row r="146" spans="1:8" x14ac:dyDescent="0.2">
      <c r="A146" s="69"/>
      <c r="B146" s="69"/>
      <c r="C146" s="72"/>
      <c r="D146" s="72"/>
      <c r="E146" s="72"/>
      <c r="F146" s="72"/>
      <c r="G146" s="72"/>
      <c r="H146" s="72"/>
    </row>
    <row r="147" spans="1:8" x14ac:dyDescent="0.2">
      <c r="A147" s="74" t="s">
        <v>204</v>
      </c>
      <c r="B147" s="74"/>
      <c r="C147" s="75">
        <f t="shared" ref="C147:H147" si="62">SUM(C145:C146)</f>
        <v>0</v>
      </c>
      <c r="D147" s="75">
        <f t="shared" si="62"/>
        <v>0</v>
      </c>
      <c r="E147" s="75">
        <f t="shared" si="62"/>
        <v>0</v>
      </c>
      <c r="F147" s="75">
        <f t="shared" si="62"/>
        <v>0</v>
      </c>
      <c r="G147" s="75">
        <f t="shared" si="62"/>
        <v>86309</v>
      </c>
      <c r="H147" s="75">
        <f t="shared" si="62"/>
        <v>0</v>
      </c>
    </row>
    <row r="148" spans="1:8" x14ac:dyDescent="0.2">
      <c r="A148" s="76" t="s">
        <v>1515</v>
      </c>
      <c r="B148" s="1512"/>
      <c r="C148" s="77"/>
      <c r="D148" s="77"/>
      <c r="E148" s="77"/>
      <c r="F148" s="77"/>
      <c r="G148" s="77"/>
      <c r="H148" s="77"/>
    </row>
    <row r="149" spans="1:8" x14ac:dyDescent="0.2">
      <c r="A149" s="69" t="s">
        <v>1516</v>
      </c>
      <c r="B149" s="1510"/>
      <c r="C149" s="71"/>
      <c r="D149" s="71"/>
      <c r="E149" s="71"/>
      <c r="F149" s="71">
        <v>366021</v>
      </c>
      <c r="G149" s="71"/>
      <c r="H149" s="71"/>
    </row>
    <row r="150" spans="1:8" x14ac:dyDescent="0.2">
      <c r="A150" s="69"/>
      <c r="B150" s="69"/>
      <c r="C150" s="72"/>
      <c r="D150" s="72"/>
      <c r="E150" s="72"/>
      <c r="F150" s="72"/>
      <c r="G150" s="72"/>
      <c r="H150" s="72"/>
    </row>
    <row r="151" spans="1:8" x14ac:dyDescent="0.2">
      <c r="A151" s="74" t="s">
        <v>204</v>
      </c>
      <c r="B151" s="74"/>
      <c r="C151" s="75">
        <f t="shared" ref="C151:H151" si="63">SUM(C149:C150)</f>
        <v>0</v>
      </c>
      <c r="D151" s="75">
        <f t="shared" si="63"/>
        <v>0</v>
      </c>
      <c r="E151" s="75">
        <f t="shared" si="63"/>
        <v>0</v>
      </c>
      <c r="F151" s="75">
        <f t="shared" si="63"/>
        <v>366021</v>
      </c>
      <c r="G151" s="75">
        <f t="shared" si="63"/>
        <v>0</v>
      </c>
      <c r="H151" s="75">
        <f t="shared" si="63"/>
        <v>0</v>
      </c>
    </row>
    <row r="152" spans="1:8" x14ac:dyDescent="0.2">
      <c r="A152" s="76" t="s">
        <v>1517</v>
      </c>
      <c r="B152" s="76"/>
      <c r="C152" s="70"/>
      <c r="D152" s="70"/>
      <c r="E152" s="70"/>
      <c r="F152" s="70"/>
      <c r="G152" s="70"/>
      <c r="H152" s="70"/>
    </row>
    <row r="153" spans="1:8" x14ac:dyDescent="0.2">
      <c r="A153" s="69" t="s">
        <v>1518</v>
      </c>
      <c r="B153" s="1510"/>
      <c r="C153" s="71">
        <v>72965</v>
      </c>
      <c r="D153" s="71">
        <v>91490</v>
      </c>
      <c r="E153" s="71">
        <v>96768</v>
      </c>
      <c r="F153" s="71">
        <v>98936</v>
      </c>
      <c r="G153" s="71">
        <v>128000</v>
      </c>
      <c r="H153" s="71">
        <v>59000</v>
      </c>
    </row>
    <row r="154" spans="1:8" x14ac:dyDescent="0.2">
      <c r="A154" s="69"/>
      <c r="B154" s="69"/>
      <c r="C154" s="72"/>
      <c r="D154" s="72"/>
      <c r="E154" s="72"/>
      <c r="F154" s="72"/>
      <c r="G154" s="72"/>
      <c r="H154" s="72"/>
    </row>
    <row r="155" spans="1:8" x14ac:dyDescent="0.2">
      <c r="A155" s="74" t="s">
        <v>204</v>
      </c>
      <c r="B155" s="74"/>
      <c r="C155" s="75">
        <f t="shared" ref="C155:H155" si="64">SUM(C153:C154)</f>
        <v>72965</v>
      </c>
      <c r="D155" s="75">
        <f t="shared" si="64"/>
        <v>91490</v>
      </c>
      <c r="E155" s="75">
        <f t="shared" si="64"/>
        <v>96768</v>
      </c>
      <c r="F155" s="75">
        <f t="shared" si="64"/>
        <v>98936</v>
      </c>
      <c r="G155" s="75">
        <f t="shared" si="64"/>
        <v>128000</v>
      </c>
      <c r="H155" s="75">
        <f t="shared" si="64"/>
        <v>59000</v>
      </c>
    </row>
    <row r="156" spans="1:8" x14ac:dyDescent="0.2">
      <c r="A156" s="76" t="s">
        <v>1519</v>
      </c>
      <c r="B156" s="76"/>
      <c r="C156" s="70"/>
      <c r="D156" s="70"/>
      <c r="E156" s="70"/>
      <c r="F156" s="70"/>
      <c r="G156" s="70"/>
      <c r="H156" s="70"/>
    </row>
    <row r="157" spans="1:8" x14ac:dyDescent="0.2">
      <c r="A157" s="69" t="s">
        <v>1520</v>
      </c>
      <c r="B157" s="1510"/>
      <c r="C157" s="71"/>
      <c r="D157" s="71"/>
      <c r="E157" s="71"/>
      <c r="F157" s="71"/>
      <c r="G157" s="71"/>
      <c r="H157" s="71">
        <v>445000</v>
      </c>
    </row>
    <row r="158" spans="1:8" x14ac:dyDescent="0.2">
      <c r="A158" s="69"/>
      <c r="B158" s="69"/>
      <c r="C158" s="72"/>
      <c r="D158" s="72"/>
      <c r="E158" s="72"/>
      <c r="F158" s="72"/>
      <c r="G158" s="72"/>
      <c r="H158" s="72"/>
    </row>
    <row r="159" spans="1:8" x14ac:dyDescent="0.2">
      <c r="A159" s="74" t="s">
        <v>204</v>
      </c>
      <c r="B159" s="74"/>
      <c r="C159" s="75">
        <f t="shared" ref="C159:H159" si="65">SUM(C157:C158)</f>
        <v>0</v>
      </c>
      <c r="D159" s="75">
        <f t="shared" si="65"/>
        <v>0</v>
      </c>
      <c r="E159" s="75">
        <f t="shared" si="65"/>
        <v>0</v>
      </c>
      <c r="F159" s="75">
        <f t="shared" si="65"/>
        <v>0</v>
      </c>
      <c r="G159" s="75">
        <f t="shared" si="65"/>
        <v>0</v>
      </c>
      <c r="H159" s="75">
        <f t="shared" si="65"/>
        <v>445000</v>
      </c>
    </row>
    <row r="160" spans="1:8" x14ac:dyDescent="0.2">
      <c r="A160" s="76" t="s">
        <v>1521</v>
      </c>
      <c r="B160" s="1512"/>
      <c r="C160" s="77"/>
      <c r="D160" s="77"/>
      <c r="E160" s="77"/>
      <c r="F160" s="77"/>
      <c r="G160" s="77"/>
      <c r="H160" s="77"/>
    </row>
    <row r="161" spans="1:10" x14ac:dyDescent="0.2">
      <c r="A161" s="69" t="s">
        <v>1522</v>
      </c>
      <c r="B161" s="1510"/>
      <c r="C161" s="71"/>
      <c r="D161" s="71"/>
      <c r="E161" s="71"/>
      <c r="F161" s="71"/>
      <c r="G161" s="71">
        <v>43375</v>
      </c>
      <c r="H161" s="71"/>
    </row>
    <row r="162" spans="1:10" x14ac:dyDescent="0.2">
      <c r="A162" s="69"/>
      <c r="B162" s="69"/>
      <c r="C162" s="72"/>
      <c r="D162" s="72"/>
      <c r="E162" s="72"/>
      <c r="F162" s="72"/>
      <c r="G162" s="72"/>
      <c r="H162" s="72"/>
    </row>
    <row r="163" spans="1:10" x14ac:dyDescent="0.2">
      <c r="A163" s="74" t="s">
        <v>204</v>
      </c>
      <c r="B163" s="74"/>
      <c r="C163" s="75">
        <f t="shared" ref="C163:H163" si="66">SUM(C161:C162)</f>
        <v>0</v>
      </c>
      <c r="D163" s="75">
        <f t="shared" si="66"/>
        <v>0</v>
      </c>
      <c r="E163" s="75">
        <f t="shared" si="66"/>
        <v>0</v>
      </c>
      <c r="F163" s="75">
        <f t="shared" si="66"/>
        <v>0</v>
      </c>
      <c r="G163" s="75">
        <f t="shared" si="66"/>
        <v>43375</v>
      </c>
      <c r="H163" s="75">
        <f t="shared" si="66"/>
        <v>0</v>
      </c>
    </row>
    <row r="164" spans="1:10" x14ac:dyDescent="0.2">
      <c r="A164" s="76" t="s">
        <v>1523</v>
      </c>
      <c r="B164" s="1512"/>
      <c r="C164" s="77"/>
      <c r="D164" s="77"/>
      <c r="E164" s="77"/>
      <c r="F164" s="77"/>
      <c r="G164" s="77"/>
      <c r="H164" s="77"/>
    </row>
    <row r="165" spans="1:10" x14ac:dyDescent="0.2">
      <c r="A165" s="69" t="s">
        <v>1524</v>
      </c>
      <c r="B165" s="1510"/>
      <c r="C165" s="71"/>
      <c r="D165" s="71"/>
      <c r="E165" s="71"/>
      <c r="F165" s="71"/>
      <c r="G165" s="71"/>
      <c r="H165" s="71">
        <v>501210</v>
      </c>
    </row>
    <row r="166" spans="1:10" x14ac:dyDescent="0.2">
      <c r="A166" s="69"/>
      <c r="B166" s="1515">
        <v>171620</v>
      </c>
      <c r="C166" s="72"/>
      <c r="D166" s="72"/>
      <c r="E166" s="72"/>
      <c r="F166" s="72"/>
      <c r="G166" s="72"/>
      <c r="H166" s="72"/>
    </row>
    <row r="167" spans="1:10" x14ac:dyDescent="0.2">
      <c r="A167" s="74" t="s">
        <v>204</v>
      </c>
      <c r="B167" s="74"/>
      <c r="C167" s="75">
        <f t="shared" ref="C167:H167" si="67">SUM(C165:C166)</f>
        <v>0</v>
      </c>
      <c r="D167" s="75">
        <f t="shared" si="67"/>
        <v>0</v>
      </c>
      <c r="E167" s="75">
        <f t="shared" si="67"/>
        <v>0</v>
      </c>
      <c r="F167" s="75">
        <f t="shared" si="67"/>
        <v>0</v>
      </c>
      <c r="G167" s="75">
        <f t="shared" si="67"/>
        <v>0</v>
      </c>
      <c r="H167" s="75">
        <f t="shared" si="67"/>
        <v>501210</v>
      </c>
    </row>
    <row r="168" spans="1:10" ht="13.5" thickBot="1" x14ac:dyDescent="0.25">
      <c r="A168" s="76" t="s">
        <v>199</v>
      </c>
      <c r="B168" s="1516">
        <v>165955</v>
      </c>
      <c r="C168" s="72">
        <v>11101</v>
      </c>
      <c r="D168" s="72">
        <v>52779</v>
      </c>
      <c r="E168" s="72">
        <v>64843</v>
      </c>
      <c r="F168" s="72">
        <v>39655</v>
      </c>
      <c r="G168" s="72">
        <v>281606</v>
      </c>
      <c r="H168" s="72">
        <v>46500</v>
      </c>
    </row>
    <row r="169" spans="1:10" ht="14.25" thickTop="1" thickBot="1" x14ac:dyDescent="0.25">
      <c r="A169" s="78" t="s">
        <v>295</v>
      </c>
      <c r="B169" s="79">
        <f>SUM(B19+B23+B27+B31+B35+B39+B43+B47+B51+B55+B59+B63+B67+B71+B75+B79+B83+B87+B91+B95+B99+B103+B107+B111+B115+B119+B123+B127+B131+B135+B139+B143+B147+B151+B155+B159+B163+B166+B167+B168)</f>
        <v>1187103</v>
      </c>
      <c r="C169" s="79">
        <f>SUM(C19+C23+C27+C31+C35+C39+C43+C47+C51+C55+C59+C63+C67+C71+C75+C79+C83+C87+C91+C95+C99+C103+C107+C111+C115+C119+C123+C127+C131+C135+C139+C143+C147+C151+C155+C159+C163+C167+C168)</f>
        <v>784614</v>
      </c>
      <c r="D169" s="79">
        <f t="shared" ref="D169:H169" si="68">SUM(D19+D23+D27+D31+D35+D39+D43+D47+D51+D55+D59+D63+D67+D71+D75+D79+D83+D87+D91+D95+D99+D103+D107+D111+D115+D119+D123+D127+D131+D135+D139+D143+D147+D151+D155+D159+D163+D167+D168)</f>
        <v>1478886</v>
      </c>
      <c r="E169" s="79">
        <f t="shared" si="68"/>
        <v>986178</v>
      </c>
      <c r="F169" s="79">
        <f t="shared" si="68"/>
        <v>1328020</v>
      </c>
      <c r="G169" s="79">
        <f t="shared" si="68"/>
        <v>1479500</v>
      </c>
      <c r="H169" s="79">
        <f t="shared" si="68"/>
        <v>1313503</v>
      </c>
    </row>
    <row r="170" spans="1:10" ht="51.75" thickBot="1" x14ac:dyDescent="0.25">
      <c r="A170" s="80" t="s">
        <v>998</v>
      </c>
      <c r="B170" s="80"/>
      <c r="C170" s="72"/>
      <c r="D170" s="72"/>
      <c r="E170" s="72"/>
      <c r="F170" s="72"/>
      <c r="G170" s="72"/>
      <c r="H170" s="72"/>
    </row>
    <row r="171" spans="1:10" ht="14.25" thickTop="1" thickBot="1" x14ac:dyDescent="0.25">
      <c r="A171" s="81" t="s">
        <v>295</v>
      </c>
      <c r="B171" s="79">
        <f t="shared" ref="B171" si="69">B169+B170</f>
        <v>1187103</v>
      </c>
      <c r="C171" s="79">
        <f t="shared" ref="C171:H171" si="70">C169+C170</f>
        <v>784614</v>
      </c>
      <c r="D171" s="79">
        <f t="shared" si="70"/>
        <v>1478886</v>
      </c>
      <c r="E171" s="79">
        <f t="shared" si="70"/>
        <v>986178</v>
      </c>
      <c r="F171" s="79">
        <f t="shared" si="70"/>
        <v>1328020</v>
      </c>
      <c r="G171" s="79">
        <f t="shared" si="70"/>
        <v>1479500</v>
      </c>
      <c r="H171" s="79">
        <f t="shared" si="70"/>
        <v>1313503</v>
      </c>
    </row>
    <row r="173" spans="1:10" x14ac:dyDescent="0.2">
      <c r="A173" s="82" t="s">
        <v>11</v>
      </c>
      <c r="B173" s="82"/>
      <c r="H173" s="83"/>
    </row>
    <row r="175" spans="1:10" ht="27.75" customHeight="1" x14ac:dyDescent="0.2">
      <c r="A175" s="1556" t="s">
        <v>482</v>
      </c>
      <c r="B175" s="1556"/>
      <c r="C175" s="1557"/>
      <c r="D175" s="1557"/>
      <c r="E175" s="1557"/>
      <c r="F175" s="1557"/>
      <c r="G175" s="1557"/>
      <c r="H175" s="1557"/>
      <c r="I175" s="1557"/>
    </row>
    <row r="176" spans="1:10" ht="28.5" customHeight="1" x14ac:dyDescent="0.2">
      <c r="A176" s="1556" t="s">
        <v>909</v>
      </c>
      <c r="B176" s="1556"/>
      <c r="C176" s="1557"/>
      <c r="D176" s="1557"/>
      <c r="E176" s="1557"/>
      <c r="F176" s="1557"/>
      <c r="G176" s="1557"/>
      <c r="H176" s="1557"/>
      <c r="I176" s="1557"/>
      <c r="J176" s="1043"/>
    </row>
    <row r="177" spans="1:10" ht="27" customHeight="1" x14ac:dyDescent="0.2">
      <c r="A177" s="1556"/>
      <c r="B177" s="1556"/>
      <c r="C177" s="1557"/>
      <c r="D177" s="1557"/>
      <c r="E177" s="1557"/>
      <c r="F177" s="1557"/>
      <c r="G177" s="1557"/>
      <c r="H177" s="1557"/>
      <c r="I177" s="1557"/>
    </row>
    <row r="179" spans="1:10" x14ac:dyDescent="0.2">
      <c r="A179" s="1554"/>
      <c r="B179" s="1554"/>
      <c r="C179" s="1554"/>
      <c r="D179" s="1554"/>
      <c r="E179" s="1554"/>
      <c r="F179" s="1554"/>
      <c r="G179" s="1554"/>
      <c r="H179" s="1554"/>
      <c r="I179" s="1554"/>
      <c r="J179" s="1554"/>
    </row>
    <row r="180" spans="1:10" x14ac:dyDescent="0.2">
      <c r="A180" s="1554"/>
      <c r="B180" s="1554"/>
      <c r="C180" s="1554"/>
      <c r="D180" s="1554"/>
      <c r="E180" s="1554"/>
      <c r="F180" s="1554"/>
      <c r="G180" s="1554"/>
      <c r="H180" s="1554"/>
      <c r="I180" s="1554"/>
      <c r="J180" s="1554"/>
    </row>
    <row r="182" spans="1:10" x14ac:dyDescent="0.2">
      <c r="A182" s="60"/>
      <c r="B182" s="60"/>
    </row>
  </sheetData>
  <mergeCells count="7">
    <mergeCell ref="A12:I12"/>
    <mergeCell ref="A179:J180"/>
    <mergeCell ref="A10:I10"/>
    <mergeCell ref="A9:I9"/>
    <mergeCell ref="A175:I175"/>
    <mergeCell ref="A177:I177"/>
    <mergeCell ref="A176:I176"/>
  </mergeCells>
  <phoneticPr fontId="16" type="noConversion"/>
  <dataValidations disablePrompts="1" count="1">
    <dataValidation type="list" allowBlank="1" showInputMessage="1" showErrorMessage="1" sqref="C14:H14">
      <formula1>"CGAAP, MIFRS, USGAAP, ASPE"</formula1>
    </dataValidation>
  </dataValidations>
  <pageMargins left="0.75" right="0.75" top="1" bottom="1" header="0.5" footer="0.5"/>
  <pageSetup scale="2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tabColor rgb="FF00B0F0"/>
  </sheetPr>
  <dimension ref="A1:U37"/>
  <sheetViews>
    <sheetView showGridLines="0" topLeftCell="D1" zoomScale="85" zoomScaleNormal="85" workbookViewId="0">
      <selection activeCell="K21" sqref="K21:U21"/>
    </sheetView>
  </sheetViews>
  <sheetFormatPr defaultRowHeight="12.75" x14ac:dyDescent="0.2"/>
  <cols>
    <col min="1" max="1" width="28.140625" style="43" customWidth="1"/>
    <col min="2" max="2" width="10.28515625" style="43" bestFit="1" customWidth="1"/>
    <col min="3" max="3" width="9.7109375" style="43" bestFit="1" customWidth="1"/>
    <col min="4" max="4" width="9.140625" style="43"/>
    <col min="5" max="6" width="10.28515625" style="43" bestFit="1" customWidth="1"/>
    <col min="7" max="7" width="12.7109375" style="43" bestFit="1" customWidth="1"/>
    <col min="8" max="8" width="13.140625" style="43" customWidth="1"/>
    <col min="9" max="9" width="9.7109375" style="43" bestFit="1" customWidth="1"/>
    <col min="10" max="10" width="9.140625" style="43"/>
    <col min="11" max="11" width="10.28515625" style="43" bestFit="1" customWidth="1"/>
    <col min="12" max="12" width="11.28515625" style="43" bestFit="1" customWidth="1"/>
    <col min="13" max="13" width="9.140625" style="43"/>
    <col min="14" max="14" width="10.28515625" style="43" bestFit="1" customWidth="1"/>
    <col min="15" max="15" width="11.28515625" style="43" bestFit="1" customWidth="1"/>
    <col min="16" max="16" width="9.140625" style="43"/>
    <col min="17" max="21" width="11.28515625" style="43" bestFit="1" customWidth="1"/>
    <col min="22" max="16384" width="9.140625" style="43"/>
  </cols>
  <sheetData>
    <row r="1" spans="1:21" x14ac:dyDescent="0.2">
      <c r="S1" s="60" t="s">
        <v>301</v>
      </c>
      <c r="U1" s="61" t="str">
        <f>EBNUMBER</f>
        <v>EB-2016-0066</v>
      </c>
    </row>
    <row r="2" spans="1:21" x14ac:dyDescent="0.2">
      <c r="S2" s="60" t="s">
        <v>302</v>
      </c>
      <c r="U2" s="62"/>
    </row>
    <row r="3" spans="1:21" x14ac:dyDescent="0.2">
      <c r="S3" s="60" t="s">
        <v>303</v>
      </c>
      <c r="U3" s="62"/>
    </row>
    <row r="4" spans="1:21" x14ac:dyDescent="0.2">
      <c r="S4" s="60" t="s">
        <v>304</v>
      </c>
      <c r="U4" s="62"/>
    </row>
    <row r="5" spans="1:21" x14ac:dyDescent="0.2">
      <c r="S5" s="60" t="s">
        <v>305</v>
      </c>
      <c r="U5" s="63"/>
    </row>
    <row r="6" spans="1:21" x14ac:dyDescent="0.2">
      <c r="S6" s="60"/>
      <c r="U6" s="61"/>
    </row>
    <row r="7" spans="1:21" x14ac:dyDescent="0.2">
      <c r="S7" s="60" t="s">
        <v>306</v>
      </c>
      <c r="U7" s="63"/>
    </row>
    <row r="9" spans="1:21" ht="18" x14ac:dyDescent="0.2">
      <c r="A9" s="1555" t="s">
        <v>722</v>
      </c>
      <c r="B9" s="1555"/>
      <c r="C9" s="1555"/>
      <c r="D9" s="1555"/>
      <c r="E9" s="1555"/>
      <c r="F9" s="1555"/>
      <c r="G9" s="1555"/>
      <c r="H9" s="1555"/>
      <c r="I9" s="1555"/>
      <c r="J9" s="1555"/>
      <c r="K9" s="1555"/>
      <c r="L9" s="1555"/>
      <c r="M9" s="1555"/>
      <c r="N9" s="1555"/>
      <c r="O9" s="1555"/>
      <c r="P9" s="1555"/>
      <c r="Q9" s="1555"/>
      <c r="R9" s="1555"/>
      <c r="S9" s="1555"/>
      <c r="T9" s="1555"/>
      <c r="U9" s="1555"/>
    </row>
    <row r="10" spans="1:21" ht="36.75" customHeight="1" x14ac:dyDescent="0.2">
      <c r="A10" s="1588" t="s">
        <v>723</v>
      </c>
      <c r="B10" s="1588"/>
      <c r="C10" s="1588"/>
      <c r="D10" s="1588"/>
      <c r="E10" s="1588"/>
      <c r="F10" s="1588"/>
      <c r="G10" s="1588"/>
      <c r="H10" s="1588"/>
      <c r="I10" s="1588"/>
      <c r="J10" s="1588"/>
      <c r="K10" s="1588"/>
      <c r="L10" s="1588"/>
      <c r="M10" s="1588"/>
      <c r="N10" s="1588"/>
      <c r="O10" s="1588"/>
      <c r="P10" s="1588"/>
      <c r="Q10" s="1588"/>
      <c r="R10" s="1588"/>
      <c r="S10" s="1588"/>
      <c r="T10" s="1588"/>
      <c r="U10" s="1588"/>
    </row>
    <row r="12" spans="1:21" ht="23.25" customHeight="1" thickBot="1" x14ac:dyDescent="0.25">
      <c r="A12" s="100" t="s">
        <v>707</v>
      </c>
      <c r="B12" s="101">
        <f>TestYear</f>
        <v>2017</v>
      </c>
    </row>
    <row r="13" spans="1:21" s="102" customFormat="1" ht="14.25" thickTop="1" thickBot="1" x14ac:dyDescent="0.25">
      <c r="A13" s="1574" t="s">
        <v>708</v>
      </c>
      <c r="B13" s="1577" t="s">
        <v>724</v>
      </c>
      <c r="C13" s="1578"/>
      <c r="D13" s="1578"/>
      <c r="E13" s="1578"/>
      <c r="F13" s="1578"/>
      <c r="G13" s="1578"/>
      <c r="H13" s="1578"/>
      <c r="I13" s="1578"/>
      <c r="J13" s="1578"/>
      <c r="K13" s="1578"/>
      <c r="L13" s="1578"/>
      <c r="M13" s="1578"/>
      <c r="N13" s="1578"/>
      <c r="O13" s="1578"/>
      <c r="P13" s="1579"/>
      <c r="Q13" s="1577" t="s">
        <v>725</v>
      </c>
      <c r="R13" s="1578"/>
      <c r="S13" s="1578"/>
      <c r="T13" s="1578"/>
      <c r="U13" s="1582"/>
    </row>
    <row r="14" spans="1:21" s="102" customFormat="1" ht="13.5" thickBot="1" x14ac:dyDescent="0.25">
      <c r="A14" s="1575"/>
      <c r="B14" s="1583">
        <f>E14-1</f>
        <v>2012</v>
      </c>
      <c r="C14" s="1584"/>
      <c r="D14" s="1585"/>
      <c r="E14" s="1583">
        <f>H14-1</f>
        <v>2013</v>
      </c>
      <c r="F14" s="1584"/>
      <c r="G14" s="1585"/>
      <c r="H14" s="1583">
        <f>K14-1</f>
        <v>2014</v>
      </c>
      <c r="I14" s="1584"/>
      <c r="J14" s="1585"/>
      <c r="K14" s="1583">
        <f>N14-1</f>
        <v>2015</v>
      </c>
      <c r="L14" s="1584"/>
      <c r="M14" s="1585"/>
      <c r="N14" s="1583">
        <f>Q14-1</f>
        <v>2016</v>
      </c>
      <c r="O14" s="1584"/>
      <c r="P14" s="1585"/>
      <c r="Q14" s="1586">
        <f>B12</f>
        <v>2017</v>
      </c>
      <c r="R14" s="1586">
        <f>Q14+1</f>
        <v>2018</v>
      </c>
      <c r="S14" s="1586">
        <f>R14+1</f>
        <v>2019</v>
      </c>
      <c r="T14" s="1586">
        <f>S14+1</f>
        <v>2020</v>
      </c>
      <c r="U14" s="1586">
        <f>T14+1</f>
        <v>2021</v>
      </c>
    </row>
    <row r="15" spans="1:21" s="102" customFormat="1" ht="15" thickBot="1" x14ac:dyDescent="0.25">
      <c r="A15" s="1575"/>
      <c r="B15" s="103" t="s">
        <v>709</v>
      </c>
      <c r="C15" s="103" t="s">
        <v>413</v>
      </c>
      <c r="D15" s="103" t="s">
        <v>710</v>
      </c>
      <c r="E15" s="103" t="s">
        <v>709</v>
      </c>
      <c r="F15" s="104" t="s">
        <v>413</v>
      </c>
      <c r="G15" s="103" t="s">
        <v>710</v>
      </c>
      <c r="H15" s="104" t="s">
        <v>709</v>
      </c>
      <c r="I15" s="104" t="s">
        <v>413</v>
      </c>
      <c r="J15" s="103" t="s">
        <v>710</v>
      </c>
      <c r="K15" s="103" t="s">
        <v>709</v>
      </c>
      <c r="L15" s="103" t="s">
        <v>413</v>
      </c>
      <c r="M15" s="103" t="s">
        <v>710</v>
      </c>
      <c r="N15" s="104" t="s">
        <v>709</v>
      </c>
      <c r="O15" s="104" t="s">
        <v>726</v>
      </c>
      <c r="P15" s="103" t="s">
        <v>710</v>
      </c>
      <c r="Q15" s="1587"/>
      <c r="R15" s="1587"/>
      <c r="S15" s="1587"/>
      <c r="T15" s="1587"/>
      <c r="U15" s="1587"/>
    </row>
    <row r="16" spans="1:21" s="102" customFormat="1" ht="13.5" thickBot="1" x14ac:dyDescent="0.25">
      <c r="A16" s="1576"/>
      <c r="B16" s="1580" t="s">
        <v>711</v>
      </c>
      <c r="C16" s="1581"/>
      <c r="D16" s="1044" t="s">
        <v>171</v>
      </c>
      <c r="E16" s="1580" t="s">
        <v>711</v>
      </c>
      <c r="F16" s="1581"/>
      <c r="G16" s="1044" t="s">
        <v>171</v>
      </c>
      <c r="H16" s="1580" t="s">
        <v>711</v>
      </c>
      <c r="I16" s="1581"/>
      <c r="J16" s="1044" t="s">
        <v>171</v>
      </c>
      <c r="K16" s="1580" t="s">
        <v>711</v>
      </c>
      <c r="L16" s="1581"/>
      <c r="M16" s="1044" t="s">
        <v>171</v>
      </c>
      <c r="N16" s="1580" t="s">
        <v>711</v>
      </c>
      <c r="O16" s="1581"/>
      <c r="P16" s="1044" t="s">
        <v>171</v>
      </c>
      <c r="Q16" s="1571" t="s">
        <v>711</v>
      </c>
      <c r="R16" s="1572"/>
      <c r="S16" s="1572"/>
      <c r="T16" s="1572"/>
      <c r="U16" s="1573"/>
    </row>
    <row r="17" spans="1:21" s="102" customFormat="1" ht="16.5" thickBot="1" x14ac:dyDescent="0.25">
      <c r="A17" s="105" t="s">
        <v>712</v>
      </c>
      <c r="B17" s="106"/>
      <c r="C17" s="106">
        <v>566654</v>
      </c>
      <c r="D17" s="107" t="str">
        <f t="shared" ref="D17:D22" si="0">IF(ISERROR((C17-B17)/B17),"--",(C17-B17)/B17)</f>
        <v>--</v>
      </c>
      <c r="E17" s="106"/>
      <c r="F17" s="108">
        <v>1316405</v>
      </c>
      <c r="G17" s="107" t="str">
        <f t="shared" ref="G17:G22" si="1">IF(ISERROR((F17-E17)/E17),"--",(F17-E17)/E17)</f>
        <v>--</v>
      </c>
      <c r="H17" s="108"/>
      <c r="I17" s="108">
        <v>734364</v>
      </c>
      <c r="J17" s="107" t="str">
        <f t="shared" ref="J17:J22" si="2">IF(ISERROR((I17-H17)/H17),"--",(I17-H17)/H17)</f>
        <v>--</v>
      </c>
      <c r="K17" s="106"/>
      <c r="L17" s="106">
        <v>793896</v>
      </c>
      <c r="M17" s="107" t="str">
        <f t="shared" ref="M17:M22" si="3">IF(ISERROR((L17-K17)/K17),"--",(L17-K17)/K17)</f>
        <v>--</v>
      </c>
      <c r="N17" s="108"/>
      <c r="O17" s="108">
        <v>1068807</v>
      </c>
      <c r="P17" s="107" t="str">
        <f t="shared" ref="P17:P22" si="4">IF(ISERROR((O17-N17)/N17),"--",(O17-N17)/N17)</f>
        <v>--</v>
      </c>
      <c r="Q17" s="106">
        <v>560210</v>
      </c>
      <c r="R17" s="106">
        <v>677053</v>
      </c>
      <c r="S17" s="106">
        <v>693979</v>
      </c>
      <c r="T17" s="106">
        <v>711329</v>
      </c>
      <c r="U17" s="109">
        <v>729112</v>
      </c>
    </row>
    <row r="18" spans="1:21" s="102" customFormat="1" ht="16.5" thickBot="1" x14ac:dyDescent="0.25">
      <c r="A18" s="105" t="s">
        <v>713</v>
      </c>
      <c r="B18" s="106"/>
      <c r="C18" s="106">
        <v>206859</v>
      </c>
      <c r="D18" s="107" t="str">
        <f t="shared" si="0"/>
        <v>--</v>
      </c>
      <c r="E18" s="106"/>
      <c r="F18" s="108">
        <v>109702</v>
      </c>
      <c r="G18" s="107" t="str">
        <f t="shared" si="1"/>
        <v>--</v>
      </c>
      <c r="H18" s="108"/>
      <c r="I18" s="110">
        <v>133322</v>
      </c>
      <c r="J18" s="107" t="str">
        <f t="shared" si="2"/>
        <v>--</v>
      </c>
      <c r="K18" s="106"/>
      <c r="L18" s="106">
        <v>494469</v>
      </c>
      <c r="M18" s="107" t="str">
        <f t="shared" si="3"/>
        <v>--</v>
      </c>
      <c r="N18" s="108"/>
      <c r="O18" s="110">
        <v>262193</v>
      </c>
      <c r="P18" s="107" t="str">
        <f t="shared" si="4"/>
        <v>--</v>
      </c>
      <c r="Q18" s="106">
        <v>261793</v>
      </c>
      <c r="R18" s="106">
        <v>295149</v>
      </c>
      <c r="S18" s="106">
        <v>459279</v>
      </c>
      <c r="T18" s="106">
        <v>476214</v>
      </c>
      <c r="U18" s="109">
        <v>301272</v>
      </c>
    </row>
    <row r="19" spans="1:21" s="102" customFormat="1" ht="16.5" thickBot="1" x14ac:dyDescent="0.25">
      <c r="A19" s="105" t="s">
        <v>714</v>
      </c>
      <c r="B19" s="106"/>
      <c r="C19" s="106"/>
      <c r="D19" s="107" t="str">
        <f t="shared" si="0"/>
        <v>--</v>
      </c>
      <c r="E19" s="106"/>
      <c r="F19" s="108"/>
      <c r="G19" s="107" t="str">
        <f t="shared" si="1"/>
        <v>--</v>
      </c>
      <c r="H19" s="108"/>
      <c r="I19" s="110"/>
      <c r="J19" s="107" t="str">
        <f t="shared" si="2"/>
        <v>--</v>
      </c>
      <c r="K19" s="106"/>
      <c r="L19" s="106"/>
      <c r="M19" s="107" t="str">
        <f t="shared" si="3"/>
        <v>--</v>
      </c>
      <c r="N19" s="108"/>
      <c r="O19" s="110"/>
      <c r="P19" s="107" t="str">
        <f t="shared" si="4"/>
        <v>--</v>
      </c>
      <c r="Q19" s="106"/>
      <c r="R19" s="106"/>
      <c r="S19" s="106"/>
      <c r="T19" s="106"/>
      <c r="U19" s="109"/>
    </row>
    <row r="20" spans="1:21" s="102" customFormat="1" ht="16.5" thickBot="1" x14ac:dyDescent="0.25">
      <c r="A20" s="105" t="s">
        <v>715</v>
      </c>
      <c r="B20" s="106"/>
      <c r="C20" s="106">
        <v>11101</v>
      </c>
      <c r="D20" s="107" t="str">
        <f t="shared" si="0"/>
        <v>--</v>
      </c>
      <c r="E20" s="106"/>
      <c r="F20" s="108">
        <v>52779</v>
      </c>
      <c r="G20" s="107" t="str">
        <f t="shared" si="1"/>
        <v>--</v>
      </c>
      <c r="H20" s="108"/>
      <c r="I20" s="110">
        <v>118492</v>
      </c>
      <c r="J20" s="107" t="str">
        <f t="shared" si="2"/>
        <v>--</v>
      </c>
      <c r="K20" s="106"/>
      <c r="L20" s="106">
        <v>39655</v>
      </c>
      <c r="M20" s="107" t="str">
        <f t="shared" si="3"/>
        <v>--</v>
      </c>
      <c r="N20" s="108"/>
      <c r="O20" s="110">
        <v>148500</v>
      </c>
      <c r="P20" s="107" t="str">
        <f t="shared" si="4"/>
        <v>--</v>
      </c>
      <c r="Q20" s="106">
        <v>491500</v>
      </c>
      <c r="R20" s="106">
        <v>457000</v>
      </c>
      <c r="S20" s="106">
        <v>202000</v>
      </c>
      <c r="T20" s="106">
        <v>177000</v>
      </c>
      <c r="U20" s="109">
        <v>337000</v>
      </c>
    </row>
    <row r="21" spans="1:21" s="102" customFormat="1" ht="32.25" thickBot="1" x14ac:dyDescent="0.25">
      <c r="A21" s="111" t="s">
        <v>716</v>
      </c>
      <c r="B21" s="112">
        <v>1187103</v>
      </c>
      <c r="C21" s="112">
        <f t="shared" ref="C21:T21" si="5">SUM(C17:C20)</f>
        <v>784614</v>
      </c>
      <c r="D21" s="113">
        <f t="shared" si="0"/>
        <v>-0.33905145551818167</v>
      </c>
      <c r="E21" s="114">
        <v>1197250</v>
      </c>
      <c r="F21" s="114">
        <f t="shared" si="5"/>
        <v>1478886</v>
      </c>
      <c r="G21" s="113">
        <f t="shared" si="1"/>
        <v>0.23523574859051993</v>
      </c>
      <c r="H21" s="114">
        <v>1650000</v>
      </c>
      <c r="I21" s="114">
        <f t="shared" si="5"/>
        <v>986178</v>
      </c>
      <c r="J21" s="113">
        <f t="shared" si="2"/>
        <v>-0.40231636363636364</v>
      </c>
      <c r="K21" s="114">
        <v>1412500</v>
      </c>
      <c r="L21" s="114">
        <f t="shared" si="5"/>
        <v>1328020</v>
      </c>
      <c r="M21" s="113">
        <f t="shared" si="3"/>
        <v>-5.9808849557522123E-2</v>
      </c>
      <c r="N21" s="114">
        <v>1479500</v>
      </c>
      <c r="O21" s="114">
        <f t="shared" si="5"/>
        <v>1479500</v>
      </c>
      <c r="P21" s="113">
        <f t="shared" si="4"/>
        <v>0</v>
      </c>
      <c r="Q21" s="112">
        <f t="shared" si="5"/>
        <v>1313503</v>
      </c>
      <c r="R21" s="112">
        <f t="shared" si="5"/>
        <v>1429202</v>
      </c>
      <c r="S21" s="112">
        <f t="shared" si="5"/>
        <v>1355258</v>
      </c>
      <c r="T21" s="112">
        <f t="shared" si="5"/>
        <v>1364543</v>
      </c>
      <c r="U21" s="115">
        <f>SUM(U17:U20)</f>
        <v>1367384</v>
      </c>
    </row>
    <row r="22" spans="1:21" s="102" customFormat="1" ht="17.25" thickTop="1" thickBot="1" x14ac:dyDescent="0.25">
      <c r="A22" s="116" t="s">
        <v>717</v>
      </c>
      <c r="B22" s="1038"/>
      <c r="C22" s="1038">
        <f>272543+604288</f>
        <v>876831</v>
      </c>
      <c r="D22" s="117" t="str">
        <f t="shared" si="0"/>
        <v>--</v>
      </c>
      <c r="E22" s="1038"/>
      <c r="F22" s="1039">
        <f>233391+491922</f>
        <v>725313</v>
      </c>
      <c r="G22" s="117" t="str">
        <f t="shared" si="1"/>
        <v>--</v>
      </c>
      <c r="H22" s="1039"/>
      <c r="I22" s="1039">
        <f>260055+546411</f>
        <v>806466</v>
      </c>
      <c r="J22" s="117" t="str">
        <f t="shared" si="2"/>
        <v>--</v>
      </c>
      <c r="K22" s="1038"/>
      <c r="L22" s="1038">
        <f>263090+939207</f>
        <v>1202297</v>
      </c>
      <c r="M22" s="117" t="str">
        <f t="shared" si="3"/>
        <v>--</v>
      </c>
      <c r="N22" s="1039"/>
      <c r="O22" s="1039">
        <f>365280+918809</f>
        <v>1284089</v>
      </c>
      <c r="P22" s="117" t="str">
        <f t="shared" si="4"/>
        <v>--</v>
      </c>
      <c r="Q22" s="1038">
        <f>642274+900026</f>
        <v>1542300</v>
      </c>
      <c r="R22" s="1038">
        <v>1413195</v>
      </c>
      <c r="S22" s="1038">
        <v>1477747</v>
      </c>
      <c r="T22" s="1038">
        <v>1445471</v>
      </c>
      <c r="U22" s="1040">
        <v>1461609</v>
      </c>
    </row>
    <row r="23" spans="1:21" s="83" customFormat="1" ht="13.5" thickTop="1" x14ac:dyDescent="0.2"/>
    <row r="24" spans="1:21" ht="15" x14ac:dyDescent="0.25">
      <c r="A24" s="118" t="s">
        <v>718</v>
      </c>
    </row>
    <row r="25" spans="1:21" ht="27.75" customHeight="1" thickBot="1" x14ac:dyDescent="0.25">
      <c r="A25" s="1556" t="s">
        <v>1269</v>
      </c>
      <c r="B25" s="1556"/>
      <c r="C25" s="1556"/>
      <c r="D25" s="1556"/>
      <c r="E25" s="1556"/>
      <c r="F25" s="1556"/>
      <c r="G25" s="1556"/>
      <c r="H25" s="1556"/>
      <c r="I25" s="1556"/>
      <c r="J25" s="1556"/>
      <c r="K25" s="1556"/>
      <c r="L25" s="1556"/>
      <c r="M25" s="1556"/>
      <c r="N25" s="1556"/>
      <c r="O25" s="1556"/>
      <c r="P25" s="1556"/>
      <c r="Q25" s="1556"/>
      <c r="R25" s="1556"/>
      <c r="S25" s="1556"/>
      <c r="T25" s="1556"/>
      <c r="U25" s="1556"/>
    </row>
    <row r="26" spans="1:21" ht="13.5" thickBot="1" x14ac:dyDescent="0.25">
      <c r="A26" s="1570" t="s">
        <v>1270</v>
      </c>
      <c r="B26" s="1570"/>
      <c r="C26" s="1570"/>
      <c r="D26" s="1570"/>
      <c r="E26" s="1570"/>
      <c r="F26" s="1570"/>
      <c r="G26" s="1570"/>
      <c r="H26" s="1570"/>
      <c r="J26" s="120"/>
      <c r="N26" s="121"/>
    </row>
    <row r="28" spans="1:21" ht="18.75" x14ac:dyDescent="0.3">
      <c r="A28" s="1567" t="s">
        <v>719</v>
      </c>
      <c r="B28" s="1568"/>
      <c r="C28" s="1568"/>
      <c r="D28" s="1568"/>
      <c r="E28" s="1568"/>
      <c r="F28" s="1568"/>
      <c r="G28" s="1568"/>
      <c r="H28" s="1568"/>
      <c r="I28" s="1568"/>
      <c r="J28" s="1568"/>
      <c r="K28" s="1568"/>
      <c r="L28" s="1568"/>
      <c r="M28" s="1568"/>
      <c r="N28" s="1568"/>
      <c r="O28" s="1568"/>
      <c r="P28" s="1568"/>
      <c r="Q28" s="1568"/>
      <c r="R28" s="1568"/>
      <c r="S28" s="1568"/>
      <c r="T28" s="1568"/>
      <c r="U28" s="1569"/>
    </row>
    <row r="29" spans="1:21" ht="15" x14ac:dyDescent="0.25">
      <c r="A29" s="1564" t="s">
        <v>910</v>
      </c>
      <c r="B29" s="1565"/>
      <c r="C29" s="1565"/>
      <c r="D29" s="1565"/>
      <c r="E29" s="1565"/>
      <c r="F29" s="1565"/>
      <c r="G29" s="1565"/>
      <c r="H29" s="1565"/>
      <c r="I29" s="1565"/>
      <c r="J29" s="1565"/>
      <c r="K29" s="1565"/>
      <c r="L29" s="1565"/>
      <c r="M29" s="1565"/>
      <c r="N29" s="1565"/>
      <c r="O29" s="1565"/>
      <c r="P29" s="1565"/>
      <c r="Q29" s="1565"/>
      <c r="R29" s="1565"/>
      <c r="S29" s="1565"/>
      <c r="T29" s="1565"/>
      <c r="U29" s="1566"/>
    </row>
    <row r="30" spans="1:21" ht="30" customHeight="1" x14ac:dyDescent="0.2">
      <c r="A30" s="1558"/>
      <c r="B30" s="1559"/>
      <c r="C30" s="1559"/>
      <c r="D30" s="1559"/>
      <c r="E30" s="1559"/>
      <c r="F30" s="1559"/>
      <c r="G30" s="1559"/>
      <c r="H30" s="1559"/>
      <c r="I30" s="1559"/>
      <c r="J30" s="1559"/>
      <c r="K30" s="1559"/>
      <c r="L30" s="1559"/>
      <c r="M30" s="1559"/>
      <c r="N30" s="1559"/>
      <c r="O30" s="1559"/>
      <c r="P30" s="1559"/>
      <c r="Q30" s="1559"/>
      <c r="R30" s="1559"/>
      <c r="S30" s="1559"/>
      <c r="T30" s="1559"/>
      <c r="U30" s="1560"/>
    </row>
    <row r="31" spans="1:21" ht="30" customHeight="1" x14ac:dyDescent="0.2">
      <c r="A31" s="1561"/>
      <c r="B31" s="1562"/>
      <c r="C31" s="1562"/>
      <c r="D31" s="1562"/>
      <c r="E31" s="1562"/>
      <c r="F31" s="1562"/>
      <c r="G31" s="1562"/>
      <c r="H31" s="1562"/>
      <c r="I31" s="1562"/>
      <c r="J31" s="1562"/>
      <c r="K31" s="1562"/>
      <c r="L31" s="1562"/>
      <c r="M31" s="1562"/>
      <c r="N31" s="1562"/>
      <c r="O31" s="1562"/>
      <c r="P31" s="1562"/>
      <c r="Q31" s="1562"/>
      <c r="R31" s="1562"/>
      <c r="S31" s="1562"/>
      <c r="T31" s="1562"/>
      <c r="U31" s="1563"/>
    </row>
    <row r="32" spans="1:21" ht="15" x14ac:dyDescent="0.25">
      <c r="A32" s="1564" t="s">
        <v>720</v>
      </c>
      <c r="B32" s="1565"/>
      <c r="C32" s="1565"/>
      <c r="D32" s="1565"/>
      <c r="E32" s="1565"/>
      <c r="F32" s="1565"/>
      <c r="G32" s="1565"/>
      <c r="H32" s="1565"/>
      <c r="I32" s="1565"/>
      <c r="J32" s="1565"/>
      <c r="K32" s="1565"/>
      <c r="L32" s="1565"/>
      <c r="M32" s="1565"/>
      <c r="N32" s="1565"/>
      <c r="O32" s="1565"/>
      <c r="P32" s="1565"/>
      <c r="Q32" s="1565"/>
      <c r="R32" s="1565"/>
      <c r="S32" s="1565"/>
      <c r="T32" s="1565"/>
      <c r="U32" s="1566"/>
    </row>
    <row r="33" spans="1:21" ht="30" customHeight="1" x14ac:dyDescent="0.2">
      <c r="A33" s="1558"/>
      <c r="B33" s="1559"/>
      <c r="C33" s="1559"/>
      <c r="D33" s="1559"/>
      <c r="E33" s="1559"/>
      <c r="F33" s="1559"/>
      <c r="G33" s="1559"/>
      <c r="H33" s="1559"/>
      <c r="I33" s="1559"/>
      <c r="J33" s="1559"/>
      <c r="K33" s="1559"/>
      <c r="L33" s="1559"/>
      <c r="M33" s="1559"/>
      <c r="N33" s="1559"/>
      <c r="O33" s="1559"/>
      <c r="P33" s="1559"/>
      <c r="Q33" s="1559"/>
      <c r="R33" s="1559"/>
      <c r="S33" s="1559"/>
      <c r="T33" s="1559"/>
      <c r="U33" s="1560"/>
    </row>
    <row r="34" spans="1:21" ht="30" customHeight="1" x14ac:dyDescent="0.2">
      <c r="A34" s="1561"/>
      <c r="B34" s="1562"/>
      <c r="C34" s="1562"/>
      <c r="D34" s="1562"/>
      <c r="E34" s="1562"/>
      <c r="F34" s="1562"/>
      <c r="G34" s="1562"/>
      <c r="H34" s="1562"/>
      <c r="I34" s="1562"/>
      <c r="J34" s="1562"/>
      <c r="K34" s="1562"/>
      <c r="L34" s="1562"/>
      <c r="M34" s="1562"/>
      <c r="N34" s="1562"/>
      <c r="O34" s="1562"/>
      <c r="P34" s="1562"/>
      <c r="Q34" s="1562"/>
      <c r="R34" s="1562"/>
      <c r="S34" s="1562"/>
      <c r="T34" s="1562"/>
      <c r="U34" s="1563"/>
    </row>
    <row r="35" spans="1:21" ht="15" x14ac:dyDescent="0.25">
      <c r="A35" s="1564" t="s">
        <v>721</v>
      </c>
      <c r="B35" s="1565"/>
      <c r="C35" s="1565"/>
      <c r="D35" s="1565"/>
      <c r="E35" s="1565"/>
      <c r="F35" s="1565"/>
      <c r="G35" s="1565"/>
      <c r="H35" s="1565"/>
      <c r="I35" s="1565"/>
      <c r="J35" s="1565"/>
      <c r="K35" s="1565"/>
      <c r="L35" s="1565"/>
      <c r="M35" s="1565"/>
      <c r="N35" s="1565"/>
      <c r="O35" s="1565"/>
      <c r="P35" s="1565"/>
      <c r="Q35" s="1565"/>
      <c r="R35" s="1565"/>
      <c r="S35" s="1565"/>
      <c r="T35" s="1565"/>
      <c r="U35" s="1566"/>
    </row>
    <row r="36" spans="1:21" ht="30" customHeight="1" x14ac:dyDescent="0.2">
      <c r="A36" s="1558"/>
      <c r="B36" s="1559"/>
      <c r="C36" s="1559"/>
      <c r="D36" s="1559"/>
      <c r="E36" s="1559"/>
      <c r="F36" s="1559"/>
      <c r="G36" s="1559"/>
      <c r="H36" s="1559"/>
      <c r="I36" s="1559"/>
      <c r="J36" s="1559"/>
      <c r="K36" s="1559"/>
      <c r="L36" s="1559"/>
      <c r="M36" s="1559"/>
      <c r="N36" s="1559"/>
      <c r="O36" s="1559"/>
      <c r="P36" s="1559"/>
      <c r="Q36" s="1559"/>
      <c r="R36" s="1559"/>
      <c r="S36" s="1559"/>
      <c r="T36" s="1559"/>
      <c r="U36" s="1560"/>
    </row>
    <row r="37" spans="1:21" ht="30" customHeight="1" x14ac:dyDescent="0.2">
      <c r="A37" s="1561"/>
      <c r="B37" s="1562"/>
      <c r="C37" s="1562"/>
      <c r="D37" s="1562"/>
      <c r="E37" s="1562"/>
      <c r="F37" s="1562"/>
      <c r="G37" s="1562"/>
      <c r="H37" s="1562"/>
      <c r="I37" s="1562"/>
      <c r="J37" s="1562"/>
      <c r="K37" s="1562"/>
      <c r="L37" s="1562"/>
      <c r="M37" s="1562"/>
      <c r="N37" s="1562"/>
      <c r="O37" s="1562"/>
      <c r="P37" s="1562"/>
      <c r="Q37" s="1562"/>
      <c r="R37" s="1562"/>
      <c r="S37" s="1562"/>
      <c r="T37" s="1562"/>
      <c r="U37" s="1563"/>
    </row>
  </sheetData>
  <mergeCells count="30">
    <mergeCell ref="A9:U9"/>
    <mergeCell ref="A10:U10"/>
    <mergeCell ref="H14:J14"/>
    <mergeCell ref="K14:M14"/>
    <mergeCell ref="N14:P14"/>
    <mergeCell ref="Q14:Q15"/>
    <mergeCell ref="R14:R15"/>
    <mergeCell ref="Q16:U16"/>
    <mergeCell ref="A13:A16"/>
    <mergeCell ref="B13:P13"/>
    <mergeCell ref="B16:C16"/>
    <mergeCell ref="E16:F16"/>
    <mergeCell ref="H16:I16"/>
    <mergeCell ref="K16:L16"/>
    <mergeCell ref="N16:O16"/>
    <mergeCell ref="Q13:U13"/>
    <mergeCell ref="B14:D14"/>
    <mergeCell ref="E14:G14"/>
    <mergeCell ref="S14:S15"/>
    <mergeCell ref="T14:T15"/>
    <mergeCell ref="U14:U15"/>
    <mergeCell ref="A25:U25"/>
    <mergeCell ref="A33:U34"/>
    <mergeCell ref="A36:U37"/>
    <mergeCell ref="A35:U35"/>
    <mergeCell ref="A28:U28"/>
    <mergeCell ref="A29:U29"/>
    <mergeCell ref="A30:U31"/>
    <mergeCell ref="A32:U32"/>
    <mergeCell ref="A26:H26"/>
  </mergeCells>
  <pageMargins left="0.7" right="0.7" top="0.75" bottom="0.75" header="0.3" footer="0.3"/>
  <pageSetup scale="4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6"/>
  </sheetPr>
  <dimension ref="A1:D38"/>
  <sheetViews>
    <sheetView showGridLines="0" zoomScaleNormal="100" workbookViewId="0">
      <selection activeCell="B6" sqref="B6"/>
    </sheetView>
  </sheetViews>
  <sheetFormatPr defaultRowHeight="12.75" x14ac:dyDescent="0.2"/>
  <cols>
    <col min="1" max="2" width="53.28515625" style="43" customWidth="1"/>
    <col min="3" max="3" width="54.28515625" style="43" customWidth="1"/>
    <col min="4" max="16384" width="9.140625" style="43"/>
  </cols>
  <sheetData>
    <row r="1" spans="1:4" x14ac:dyDescent="0.2">
      <c r="B1" s="122" t="s">
        <v>301</v>
      </c>
      <c r="C1" s="123" t="str">
        <f>EBNUMBER</f>
        <v>EB-2016-0066</v>
      </c>
      <c r="D1" s="123"/>
    </row>
    <row r="2" spans="1:4" x14ac:dyDescent="0.2">
      <c r="B2" s="122" t="s">
        <v>302</v>
      </c>
      <c r="C2" s="124"/>
      <c r="D2" s="123"/>
    </row>
    <row r="3" spans="1:4" x14ac:dyDescent="0.2">
      <c r="B3" s="122" t="s">
        <v>303</v>
      </c>
      <c r="C3" s="124"/>
      <c r="D3" s="123"/>
    </row>
    <row r="4" spans="1:4" x14ac:dyDescent="0.2">
      <c r="B4" s="122" t="s">
        <v>304</v>
      </c>
      <c r="C4" s="124"/>
      <c r="D4" s="123"/>
    </row>
    <row r="5" spans="1:4" x14ac:dyDescent="0.2">
      <c r="B5" s="122" t="s">
        <v>305</v>
      </c>
      <c r="C5" s="125"/>
      <c r="D5" s="123"/>
    </row>
    <row r="6" spans="1:4" x14ac:dyDescent="0.2">
      <c r="B6" s="122"/>
      <c r="C6" s="1092"/>
      <c r="D6" s="123"/>
    </row>
    <row r="7" spans="1:4" x14ac:dyDescent="0.2">
      <c r="B7" s="122" t="s">
        <v>306</v>
      </c>
      <c r="C7" s="125"/>
      <c r="D7" s="123"/>
    </row>
    <row r="8" spans="1:4" x14ac:dyDescent="0.2">
      <c r="B8" s="122"/>
      <c r="C8" s="122"/>
      <c r="D8" s="123"/>
    </row>
    <row r="9" spans="1:4" ht="18" x14ac:dyDescent="0.2">
      <c r="A9" s="1547" t="s">
        <v>928</v>
      </c>
      <c r="B9" s="1547"/>
      <c r="C9" s="1547"/>
      <c r="D9" s="123"/>
    </row>
    <row r="10" spans="1:4" ht="18" x14ac:dyDescent="0.2">
      <c r="A10" s="1547" t="s">
        <v>929</v>
      </c>
      <c r="B10" s="1547"/>
      <c r="C10" s="1547"/>
      <c r="D10" s="123"/>
    </row>
    <row r="12" spans="1:4" ht="28.5" customHeight="1" x14ac:dyDescent="0.2">
      <c r="A12" s="126" t="s">
        <v>926</v>
      </c>
      <c r="B12" s="127" t="s">
        <v>930</v>
      </c>
      <c r="C12" s="127" t="s">
        <v>927</v>
      </c>
    </row>
    <row r="13" spans="1:4" ht="38.25" x14ac:dyDescent="0.2">
      <c r="A13" s="129" t="s">
        <v>1313</v>
      </c>
      <c r="B13" s="129" t="s">
        <v>1314</v>
      </c>
      <c r="C13" s="129" t="s">
        <v>1315</v>
      </c>
    </row>
    <row r="14" spans="1:4" ht="38.25" x14ac:dyDescent="0.2">
      <c r="A14" s="129" t="s">
        <v>1316</v>
      </c>
      <c r="B14" s="129" t="s">
        <v>1314</v>
      </c>
      <c r="C14" s="129" t="s">
        <v>1315</v>
      </c>
    </row>
    <row r="15" spans="1:4" ht="25.5" x14ac:dyDescent="0.2">
      <c r="A15" s="129" t="s">
        <v>1317</v>
      </c>
      <c r="B15" s="129" t="s">
        <v>1318</v>
      </c>
      <c r="C15" s="129" t="s">
        <v>1315</v>
      </c>
    </row>
    <row r="16" spans="1:4" ht="25.5" x14ac:dyDescent="0.2">
      <c r="A16" s="129" t="s">
        <v>1319</v>
      </c>
      <c r="B16" s="129" t="s">
        <v>1320</v>
      </c>
      <c r="C16" s="129" t="s">
        <v>1321</v>
      </c>
    </row>
    <row r="17" spans="1:3" ht="51" x14ac:dyDescent="0.2">
      <c r="A17" s="129" t="s">
        <v>1322</v>
      </c>
      <c r="B17" s="129" t="s">
        <v>1320</v>
      </c>
      <c r="C17" s="129" t="s">
        <v>1323</v>
      </c>
    </row>
    <row r="18" spans="1:3" ht="25.5" x14ac:dyDescent="0.2">
      <c r="A18" s="129" t="s">
        <v>1324</v>
      </c>
      <c r="B18" s="129" t="s">
        <v>1325</v>
      </c>
      <c r="C18" s="129" t="s">
        <v>1326</v>
      </c>
    </row>
    <row r="19" spans="1:3" ht="63.75" x14ac:dyDescent="0.2">
      <c r="A19" s="129" t="s">
        <v>1327</v>
      </c>
      <c r="B19" s="129" t="s">
        <v>1328</v>
      </c>
      <c r="C19" s="129" t="s">
        <v>1329</v>
      </c>
    </row>
    <row r="20" spans="1:3" ht="25.5" x14ac:dyDescent="0.2">
      <c r="A20" s="129" t="s">
        <v>1330</v>
      </c>
      <c r="B20" s="129" t="s">
        <v>1331</v>
      </c>
      <c r="C20" s="129"/>
    </row>
    <row r="21" spans="1:3" x14ac:dyDescent="0.2">
      <c r="A21" s="129" t="s">
        <v>1332</v>
      </c>
      <c r="B21" s="129" t="s">
        <v>1333</v>
      </c>
      <c r="C21" s="129" t="s">
        <v>1334</v>
      </c>
    </row>
    <row r="22" spans="1:3" ht="38.25" x14ac:dyDescent="0.2">
      <c r="A22" s="129" t="s">
        <v>1335</v>
      </c>
      <c r="B22" s="129" t="s">
        <v>851</v>
      </c>
      <c r="C22" s="129" t="s">
        <v>1336</v>
      </c>
    </row>
    <row r="23" spans="1:3" ht="38.25" x14ac:dyDescent="0.2">
      <c r="A23" s="129" t="s">
        <v>1335</v>
      </c>
      <c r="B23" s="129" t="s">
        <v>1337</v>
      </c>
      <c r="C23" s="129" t="s">
        <v>1336</v>
      </c>
    </row>
    <row r="24" spans="1:3" ht="25.5" x14ac:dyDescent="0.2">
      <c r="A24" s="129" t="s">
        <v>1335</v>
      </c>
      <c r="B24" s="129" t="s">
        <v>1338</v>
      </c>
      <c r="C24" s="128" t="s">
        <v>1339</v>
      </c>
    </row>
    <row r="25" spans="1:3" x14ac:dyDescent="0.2">
      <c r="A25" s="129" t="s">
        <v>1335</v>
      </c>
      <c r="B25" s="129" t="s">
        <v>1340</v>
      </c>
      <c r="C25" s="129" t="s">
        <v>1341</v>
      </c>
    </row>
    <row r="26" spans="1:3" x14ac:dyDescent="0.2">
      <c r="A26" s="129" t="s">
        <v>1335</v>
      </c>
      <c r="B26" s="129" t="s">
        <v>1342</v>
      </c>
      <c r="C26" s="128"/>
    </row>
    <row r="27" spans="1:3" x14ac:dyDescent="0.2">
      <c r="A27" s="129" t="s">
        <v>1335</v>
      </c>
      <c r="B27" s="129" t="s">
        <v>1343</v>
      </c>
      <c r="C27" s="129" t="s">
        <v>1344</v>
      </c>
    </row>
    <row r="28" spans="1:3" x14ac:dyDescent="0.2">
      <c r="A28" s="129" t="s">
        <v>1335</v>
      </c>
      <c r="B28" s="129" t="s">
        <v>1345</v>
      </c>
      <c r="C28" s="129" t="s">
        <v>1346</v>
      </c>
    </row>
    <row r="29" spans="1:3" x14ac:dyDescent="0.2">
      <c r="A29" s="129" t="s">
        <v>1335</v>
      </c>
      <c r="B29" s="129" t="s">
        <v>1347</v>
      </c>
      <c r="C29" s="129" t="s">
        <v>1348</v>
      </c>
    </row>
    <row r="30" spans="1:3" ht="25.5" x14ac:dyDescent="0.2">
      <c r="A30" s="129" t="s">
        <v>1349</v>
      </c>
      <c r="B30" s="129" t="s">
        <v>1350</v>
      </c>
      <c r="C30" s="130"/>
    </row>
    <row r="31" spans="1:3" ht="25.5" x14ac:dyDescent="0.2">
      <c r="A31" s="129" t="s">
        <v>1335</v>
      </c>
      <c r="B31" s="129" t="s">
        <v>1351</v>
      </c>
      <c r="C31" s="128" t="s">
        <v>1339</v>
      </c>
    </row>
    <row r="32" spans="1:3" ht="25.5" x14ac:dyDescent="0.2">
      <c r="A32" s="129" t="s">
        <v>1335</v>
      </c>
      <c r="B32" s="129" t="s">
        <v>1352</v>
      </c>
      <c r="C32" s="128" t="s">
        <v>1339</v>
      </c>
    </row>
    <row r="33" spans="1:3" ht="25.5" x14ac:dyDescent="0.2">
      <c r="A33" s="129" t="s">
        <v>1335</v>
      </c>
      <c r="B33" s="129" t="s">
        <v>1353</v>
      </c>
      <c r="C33" s="129" t="s">
        <v>1354</v>
      </c>
    </row>
    <row r="34" spans="1:3" ht="15" x14ac:dyDescent="0.2">
      <c r="A34" s="128"/>
      <c r="B34" s="128"/>
      <c r="C34" s="130"/>
    </row>
    <row r="35" spans="1:3" x14ac:dyDescent="0.2">
      <c r="A35" s="128"/>
      <c r="B35" s="128"/>
      <c r="C35" s="128"/>
    </row>
    <row r="36" spans="1:3" x14ac:dyDescent="0.2">
      <c r="A36" s="128"/>
      <c r="B36" s="128"/>
      <c r="C36" s="128"/>
    </row>
    <row r="38" spans="1:3" x14ac:dyDescent="0.2">
      <c r="A38" s="60" t="s">
        <v>953</v>
      </c>
    </row>
  </sheetData>
  <mergeCells count="2">
    <mergeCell ref="A10:C10"/>
    <mergeCell ref="A9:C9"/>
  </mergeCells>
  <pageMargins left="0.7" right="0.7" top="0.75" bottom="0.75" header="0.3" footer="0.3"/>
  <pageSetup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C000"/>
    <pageSetUpPr fitToPage="1"/>
  </sheetPr>
  <dimension ref="A1:T129"/>
  <sheetViews>
    <sheetView showGridLines="0" zoomScaleNormal="100" workbookViewId="0">
      <selection sqref="A1:K1"/>
    </sheetView>
  </sheetViews>
  <sheetFormatPr defaultRowHeight="12.75" x14ac:dyDescent="0.2"/>
  <cols>
    <col min="1" max="1" width="14.42578125" style="52" customWidth="1"/>
    <col min="2" max="2" width="18" style="52" customWidth="1"/>
    <col min="3" max="3" width="13.28515625" style="52" bestFit="1" customWidth="1"/>
    <col min="4" max="4" width="2.5703125" style="52" customWidth="1"/>
    <col min="5" max="5" width="26" style="52" customWidth="1"/>
    <col min="6" max="6" width="25.85546875" style="52" customWidth="1"/>
    <col min="7" max="7" width="29.140625" style="52" customWidth="1"/>
    <col min="8" max="16384" width="9.140625" style="52"/>
  </cols>
  <sheetData>
    <row r="1" spans="1:11" ht="18" x14ac:dyDescent="0.25">
      <c r="A1" s="1591" t="s">
        <v>519</v>
      </c>
      <c r="B1" s="1591"/>
      <c r="C1" s="1591"/>
      <c r="D1" s="1591"/>
      <c r="E1" s="1591"/>
      <c r="F1" s="1591"/>
      <c r="G1" s="1591"/>
      <c r="H1" s="1591"/>
      <c r="I1" s="1591"/>
      <c r="J1" s="1591"/>
      <c r="K1" s="1591"/>
    </row>
    <row r="2" spans="1:11" ht="18" x14ac:dyDescent="0.25">
      <c r="A2" s="1591" t="s">
        <v>520</v>
      </c>
      <c r="B2" s="1591"/>
      <c r="C2" s="1591"/>
      <c r="D2" s="1591"/>
      <c r="E2" s="1591"/>
      <c r="F2" s="1591"/>
      <c r="G2" s="1591"/>
      <c r="H2" s="1591"/>
      <c r="I2" s="1591"/>
      <c r="J2" s="1591"/>
      <c r="K2" s="1591"/>
    </row>
    <row r="4" spans="1:11" x14ac:dyDescent="0.2">
      <c r="A4" s="56" t="s">
        <v>936</v>
      </c>
      <c r="B4" s="56"/>
      <c r="C4" s="56"/>
      <c r="D4" s="56"/>
    </row>
    <row r="5" spans="1:11" x14ac:dyDescent="0.2">
      <c r="A5" s="56"/>
      <c r="B5" s="56"/>
      <c r="C5" s="56"/>
      <c r="D5" s="56"/>
    </row>
    <row r="6" spans="1:11" ht="68.25" customHeight="1" x14ac:dyDescent="0.2">
      <c r="A6" s="1592" t="s">
        <v>1258</v>
      </c>
      <c r="B6" s="1592"/>
      <c r="C6" s="1592"/>
      <c r="D6" s="1592"/>
      <c r="E6" s="1592"/>
      <c r="F6" s="1592"/>
      <c r="G6" s="1592"/>
      <c r="H6" s="1592"/>
      <c r="I6" s="1592"/>
      <c r="J6" s="1592"/>
      <c r="K6" s="1592"/>
    </row>
    <row r="7" spans="1:11" x14ac:dyDescent="0.2">
      <c r="A7" s="1047"/>
      <c r="B7" s="1047"/>
      <c r="C7" s="1047"/>
      <c r="D7" s="1047"/>
      <c r="E7" s="1047"/>
      <c r="F7" s="1047"/>
      <c r="G7" s="1047"/>
      <c r="H7" s="1047"/>
      <c r="I7" s="1047"/>
      <c r="J7" s="1047"/>
      <c r="K7" s="1047"/>
    </row>
    <row r="8" spans="1:11" ht="13.5" thickBot="1" x14ac:dyDescent="0.25">
      <c r="A8" s="1047"/>
      <c r="B8" s="1047"/>
      <c r="C8" s="1047"/>
      <c r="D8" s="1047"/>
      <c r="E8" s="1047"/>
      <c r="F8" s="1047"/>
      <c r="G8" s="1047"/>
      <c r="H8" s="1047"/>
      <c r="I8" s="1047"/>
      <c r="J8" s="1047"/>
      <c r="K8" s="1047"/>
    </row>
    <row r="9" spans="1:11" ht="39" customHeight="1" thickBot="1" x14ac:dyDescent="0.25">
      <c r="A9" s="1103"/>
      <c r="B9" s="1103"/>
      <c r="C9" s="1103"/>
      <c r="D9" s="1103"/>
      <c r="E9" s="1598" t="s">
        <v>1063</v>
      </c>
      <c r="F9" s="1599"/>
      <c r="G9" s="1130" t="s">
        <v>1114</v>
      </c>
      <c r="H9" s="1103"/>
      <c r="I9" s="1103"/>
      <c r="J9" s="1103"/>
      <c r="K9" s="1103"/>
    </row>
    <row r="10" spans="1:11" ht="39" thickBot="1" x14ac:dyDescent="0.25">
      <c r="A10" s="131"/>
      <c r="B10" s="131"/>
      <c r="C10" s="56"/>
      <c r="D10" s="56"/>
      <c r="E10" s="132" t="s">
        <v>992</v>
      </c>
      <c r="F10" s="132" t="s">
        <v>993</v>
      </c>
      <c r="G10" s="1130" t="s">
        <v>1239</v>
      </c>
      <c r="H10" s="92"/>
    </row>
    <row r="11" spans="1:11" ht="12.75" customHeight="1" x14ac:dyDescent="0.2">
      <c r="A11" s="1595" t="s">
        <v>1142</v>
      </c>
      <c r="B11" s="133">
        <v>2017</v>
      </c>
      <c r="C11" s="134" t="s">
        <v>888</v>
      </c>
      <c r="D11" s="56"/>
      <c r="E11" s="135" t="s">
        <v>105</v>
      </c>
      <c r="F11" s="136" t="s">
        <v>105</v>
      </c>
      <c r="G11" s="136" t="s">
        <v>105</v>
      </c>
    </row>
    <row r="12" spans="1:11" ht="12.75" customHeight="1" x14ac:dyDescent="0.2">
      <c r="A12" s="1596"/>
      <c r="B12" s="137">
        <v>2016</v>
      </c>
      <c r="C12" s="138" t="s">
        <v>889</v>
      </c>
      <c r="D12" s="56"/>
      <c r="E12" s="1128" t="s">
        <v>105</v>
      </c>
      <c r="F12" s="1129" t="s">
        <v>105</v>
      </c>
      <c r="G12" s="1129" t="s">
        <v>105</v>
      </c>
    </row>
    <row r="13" spans="1:11" ht="12.75" customHeight="1" x14ac:dyDescent="0.2">
      <c r="A13" s="1596"/>
      <c r="B13" s="137">
        <v>2015</v>
      </c>
      <c r="C13" s="138" t="s">
        <v>890</v>
      </c>
      <c r="D13" s="56"/>
      <c r="E13" s="139" t="s">
        <v>105</v>
      </c>
      <c r="F13" s="139" t="s">
        <v>105</v>
      </c>
      <c r="G13" s="139" t="s">
        <v>105</v>
      </c>
    </row>
    <row r="14" spans="1:11" ht="17.25" x14ac:dyDescent="0.25">
      <c r="A14" s="1596"/>
      <c r="B14" s="137">
        <v>2014</v>
      </c>
      <c r="C14" s="138" t="s">
        <v>890</v>
      </c>
      <c r="D14" s="56"/>
      <c r="E14" s="140" t="s">
        <v>1065</v>
      </c>
      <c r="F14" s="140" t="s">
        <v>1065</v>
      </c>
      <c r="G14" s="140" t="s">
        <v>1065</v>
      </c>
    </row>
    <row r="15" spans="1:11" ht="17.25" x14ac:dyDescent="0.25">
      <c r="A15" s="1596"/>
      <c r="B15" s="137">
        <v>2013</v>
      </c>
      <c r="C15" s="138" t="s">
        <v>890</v>
      </c>
      <c r="D15" s="56"/>
      <c r="E15" s="141" t="s">
        <v>891</v>
      </c>
      <c r="F15" s="140" t="s">
        <v>1066</v>
      </c>
      <c r="G15" s="142" t="s">
        <v>1064</v>
      </c>
    </row>
    <row r="16" spans="1:11" ht="17.25" x14ac:dyDescent="0.25">
      <c r="A16" s="1596"/>
      <c r="B16" s="137">
        <v>2012</v>
      </c>
      <c r="C16" s="138" t="s">
        <v>890</v>
      </c>
      <c r="D16" s="56"/>
      <c r="E16" s="140" t="s">
        <v>1066</v>
      </c>
      <c r="F16" s="142" t="s">
        <v>104</v>
      </c>
      <c r="G16" s="142" t="s">
        <v>1064</v>
      </c>
    </row>
    <row r="17" spans="1:19" ht="13.5" thickBot="1" x14ac:dyDescent="0.25">
      <c r="A17" s="1597"/>
      <c r="B17" s="143" t="s">
        <v>1098</v>
      </c>
      <c r="C17" s="144" t="s">
        <v>1099</v>
      </c>
      <c r="D17" s="56"/>
      <c r="E17" s="145" t="s">
        <v>1097</v>
      </c>
      <c r="F17" s="146" t="s">
        <v>1097</v>
      </c>
      <c r="G17" s="146" t="s">
        <v>266</v>
      </c>
    </row>
    <row r="18" spans="1:19" x14ac:dyDescent="0.2">
      <c r="A18" s="131"/>
      <c r="B18" s="131"/>
      <c r="C18" s="56"/>
      <c r="D18" s="56"/>
    </row>
    <row r="19" spans="1:19" ht="25.5" customHeight="1" x14ac:dyDescent="0.2">
      <c r="A19" s="1593" t="s">
        <v>1067</v>
      </c>
      <c r="B19" s="1593"/>
      <c r="C19" s="1593"/>
      <c r="D19" s="1593"/>
      <c r="E19" s="1593"/>
      <c r="F19" s="1593"/>
      <c r="G19" s="1593"/>
      <c r="H19" s="1593"/>
      <c r="I19" s="1593"/>
      <c r="J19" s="1593"/>
      <c r="K19" s="1036"/>
    </row>
    <row r="20" spans="1:19" ht="28.5" customHeight="1" x14ac:dyDescent="0.2">
      <c r="A20" s="1593" t="s">
        <v>1257</v>
      </c>
      <c r="B20" s="1593"/>
      <c r="C20" s="1593"/>
      <c r="D20" s="1593"/>
      <c r="E20" s="1593"/>
      <c r="F20" s="1593"/>
      <c r="G20" s="1593"/>
      <c r="H20" s="1593"/>
      <c r="I20" s="1593"/>
      <c r="J20" s="1104"/>
      <c r="K20" s="1104"/>
    </row>
    <row r="21" spans="1:19" ht="28.5" customHeight="1" x14ac:dyDescent="0.2">
      <c r="A21" s="1593" t="s">
        <v>1115</v>
      </c>
      <c r="B21" s="1593"/>
      <c r="C21" s="1593"/>
      <c r="D21" s="1593"/>
      <c r="E21" s="1593"/>
      <c r="F21" s="1593"/>
      <c r="G21" s="1593"/>
      <c r="H21" s="1593"/>
      <c r="I21" s="1593"/>
      <c r="J21" s="1156"/>
      <c r="K21" s="1156"/>
    </row>
    <row r="22" spans="1:19" x14ac:dyDescent="0.2">
      <c r="A22" s="131"/>
      <c r="B22" s="131"/>
      <c r="C22" s="56"/>
      <c r="D22" s="56"/>
    </row>
    <row r="23" spans="1:19" x14ac:dyDescent="0.2">
      <c r="A23" s="1105" t="s">
        <v>897</v>
      </c>
      <c r="B23" s="1105"/>
      <c r="C23" s="1105"/>
      <c r="D23" s="1105"/>
      <c r="E23" s="1105"/>
      <c r="F23" s="1105"/>
      <c r="G23" s="1105"/>
      <c r="H23" s="1105"/>
      <c r="I23" s="1105"/>
      <c r="J23" s="1105"/>
      <c r="K23" s="1105"/>
      <c r="L23" s="1105"/>
      <c r="M23" s="1105"/>
      <c r="N23" s="1105"/>
      <c r="O23" s="1105"/>
      <c r="P23" s="1105"/>
      <c r="Q23" s="1105"/>
      <c r="R23" s="1105"/>
      <c r="S23" s="1105"/>
    </row>
    <row r="24" spans="1:19" x14ac:dyDescent="0.2">
      <c r="A24" s="1048"/>
      <c r="B24" s="1048"/>
      <c r="C24" s="1048"/>
      <c r="D24" s="1048"/>
      <c r="E24" s="1048"/>
      <c r="F24" s="1048"/>
      <c r="G24" s="1048"/>
      <c r="H24" s="1048"/>
      <c r="I24" s="1048"/>
      <c r="J24" s="1048"/>
      <c r="K24" s="1048"/>
      <c r="L24" s="1048"/>
      <c r="M24" s="1048"/>
      <c r="N24" s="1048"/>
      <c r="O24" s="1048"/>
      <c r="P24" s="1048"/>
      <c r="Q24" s="1048"/>
      <c r="R24" s="1048"/>
      <c r="S24" s="1048"/>
    </row>
    <row r="25" spans="1:19" x14ac:dyDescent="0.2">
      <c r="A25" s="147" t="s">
        <v>933</v>
      </c>
      <c r="B25" s="1048"/>
      <c r="C25" s="1048"/>
      <c r="D25" s="1048"/>
      <c r="E25" s="1048"/>
      <c r="F25" s="1048"/>
      <c r="G25" s="1048"/>
      <c r="H25" s="1048"/>
      <c r="I25" s="1048"/>
      <c r="J25" s="1048"/>
      <c r="K25" s="1048"/>
      <c r="L25" s="1048"/>
      <c r="M25" s="1048"/>
      <c r="N25" s="1048"/>
      <c r="O25" s="1048"/>
      <c r="P25" s="1048"/>
      <c r="Q25" s="1048"/>
      <c r="R25" s="1048"/>
      <c r="S25" s="1048"/>
    </row>
    <row r="26" spans="1:19" x14ac:dyDescent="0.2">
      <c r="A26" s="1594" t="s">
        <v>1068</v>
      </c>
      <c r="B26" s="1594"/>
      <c r="C26" s="1594"/>
      <c r="D26" s="1594"/>
      <c r="E26" s="1594"/>
      <c r="F26" s="1594"/>
      <c r="G26" s="1594"/>
      <c r="H26" s="1594"/>
      <c r="I26" s="1594"/>
      <c r="J26" s="1594"/>
      <c r="K26" s="1594"/>
      <c r="L26" s="1048"/>
      <c r="M26" s="1048"/>
      <c r="N26" s="1048"/>
      <c r="O26" s="1048"/>
      <c r="P26" s="1048"/>
      <c r="Q26" s="1048"/>
      <c r="R26" s="1048"/>
      <c r="S26" s="1048"/>
    </row>
    <row r="27" spans="1:19" x14ac:dyDescent="0.2">
      <c r="A27" s="1594"/>
      <c r="B27" s="1594"/>
      <c r="C27" s="1594"/>
      <c r="D27" s="1594"/>
      <c r="E27" s="1594"/>
      <c r="F27" s="1594"/>
      <c r="G27" s="1594"/>
      <c r="H27" s="1594"/>
      <c r="I27" s="1594"/>
      <c r="J27" s="1594"/>
      <c r="K27" s="1594"/>
      <c r="L27" s="1048"/>
      <c r="M27" s="1048"/>
      <c r="N27" s="1048"/>
      <c r="O27" s="1048"/>
      <c r="P27" s="1048"/>
      <c r="Q27" s="1048"/>
      <c r="R27" s="1048"/>
      <c r="S27" s="1048"/>
    </row>
    <row r="28" spans="1:19" x14ac:dyDescent="0.2">
      <c r="A28" s="1594"/>
      <c r="B28" s="1594"/>
      <c r="C28" s="1594"/>
      <c r="D28" s="1594"/>
      <c r="E28" s="1594"/>
      <c r="F28" s="1594"/>
      <c r="G28" s="1594"/>
      <c r="H28" s="1594"/>
      <c r="I28" s="1594"/>
      <c r="J28" s="1594"/>
      <c r="K28" s="1594"/>
      <c r="L28" s="1048"/>
      <c r="M28" s="1048"/>
      <c r="N28" s="1048"/>
      <c r="O28" s="1048"/>
      <c r="P28" s="1048"/>
      <c r="Q28" s="1048"/>
      <c r="R28" s="1048"/>
      <c r="S28" s="1048"/>
    </row>
    <row r="30" spans="1:19" x14ac:dyDescent="0.2">
      <c r="A30" s="148" t="s">
        <v>521</v>
      </c>
      <c r="B30" s="148"/>
    </row>
    <row r="31" spans="1:19" x14ac:dyDescent="0.2">
      <c r="A31" s="148"/>
      <c r="B31" s="148"/>
    </row>
    <row r="32" spans="1:19" ht="12.75" customHeight="1" x14ac:dyDescent="0.2">
      <c r="A32" s="1593" t="s">
        <v>994</v>
      </c>
      <c r="B32" s="1593"/>
      <c r="C32" s="1593"/>
      <c r="D32" s="1593"/>
      <c r="E32" s="1593"/>
      <c r="F32" s="1593"/>
      <c r="G32" s="1593"/>
      <c r="H32" s="1593"/>
      <c r="I32" s="1593"/>
      <c r="J32" s="1593"/>
      <c r="K32" s="1593"/>
      <c r="L32" s="1593"/>
      <c r="M32" s="1593"/>
      <c r="N32" s="1593"/>
      <c r="O32" s="1593"/>
      <c r="P32" s="1593"/>
      <c r="Q32" s="1593"/>
      <c r="R32" s="1593"/>
      <c r="S32" s="1593"/>
    </row>
    <row r="33" spans="1:19" x14ac:dyDescent="0.2">
      <c r="A33" s="1593"/>
      <c r="B33" s="1593"/>
      <c r="C33" s="1593"/>
      <c r="D33" s="1593"/>
      <c r="E33" s="1593"/>
      <c r="F33" s="1593"/>
      <c r="G33" s="1593"/>
      <c r="H33" s="1593"/>
      <c r="I33" s="1593"/>
      <c r="J33" s="1593"/>
      <c r="K33" s="1593"/>
      <c r="L33" s="1593"/>
      <c r="M33" s="1593"/>
      <c r="N33" s="1593"/>
      <c r="O33" s="1593"/>
      <c r="P33" s="1593"/>
      <c r="Q33" s="1593"/>
      <c r="R33" s="1593"/>
      <c r="S33" s="1593"/>
    </row>
    <row r="34" spans="1:19" x14ac:dyDescent="0.2">
      <c r="A34" s="1593"/>
      <c r="B34" s="1593"/>
      <c r="C34" s="1593"/>
      <c r="D34" s="1593"/>
      <c r="E34" s="1593"/>
      <c r="F34" s="1593"/>
      <c r="G34" s="1593"/>
      <c r="H34" s="1593"/>
      <c r="I34" s="1593"/>
      <c r="J34" s="1593"/>
      <c r="K34" s="1593"/>
      <c r="L34" s="1593"/>
      <c r="M34" s="1593"/>
      <c r="N34" s="1593"/>
      <c r="O34" s="1593"/>
      <c r="P34" s="1593"/>
      <c r="Q34" s="1593"/>
      <c r="R34" s="1593"/>
      <c r="S34" s="1593"/>
    </row>
    <row r="35" spans="1:19" x14ac:dyDescent="0.2">
      <c r="A35" s="149" t="s">
        <v>894</v>
      </c>
      <c r="B35" s="149"/>
      <c r="C35" s="56"/>
      <c r="D35" s="56"/>
      <c r="E35" s="56"/>
      <c r="F35" s="56"/>
      <c r="G35" s="56"/>
      <c r="H35" s="56"/>
      <c r="I35" s="56"/>
      <c r="J35" s="56"/>
      <c r="K35" s="56"/>
      <c r="L35" s="56"/>
      <c r="M35" s="56"/>
      <c r="N35" s="56"/>
      <c r="O35" s="56"/>
      <c r="P35" s="56"/>
      <c r="Q35" s="56"/>
      <c r="R35" s="56"/>
      <c r="S35" s="56"/>
    </row>
    <row r="36" spans="1:19" x14ac:dyDescent="0.2">
      <c r="A36" s="149" t="s">
        <v>895</v>
      </c>
      <c r="B36" s="149"/>
      <c r="C36" s="56"/>
      <c r="D36" s="56"/>
      <c r="E36" s="56"/>
      <c r="F36" s="56"/>
      <c r="G36" s="56"/>
      <c r="H36" s="56"/>
      <c r="I36" s="56"/>
      <c r="J36" s="56"/>
      <c r="K36" s="56"/>
      <c r="L36" s="56"/>
      <c r="M36" s="56"/>
      <c r="N36" s="56"/>
      <c r="O36" s="56"/>
      <c r="P36" s="56"/>
      <c r="Q36" s="56"/>
      <c r="R36" s="56"/>
      <c r="S36" s="56"/>
    </row>
    <row r="37" spans="1:19" x14ac:dyDescent="0.2">
      <c r="A37" s="150"/>
      <c r="B37" s="150"/>
      <c r="C37" s="56"/>
      <c r="D37" s="56"/>
      <c r="E37" s="56"/>
      <c r="F37" s="56"/>
      <c r="G37" s="56"/>
      <c r="H37" s="56"/>
      <c r="I37" s="56"/>
      <c r="J37" s="56"/>
      <c r="K37" s="56"/>
      <c r="L37" s="56"/>
      <c r="M37" s="56"/>
      <c r="N37" s="56"/>
      <c r="O37" s="56"/>
      <c r="P37" s="56"/>
      <c r="Q37" s="56"/>
      <c r="R37" s="56"/>
      <c r="S37" s="56"/>
    </row>
    <row r="38" spans="1:19" x14ac:dyDescent="0.2">
      <c r="A38" s="148" t="s">
        <v>265</v>
      </c>
      <c r="B38" s="148"/>
    </row>
    <row r="39" spans="1:19" x14ac:dyDescent="0.2">
      <c r="A39" s="148"/>
      <c r="B39" s="148"/>
    </row>
    <row r="40" spans="1:19" ht="12.75" customHeight="1" x14ac:dyDescent="0.2">
      <c r="A40" s="1593" t="s">
        <v>995</v>
      </c>
      <c r="B40" s="1593"/>
      <c r="C40" s="1593"/>
      <c r="D40" s="1593"/>
      <c r="E40" s="1593"/>
      <c r="F40" s="1593"/>
      <c r="G40" s="1593"/>
      <c r="H40" s="1593"/>
      <c r="I40" s="1593"/>
      <c r="J40" s="1593"/>
      <c r="K40" s="1593"/>
      <c r="L40" s="1593"/>
      <c r="M40" s="1593"/>
      <c r="N40" s="1593"/>
      <c r="O40" s="1593"/>
      <c r="P40" s="1593"/>
      <c r="Q40" s="1593"/>
      <c r="R40" s="1593"/>
      <c r="S40" s="1593"/>
    </row>
    <row r="41" spans="1:19" x14ac:dyDescent="0.2">
      <c r="A41" s="1593"/>
      <c r="B41" s="1593"/>
      <c r="C41" s="1593"/>
      <c r="D41" s="1593"/>
      <c r="E41" s="1593"/>
      <c r="F41" s="1593"/>
      <c r="G41" s="1593"/>
      <c r="H41" s="1593"/>
      <c r="I41" s="1593"/>
      <c r="J41" s="1593"/>
      <c r="K41" s="1593"/>
      <c r="L41" s="1593"/>
      <c r="M41" s="1593"/>
      <c r="N41" s="1593"/>
      <c r="O41" s="1593"/>
      <c r="P41" s="1593"/>
      <c r="Q41" s="1593"/>
      <c r="R41" s="1593"/>
      <c r="S41" s="1593"/>
    </row>
    <row r="42" spans="1:19" x14ac:dyDescent="0.2">
      <c r="A42" s="1593"/>
      <c r="B42" s="1593"/>
      <c r="C42" s="1593"/>
      <c r="D42" s="1593"/>
      <c r="E42" s="1593"/>
      <c r="F42" s="1593"/>
      <c r="G42" s="1593"/>
      <c r="H42" s="1593"/>
      <c r="I42" s="1593"/>
      <c r="J42" s="1593"/>
      <c r="K42" s="1593"/>
      <c r="L42" s="1593"/>
      <c r="M42" s="1593"/>
      <c r="N42" s="1593"/>
      <c r="O42" s="1593"/>
      <c r="P42" s="1593"/>
      <c r="Q42" s="1593"/>
      <c r="R42" s="1593"/>
      <c r="S42" s="1593"/>
    </row>
    <row r="43" spans="1:19" x14ac:dyDescent="0.2">
      <c r="A43" s="149" t="s">
        <v>892</v>
      </c>
      <c r="B43" s="149"/>
    </row>
    <row r="44" spans="1:19" x14ac:dyDescent="0.2">
      <c r="A44" s="149" t="s">
        <v>893</v>
      </c>
      <c r="B44" s="149"/>
    </row>
    <row r="46" spans="1:19" x14ac:dyDescent="0.2">
      <c r="A46" s="151" t="s">
        <v>1241</v>
      </c>
      <c r="B46" s="152"/>
    </row>
    <row r="47" spans="1:19" x14ac:dyDescent="0.2">
      <c r="A47" s="151"/>
      <c r="B47" s="152"/>
    </row>
    <row r="48" spans="1:19" x14ac:dyDescent="0.2">
      <c r="A48" s="156" t="s">
        <v>1242</v>
      </c>
      <c r="B48" s="154"/>
      <c r="C48" s="155"/>
      <c r="D48" s="155"/>
      <c r="E48" s="155"/>
      <c r="F48" s="155"/>
      <c r="G48" s="155"/>
      <c r="H48" s="155"/>
      <c r="I48" s="155"/>
      <c r="J48" s="155"/>
      <c r="K48" s="155"/>
      <c r="L48" s="155"/>
      <c r="M48" s="155"/>
      <c r="N48" s="155"/>
    </row>
    <row r="49" spans="1:19" ht="12.75" customHeight="1" x14ac:dyDescent="0.2">
      <c r="A49" s="149" t="s">
        <v>1100</v>
      </c>
      <c r="B49" s="1589" t="s">
        <v>1240</v>
      </c>
      <c r="C49" s="1589"/>
      <c r="D49" s="1589"/>
      <c r="E49" s="1589"/>
      <c r="F49" s="1589"/>
      <c r="G49" s="1589"/>
      <c r="H49" s="1589"/>
      <c r="I49" s="1589"/>
      <c r="J49" s="1589"/>
      <c r="K49" s="1589"/>
      <c r="L49" s="1589"/>
      <c r="M49" s="1589"/>
      <c r="N49" s="155"/>
    </row>
    <row r="50" spans="1:19" ht="12.75" customHeight="1" x14ac:dyDescent="0.2">
      <c r="A50" s="149"/>
      <c r="B50" s="1589"/>
      <c r="C50" s="1589"/>
      <c r="D50" s="1589"/>
      <c r="E50" s="1589"/>
      <c r="F50" s="1589"/>
      <c r="G50" s="1589"/>
      <c r="H50" s="1589"/>
      <c r="I50" s="1589"/>
      <c r="J50" s="1589"/>
      <c r="K50" s="1589"/>
      <c r="L50" s="1589"/>
      <c r="M50" s="1589"/>
      <c r="N50" s="155"/>
    </row>
    <row r="51" spans="1:19" x14ac:dyDescent="0.2">
      <c r="A51" s="1155"/>
      <c r="B51" s="1589"/>
      <c r="C51" s="1589"/>
      <c r="D51" s="1589"/>
      <c r="E51" s="1589"/>
      <c r="F51" s="1589"/>
      <c r="G51" s="1589"/>
      <c r="H51" s="1589"/>
      <c r="I51" s="1589"/>
      <c r="J51" s="1589"/>
      <c r="K51" s="1589"/>
      <c r="L51" s="1589"/>
      <c r="M51" s="1589"/>
      <c r="N51" s="155"/>
    </row>
    <row r="52" spans="1:19" ht="54.75" customHeight="1" x14ac:dyDescent="0.2">
      <c r="B52" s="1600" t="s">
        <v>1103</v>
      </c>
      <c r="C52" s="1600"/>
      <c r="D52" s="1600"/>
      <c r="E52" s="1600"/>
      <c r="F52" s="1600"/>
      <c r="G52" s="1600"/>
      <c r="H52" s="1600"/>
      <c r="I52" s="1600"/>
      <c r="J52" s="1600"/>
      <c r="K52" s="1600"/>
      <c r="L52" s="1600"/>
      <c r="M52" s="1600"/>
      <c r="N52" s="1106"/>
    </row>
    <row r="53" spans="1:19" x14ac:dyDescent="0.2">
      <c r="A53" s="149" t="s">
        <v>1100</v>
      </c>
      <c r="B53" s="1589" t="s">
        <v>1116</v>
      </c>
      <c r="C53" s="1589"/>
      <c r="D53" s="1589"/>
      <c r="E53" s="1589"/>
      <c r="F53" s="1589"/>
      <c r="G53" s="1589"/>
      <c r="H53" s="1589"/>
      <c r="I53" s="1589"/>
      <c r="J53" s="1589"/>
      <c r="K53" s="1589"/>
      <c r="L53" s="1589"/>
      <c r="M53" s="1589"/>
      <c r="N53" s="1155"/>
    </row>
    <row r="54" spans="1:19" x14ac:dyDescent="0.2">
      <c r="A54" s="149"/>
      <c r="B54" s="1589"/>
      <c r="C54" s="1589"/>
      <c r="D54" s="1589"/>
      <c r="E54" s="1589"/>
      <c r="F54" s="1589"/>
      <c r="G54" s="1589"/>
      <c r="H54" s="1589"/>
      <c r="I54" s="1589"/>
      <c r="J54" s="1589"/>
      <c r="K54" s="1589"/>
      <c r="L54" s="1589"/>
      <c r="M54" s="1589"/>
      <c r="N54" s="1155"/>
    </row>
    <row r="55" spans="1:19" x14ac:dyDescent="0.2">
      <c r="A55" s="56"/>
      <c r="B55" s="131"/>
      <c r="C55" s="56"/>
      <c r="D55" s="56"/>
    </row>
    <row r="56" spans="1:19" s="155" customFormat="1" x14ac:dyDescent="0.2">
      <c r="A56" s="1107" t="s">
        <v>898</v>
      </c>
      <c r="B56" s="1107"/>
      <c r="C56" s="1107"/>
      <c r="D56" s="1107"/>
      <c r="E56" s="1107"/>
      <c r="F56" s="1107"/>
      <c r="G56" s="1107"/>
      <c r="H56" s="1107"/>
      <c r="I56" s="1107"/>
      <c r="J56" s="1107"/>
      <c r="K56" s="1107"/>
      <c r="L56" s="1107"/>
      <c r="M56" s="1107"/>
      <c r="N56" s="1107"/>
      <c r="O56" s="1107"/>
      <c r="P56" s="1107"/>
      <c r="Q56" s="1107"/>
      <c r="R56" s="1107"/>
      <c r="S56" s="1107"/>
    </row>
    <row r="57" spans="1:19" s="155" customFormat="1" x14ac:dyDescent="0.2">
      <c r="A57" s="1107"/>
      <c r="B57" s="1107"/>
      <c r="C57" s="1107"/>
      <c r="D57" s="1107"/>
      <c r="E57" s="1107"/>
      <c r="F57" s="1107"/>
      <c r="G57" s="1107"/>
      <c r="H57" s="1107"/>
      <c r="I57" s="1107"/>
      <c r="J57" s="1107"/>
      <c r="K57" s="1107"/>
      <c r="L57" s="1107"/>
      <c r="M57" s="1107"/>
      <c r="N57" s="1107"/>
      <c r="O57" s="1107"/>
      <c r="P57" s="1107"/>
      <c r="Q57" s="1107"/>
      <c r="R57" s="1107"/>
      <c r="S57" s="1107"/>
    </row>
    <row r="58" spans="1:19" s="155" customFormat="1" x14ac:dyDescent="0.2">
      <c r="A58" s="1131" t="s">
        <v>1117</v>
      </c>
      <c r="B58" s="1107"/>
      <c r="C58" s="1107"/>
      <c r="D58" s="1107"/>
      <c r="E58" s="1107"/>
      <c r="F58" s="1107"/>
      <c r="G58" s="1107"/>
      <c r="H58" s="1107"/>
      <c r="I58" s="1107"/>
      <c r="J58" s="1107"/>
      <c r="K58" s="1107"/>
      <c r="L58" s="1107"/>
      <c r="M58" s="1107"/>
      <c r="N58" s="1107"/>
      <c r="O58" s="1107"/>
      <c r="P58" s="1107"/>
      <c r="Q58" s="1107"/>
      <c r="R58" s="1107"/>
      <c r="S58" s="1107"/>
    </row>
    <row r="59" spans="1:19" s="155" customFormat="1" x14ac:dyDescent="0.2">
      <c r="A59" s="149" t="s">
        <v>1100</v>
      </c>
      <c r="B59" s="1593" t="s">
        <v>1262</v>
      </c>
      <c r="C59" s="1601"/>
      <c r="D59" s="1601"/>
      <c r="E59" s="1601"/>
      <c r="F59" s="1601"/>
      <c r="G59" s="1601"/>
      <c r="H59" s="1601"/>
      <c r="I59" s="1601"/>
      <c r="J59" s="1601"/>
      <c r="K59" s="1601"/>
      <c r="L59" s="1601"/>
      <c r="M59" s="1601"/>
      <c r="N59" s="1107"/>
      <c r="O59" s="1107"/>
      <c r="P59" s="1107"/>
      <c r="Q59" s="1107"/>
      <c r="R59" s="1107"/>
      <c r="S59" s="1107"/>
    </row>
    <row r="60" spans="1:19" s="155" customFormat="1" x14ac:dyDescent="0.2">
      <c r="A60" s="149" t="s">
        <v>1100</v>
      </c>
      <c r="B60" s="1593" t="s">
        <v>1259</v>
      </c>
      <c r="C60" s="1601"/>
      <c r="D60" s="1601"/>
      <c r="E60" s="1601"/>
      <c r="F60" s="1601"/>
      <c r="G60" s="1601"/>
      <c r="H60" s="1601"/>
      <c r="I60" s="1601"/>
      <c r="J60" s="1601"/>
      <c r="K60" s="1601"/>
      <c r="L60" s="1601"/>
      <c r="M60" s="1601"/>
      <c r="N60" s="1107"/>
      <c r="O60" s="1107"/>
      <c r="P60" s="1107"/>
      <c r="Q60" s="1107"/>
      <c r="R60" s="1107"/>
      <c r="S60" s="1107"/>
    </row>
    <row r="61" spans="1:19" s="155" customFormat="1" x14ac:dyDescent="0.2">
      <c r="A61" s="1107"/>
      <c r="B61" s="1420"/>
      <c r="C61" s="1421"/>
      <c r="D61" s="1421"/>
      <c r="E61" s="1421"/>
      <c r="F61" s="1421"/>
      <c r="G61" s="1421"/>
      <c r="H61" s="1421"/>
      <c r="I61" s="1421"/>
      <c r="J61" s="1421"/>
      <c r="K61" s="1421"/>
      <c r="L61" s="1421"/>
      <c r="M61" s="1421"/>
      <c r="N61" s="1107"/>
      <c r="O61" s="1107"/>
      <c r="P61" s="1107"/>
      <c r="Q61" s="1107"/>
      <c r="R61" s="1107"/>
      <c r="S61" s="1107"/>
    </row>
    <row r="62" spans="1:19" s="155" customFormat="1" x14ac:dyDescent="0.2">
      <c r="A62" s="1131" t="s">
        <v>1260</v>
      </c>
      <c r="B62" s="1420"/>
      <c r="C62" s="1421"/>
      <c r="D62" s="1421"/>
      <c r="E62" s="1421"/>
      <c r="F62" s="1421"/>
      <c r="G62" s="1421"/>
      <c r="H62" s="1421"/>
      <c r="I62" s="1421"/>
      <c r="J62" s="1421"/>
      <c r="K62" s="1421"/>
      <c r="L62" s="1421"/>
      <c r="M62" s="1421"/>
      <c r="N62" s="1107"/>
      <c r="O62" s="1107"/>
      <c r="P62" s="1107"/>
      <c r="Q62" s="1107"/>
      <c r="R62" s="1107"/>
      <c r="S62" s="1107"/>
    </row>
    <row r="63" spans="1:19" s="155" customFormat="1" x14ac:dyDescent="0.2">
      <c r="A63" s="149" t="s">
        <v>1100</v>
      </c>
      <c r="B63" s="1593" t="s">
        <v>1261</v>
      </c>
      <c r="C63" s="1593"/>
      <c r="D63" s="1593"/>
      <c r="E63" s="1593"/>
      <c r="F63" s="1593"/>
      <c r="G63" s="1593"/>
      <c r="H63" s="1593"/>
      <c r="I63" s="1593"/>
      <c r="J63" s="1593"/>
      <c r="K63" s="1593"/>
      <c r="L63" s="1593"/>
      <c r="M63" s="1421"/>
      <c r="N63" s="1107"/>
      <c r="O63" s="1107"/>
      <c r="P63" s="1107"/>
      <c r="Q63" s="1107"/>
      <c r="R63" s="1107"/>
      <c r="S63" s="1107"/>
    </row>
    <row r="64" spans="1:19" s="155" customFormat="1" x14ac:dyDescent="0.2">
      <c r="A64" s="1589" t="s">
        <v>1263</v>
      </c>
      <c r="B64" s="1589"/>
      <c r="C64" s="1589"/>
      <c r="D64" s="1589"/>
      <c r="E64" s="1589"/>
      <c r="F64" s="1589"/>
      <c r="G64" s="1589"/>
      <c r="H64" s="1589"/>
      <c r="I64" s="1589"/>
      <c r="J64" s="1589"/>
      <c r="K64" s="1589"/>
      <c r="L64" s="1589"/>
      <c r="M64" s="1589"/>
      <c r="N64" s="1107"/>
      <c r="O64" s="1107"/>
      <c r="P64" s="1107"/>
      <c r="Q64" s="1107"/>
      <c r="R64" s="1107"/>
      <c r="S64" s="1107"/>
    </row>
    <row r="65" spans="1:20" s="155" customFormat="1" x14ac:dyDescent="0.2">
      <c r="A65" s="1589"/>
      <c r="B65" s="1589"/>
      <c r="C65" s="1589"/>
      <c r="D65" s="1589"/>
      <c r="E65" s="1589"/>
      <c r="F65" s="1589"/>
      <c r="G65" s="1589"/>
      <c r="H65" s="1589"/>
      <c r="I65" s="1589"/>
      <c r="J65" s="1589"/>
      <c r="K65" s="1589"/>
      <c r="L65" s="1589"/>
      <c r="M65" s="1589"/>
      <c r="N65" s="1107"/>
      <c r="O65" s="1107"/>
      <c r="P65" s="1107"/>
      <c r="Q65" s="1107"/>
      <c r="R65" s="1107"/>
      <c r="S65" s="1107"/>
    </row>
    <row r="66" spans="1:20" s="155" customFormat="1" x14ac:dyDescent="0.2">
      <c r="A66" s="1131"/>
      <c r="B66" s="1420"/>
      <c r="C66" s="1421"/>
      <c r="D66" s="1421"/>
      <c r="E66" s="1421"/>
      <c r="F66" s="1421"/>
      <c r="G66" s="1421"/>
      <c r="H66" s="1421"/>
      <c r="I66" s="1421"/>
      <c r="J66" s="1421"/>
      <c r="K66" s="1421"/>
      <c r="L66" s="1421"/>
      <c r="M66" s="1421"/>
      <c r="N66" s="1107"/>
      <c r="O66" s="1107"/>
      <c r="P66" s="1107"/>
      <c r="Q66" s="1107"/>
      <c r="R66" s="1107"/>
      <c r="S66" s="1107"/>
    </row>
    <row r="67" spans="1:20" s="155" customFormat="1" x14ac:dyDescent="0.2">
      <c r="A67" s="1050"/>
      <c r="B67" s="1050"/>
      <c r="C67" s="1050"/>
      <c r="D67" s="1050"/>
      <c r="E67" s="1050"/>
      <c r="F67" s="1050"/>
      <c r="G67" s="1050"/>
      <c r="H67" s="1050"/>
      <c r="I67" s="1050"/>
      <c r="J67" s="1050"/>
      <c r="K67" s="1050"/>
      <c r="L67" s="1050"/>
      <c r="M67" s="1050"/>
      <c r="N67" s="1050"/>
      <c r="O67" s="1050"/>
      <c r="P67" s="1050"/>
      <c r="Q67" s="1050"/>
      <c r="R67" s="1050"/>
      <c r="S67" s="1050"/>
    </row>
    <row r="68" spans="1:20" s="155" customFormat="1" x14ac:dyDescent="0.2">
      <c r="A68" s="1107"/>
      <c r="B68" s="1107"/>
      <c r="C68" s="1107"/>
      <c r="D68" s="1107"/>
      <c r="E68" s="1107"/>
      <c r="F68" s="1107"/>
      <c r="G68" s="1107"/>
      <c r="H68" s="1107"/>
      <c r="I68" s="1107"/>
      <c r="J68" s="1107"/>
      <c r="K68" s="1107"/>
      <c r="L68" s="1107"/>
      <c r="M68" s="1107"/>
      <c r="N68" s="1107"/>
      <c r="O68" s="1107"/>
      <c r="P68" s="1107"/>
      <c r="Q68" s="1107"/>
      <c r="R68" s="1107"/>
      <c r="S68" s="1107"/>
    </row>
    <row r="69" spans="1:20" s="155" customFormat="1" x14ac:dyDescent="0.2">
      <c r="A69" s="1041" t="s">
        <v>899</v>
      </c>
      <c r="B69" s="1041"/>
      <c r="C69" s="1041"/>
      <c r="D69" s="1041"/>
      <c r="E69" s="1041"/>
      <c r="F69" s="1041"/>
      <c r="G69" s="157"/>
      <c r="H69" s="157"/>
      <c r="I69" s="157"/>
      <c r="J69" s="157"/>
      <c r="K69" s="157"/>
      <c r="L69" s="157"/>
      <c r="M69" s="157"/>
      <c r="N69" s="157"/>
      <c r="O69" s="157"/>
      <c r="P69" s="157"/>
      <c r="Q69" s="157"/>
      <c r="R69" s="157"/>
      <c r="S69" s="157"/>
    </row>
    <row r="70" spans="1:20" s="155" customFormat="1" ht="16.5" customHeight="1" x14ac:dyDescent="0.2">
      <c r="A70" s="1045"/>
      <c r="B70" s="1045"/>
      <c r="C70" s="1045"/>
      <c r="D70" s="1045"/>
      <c r="E70" s="1045"/>
      <c r="F70" s="1045"/>
      <c r="G70" s="1045"/>
      <c r="H70" s="1045"/>
      <c r="I70" s="1045"/>
      <c r="J70" s="1045"/>
      <c r="K70" s="1045"/>
      <c r="L70" s="1045"/>
      <c r="M70" s="1045"/>
      <c r="N70" s="1045"/>
      <c r="O70" s="1045"/>
      <c r="P70" s="1045"/>
      <c r="Q70" s="1045"/>
      <c r="R70" s="1045"/>
      <c r="S70" s="1045"/>
      <c r="T70" s="158"/>
    </row>
    <row r="71" spans="1:20" s="155" customFormat="1" x14ac:dyDescent="0.2">
      <c r="A71" s="153" t="s">
        <v>1041</v>
      </c>
      <c r="B71" s="156"/>
      <c r="C71" s="156"/>
      <c r="D71" s="156"/>
    </row>
    <row r="72" spans="1:20" s="155" customFormat="1" x14ac:dyDescent="0.2">
      <c r="A72" s="153"/>
      <c r="B72" s="156"/>
      <c r="C72" s="156"/>
      <c r="D72" s="156"/>
    </row>
    <row r="73" spans="1:20" ht="69" customHeight="1" x14ac:dyDescent="0.2">
      <c r="A73" s="1590" t="s">
        <v>1187</v>
      </c>
      <c r="B73" s="1590"/>
      <c r="C73" s="1590"/>
      <c r="D73" s="1590"/>
      <c r="E73" s="1590"/>
      <c r="F73" s="1590"/>
      <c r="G73" s="1590"/>
      <c r="H73" s="1590"/>
      <c r="I73" s="1590"/>
      <c r="J73" s="1590"/>
      <c r="K73" s="1590"/>
      <c r="L73" s="1590"/>
      <c r="M73" s="1590"/>
      <c r="N73" s="155"/>
      <c r="O73" s="155"/>
      <c r="P73" s="155"/>
      <c r="Q73" s="155"/>
      <c r="R73" s="155"/>
      <c r="S73" s="155"/>
    </row>
    <row r="74" spans="1:20" x14ac:dyDescent="0.2">
      <c r="A74" s="155"/>
      <c r="B74" s="155"/>
      <c r="C74" s="155"/>
      <c r="D74" s="155"/>
      <c r="E74" s="155"/>
      <c r="F74" s="155"/>
      <c r="G74" s="155"/>
      <c r="H74" s="155"/>
      <c r="I74" s="155"/>
      <c r="J74" s="155"/>
      <c r="K74" s="155"/>
      <c r="L74" s="155"/>
      <c r="M74" s="155"/>
      <c r="N74" s="155"/>
      <c r="O74" s="155"/>
      <c r="P74" s="155"/>
      <c r="Q74" s="155"/>
      <c r="R74" s="155"/>
      <c r="S74" s="155"/>
    </row>
    <row r="75" spans="1:20" x14ac:dyDescent="0.2">
      <c r="A75" s="155"/>
      <c r="B75" s="155"/>
      <c r="C75" s="155"/>
      <c r="D75" s="155"/>
      <c r="E75" s="155"/>
      <c r="F75" s="155"/>
      <c r="G75" s="155"/>
      <c r="H75" s="155"/>
      <c r="I75" s="155"/>
      <c r="J75" s="155"/>
      <c r="K75" s="155"/>
      <c r="L75" s="155"/>
      <c r="M75" s="155"/>
      <c r="N75" s="155"/>
      <c r="O75" s="155"/>
      <c r="P75" s="155"/>
      <c r="Q75" s="155"/>
      <c r="R75" s="155"/>
      <c r="S75" s="155"/>
    </row>
    <row r="76" spans="1:20" x14ac:dyDescent="0.2">
      <c r="A76" s="1593"/>
      <c r="B76" s="1593"/>
      <c r="C76" s="1593"/>
      <c r="D76" s="1593"/>
      <c r="E76" s="1593"/>
      <c r="F76" s="1593"/>
      <c r="G76" s="1593"/>
      <c r="H76" s="1593"/>
      <c r="I76" s="1593"/>
      <c r="J76" s="1593"/>
      <c r="K76" s="1593"/>
      <c r="L76" s="1593"/>
      <c r="M76" s="1593"/>
      <c r="N76" s="1593"/>
      <c r="O76" s="1593"/>
      <c r="P76" s="1593"/>
      <c r="Q76" s="1593"/>
      <c r="R76" s="1593"/>
      <c r="S76" s="1593"/>
    </row>
    <row r="77" spans="1:20" x14ac:dyDescent="0.2">
      <c r="A77" s="1593"/>
      <c r="B77" s="1593"/>
      <c r="C77" s="1593"/>
      <c r="D77" s="1593"/>
      <c r="E77" s="1593"/>
      <c r="F77" s="1593"/>
      <c r="G77" s="1593"/>
      <c r="H77" s="1593"/>
      <c r="I77" s="1593"/>
      <c r="J77" s="1593"/>
      <c r="K77" s="1593"/>
      <c r="L77" s="1593"/>
      <c r="M77" s="1593"/>
      <c r="N77" s="1593"/>
      <c r="O77" s="1593"/>
      <c r="P77" s="1593"/>
      <c r="Q77" s="1593"/>
      <c r="R77" s="1593"/>
      <c r="S77" s="1593"/>
    </row>
    <row r="78" spans="1:20" x14ac:dyDescent="0.2">
      <c r="A78" s="1593"/>
      <c r="B78" s="1593"/>
      <c r="C78" s="1593"/>
      <c r="D78" s="1593"/>
      <c r="E78" s="1593"/>
      <c r="F78" s="1593"/>
      <c r="G78" s="1593"/>
      <c r="H78" s="1593"/>
      <c r="I78" s="1593"/>
      <c r="J78" s="1593"/>
      <c r="K78" s="1593"/>
      <c r="L78" s="1593"/>
      <c r="M78" s="1593"/>
      <c r="N78" s="1593"/>
      <c r="O78" s="1593"/>
      <c r="P78" s="1593"/>
      <c r="Q78" s="1593"/>
      <c r="R78" s="1593"/>
      <c r="S78" s="1593"/>
    </row>
    <row r="79" spans="1:20" x14ac:dyDescent="0.2">
      <c r="L79" s="1593"/>
      <c r="M79" s="1593"/>
      <c r="N79" s="1593"/>
      <c r="O79" s="1593"/>
      <c r="P79" s="1593"/>
      <c r="Q79" s="1593"/>
      <c r="R79" s="1593"/>
      <c r="S79" s="1593"/>
    </row>
    <row r="80" spans="1:20" x14ac:dyDescent="0.2">
      <c r="A80" s="1593"/>
      <c r="B80" s="1593"/>
      <c r="C80" s="1593"/>
      <c r="D80" s="1593"/>
      <c r="E80" s="1593"/>
      <c r="F80" s="1593"/>
      <c r="G80" s="1593"/>
      <c r="H80" s="1593"/>
      <c r="I80" s="1593"/>
      <c r="J80" s="1593"/>
      <c r="K80" s="1593"/>
      <c r="L80" s="1593"/>
      <c r="M80" s="1593"/>
      <c r="N80" s="1593"/>
      <c r="O80" s="1593"/>
      <c r="P80" s="1593"/>
      <c r="Q80" s="1593"/>
      <c r="R80" s="1593"/>
      <c r="S80" s="1593"/>
    </row>
    <row r="81" spans="1:19" x14ac:dyDescent="0.2">
      <c r="A81" s="1593"/>
      <c r="B81" s="1593"/>
      <c r="C81" s="1593"/>
      <c r="D81" s="1593"/>
      <c r="E81" s="1593"/>
      <c r="F81" s="1593"/>
      <c r="G81" s="1593"/>
      <c r="H81" s="1593"/>
      <c r="I81" s="1593"/>
      <c r="J81" s="1593"/>
      <c r="K81" s="1593"/>
      <c r="L81" s="1593"/>
      <c r="M81" s="1593"/>
      <c r="N81" s="1593"/>
      <c r="O81" s="1593"/>
      <c r="P81" s="1593"/>
      <c r="Q81" s="1593"/>
      <c r="R81" s="1593"/>
      <c r="S81" s="1593"/>
    </row>
    <row r="82" spans="1:19" x14ac:dyDescent="0.2">
      <c r="A82" s="1593"/>
      <c r="B82" s="1593"/>
      <c r="C82" s="1593"/>
      <c r="D82" s="1593"/>
      <c r="E82" s="1593"/>
      <c r="F82" s="1593"/>
      <c r="G82" s="1593"/>
      <c r="H82" s="1593"/>
      <c r="I82" s="1593"/>
      <c r="J82" s="1593"/>
      <c r="K82" s="1593"/>
      <c r="L82" s="1593"/>
      <c r="M82" s="1593"/>
      <c r="N82" s="1593"/>
      <c r="O82" s="1593"/>
      <c r="P82" s="1593"/>
      <c r="Q82" s="1593"/>
      <c r="R82" s="1593"/>
      <c r="S82" s="1593"/>
    </row>
    <row r="83" spans="1:19" x14ac:dyDescent="0.2">
      <c r="A83" s="1593"/>
      <c r="B83" s="1593"/>
      <c r="C83" s="1593"/>
      <c r="D83" s="1593"/>
      <c r="E83" s="1593"/>
      <c r="F83" s="1593"/>
      <c r="G83" s="1593"/>
      <c r="H83" s="1593"/>
      <c r="I83" s="1593"/>
      <c r="J83" s="1593"/>
      <c r="K83" s="1593"/>
      <c r="L83" s="1593"/>
      <c r="M83" s="1593"/>
      <c r="N83" s="1593"/>
      <c r="O83" s="1593"/>
      <c r="P83" s="1593"/>
      <c r="Q83" s="1593"/>
      <c r="R83" s="1593"/>
      <c r="S83" s="1593"/>
    </row>
    <row r="84" spans="1:19" x14ac:dyDescent="0.2">
      <c r="A84" s="1593"/>
      <c r="B84" s="1593"/>
      <c r="C84" s="1593"/>
      <c r="D84" s="1593"/>
      <c r="E84" s="1593"/>
      <c r="F84" s="1593"/>
      <c r="G84" s="1593"/>
      <c r="H84" s="1593"/>
      <c r="I84" s="1593"/>
      <c r="J84" s="1593"/>
      <c r="K84" s="1593"/>
      <c r="L84" s="1593"/>
      <c r="M84" s="1593"/>
      <c r="N84" s="1593"/>
      <c r="O84" s="1593"/>
      <c r="P84" s="1593"/>
      <c r="Q84" s="1593"/>
      <c r="R84" s="1593"/>
      <c r="S84" s="1593"/>
    </row>
    <row r="85" spans="1:19" x14ac:dyDescent="0.2">
      <c r="A85" s="1593"/>
      <c r="B85" s="1593"/>
      <c r="C85" s="1593"/>
      <c r="D85" s="1593"/>
      <c r="E85" s="1593"/>
      <c r="F85" s="1593"/>
      <c r="G85" s="1593"/>
      <c r="H85" s="1593"/>
      <c r="I85" s="1593"/>
      <c r="J85" s="1593"/>
      <c r="K85" s="1593"/>
      <c r="L85" s="1593"/>
      <c r="M85" s="1593"/>
      <c r="N85" s="1593"/>
      <c r="O85" s="1593"/>
      <c r="P85" s="1593"/>
      <c r="Q85" s="1593"/>
      <c r="R85" s="1593"/>
      <c r="S85" s="1593"/>
    </row>
    <row r="86" spans="1:19" x14ac:dyDescent="0.2">
      <c r="A86" s="1593"/>
      <c r="B86" s="1593"/>
      <c r="C86" s="1593"/>
      <c r="D86" s="1593"/>
      <c r="E86" s="1593"/>
      <c r="F86" s="1593"/>
      <c r="G86" s="1593"/>
      <c r="H86" s="1593"/>
      <c r="I86" s="1593"/>
      <c r="J86" s="1593"/>
      <c r="K86" s="1593"/>
      <c r="L86" s="1593"/>
      <c r="M86" s="1593"/>
      <c r="N86" s="1593"/>
      <c r="O86" s="1593"/>
      <c r="P86" s="1593"/>
      <c r="Q86" s="1593"/>
      <c r="R86" s="1593"/>
      <c r="S86" s="1593"/>
    </row>
    <row r="87" spans="1:19" x14ac:dyDescent="0.2">
      <c r="A87" s="1593"/>
      <c r="B87" s="1593"/>
      <c r="C87" s="1593"/>
      <c r="D87" s="1593"/>
      <c r="E87" s="1593"/>
      <c r="F87" s="1593"/>
      <c r="G87" s="1593"/>
      <c r="H87" s="1593"/>
      <c r="I87" s="1593"/>
      <c r="J87" s="1593"/>
      <c r="K87" s="1593"/>
      <c r="L87" s="1593"/>
      <c r="M87" s="1593"/>
      <c r="N87" s="1593"/>
      <c r="O87" s="1593"/>
      <c r="P87" s="1593"/>
      <c r="Q87" s="1593"/>
      <c r="R87" s="1593"/>
      <c r="S87" s="1593"/>
    </row>
    <row r="88" spans="1:19" x14ac:dyDescent="0.2">
      <c r="A88" s="1593"/>
      <c r="B88" s="1593"/>
      <c r="C88" s="1593"/>
      <c r="D88" s="1593"/>
      <c r="E88" s="1593"/>
      <c r="F88" s="1593"/>
      <c r="G88" s="1593"/>
      <c r="H88" s="1593"/>
      <c r="I88" s="1593"/>
      <c r="J88" s="1593"/>
      <c r="K88" s="1593"/>
      <c r="L88" s="1593"/>
      <c r="M88" s="1593"/>
      <c r="N88" s="1593"/>
      <c r="O88" s="1593"/>
      <c r="P88" s="1593"/>
      <c r="Q88" s="1593"/>
      <c r="R88" s="1593"/>
      <c r="S88" s="1593"/>
    </row>
    <row r="89" spans="1:19" x14ac:dyDescent="0.2">
      <c r="A89" s="1593"/>
      <c r="B89" s="1593"/>
      <c r="C89" s="1593"/>
      <c r="D89" s="1593"/>
      <c r="E89" s="1593"/>
      <c r="F89" s="1593"/>
      <c r="G89" s="1593"/>
      <c r="H89" s="1593"/>
      <c r="I89" s="1593"/>
      <c r="J89" s="1593"/>
      <c r="K89" s="1593"/>
      <c r="L89" s="1593"/>
      <c r="M89" s="1593"/>
      <c r="N89" s="1593"/>
      <c r="O89" s="1593"/>
      <c r="P89" s="1593"/>
      <c r="Q89" s="1593"/>
      <c r="R89" s="1593"/>
      <c r="S89" s="1593"/>
    </row>
    <row r="90" spans="1:19" x14ac:dyDescent="0.2">
      <c r="A90" s="1593"/>
      <c r="B90" s="1593"/>
      <c r="C90" s="1593"/>
      <c r="D90" s="1593"/>
      <c r="E90" s="1593"/>
      <c r="F90" s="1593"/>
      <c r="G90" s="1593"/>
      <c r="H90" s="1593"/>
      <c r="I90" s="1593"/>
      <c r="J90" s="1593"/>
      <c r="K90" s="1593"/>
      <c r="L90" s="1593"/>
      <c r="M90" s="1593"/>
      <c r="N90" s="1593"/>
      <c r="O90" s="1593"/>
      <c r="P90" s="1593"/>
      <c r="Q90" s="1593"/>
      <c r="R90" s="1593"/>
      <c r="S90" s="1593"/>
    </row>
    <row r="91" spans="1:19" x14ac:dyDescent="0.2">
      <c r="A91" s="1593"/>
      <c r="B91" s="1593"/>
      <c r="C91" s="1593"/>
      <c r="D91" s="1593"/>
      <c r="E91" s="1593"/>
      <c r="F91" s="1593"/>
      <c r="G91" s="1593"/>
      <c r="H91" s="1593"/>
      <c r="I91" s="1593"/>
      <c r="J91" s="1593"/>
      <c r="K91" s="1593"/>
      <c r="L91" s="1593"/>
      <c r="M91" s="1593"/>
      <c r="N91" s="1593"/>
      <c r="O91" s="1593"/>
      <c r="P91" s="1593"/>
      <c r="Q91" s="1593"/>
      <c r="R91" s="1593"/>
      <c r="S91" s="1593"/>
    </row>
    <row r="92" spans="1:19" x14ac:dyDescent="0.2">
      <c r="A92" s="1593"/>
      <c r="B92" s="1593"/>
      <c r="C92" s="1593"/>
      <c r="D92" s="1593"/>
      <c r="E92" s="1593"/>
      <c r="F92" s="1593"/>
      <c r="G92" s="1593"/>
      <c r="H92" s="1593"/>
      <c r="I92" s="1593"/>
      <c r="J92" s="1593"/>
      <c r="K92" s="1593"/>
      <c r="L92" s="1593"/>
      <c r="M92" s="1593"/>
      <c r="N92" s="1593"/>
      <c r="O92" s="1593"/>
      <c r="P92" s="1593"/>
      <c r="Q92" s="1593"/>
      <c r="R92" s="1593"/>
      <c r="S92" s="1593"/>
    </row>
    <row r="93" spans="1:19" x14ac:dyDescent="0.2">
      <c r="A93" s="1602"/>
      <c r="B93" s="1602"/>
      <c r="C93" s="1602"/>
      <c r="D93" s="1602"/>
      <c r="E93" s="1602"/>
      <c r="F93" s="1602"/>
      <c r="G93" s="1602"/>
      <c r="H93" s="1602"/>
      <c r="I93" s="1602"/>
      <c r="J93" s="1602"/>
      <c r="K93" s="1602"/>
      <c r="L93" s="1593"/>
      <c r="M93" s="1593"/>
      <c r="N93" s="1593"/>
      <c r="O93" s="1593"/>
      <c r="P93" s="1593"/>
      <c r="Q93" s="1593"/>
      <c r="R93" s="1593"/>
      <c r="S93" s="1593"/>
    </row>
    <row r="94" spans="1:19" x14ac:dyDescent="0.2">
      <c r="A94" s="1602"/>
      <c r="B94" s="1602"/>
      <c r="C94" s="1602"/>
      <c r="D94" s="1602"/>
      <c r="E94" s="1602"/>
      <c r="F94" s="1602"/>
      <c r="G94" s="1602"/>
      <c r="H94" s="1602"/>
      <c r="I94" s="1602"/>
      <c r="J94" s="1602"/>
      <c r="K94" s="1602"/>
      <c r="L94" s="1593"/>
      <c r="M94" s="1593"/>
      <c r="N94" s="1593"/>
      <c r="O94" s="1593"/>
      <c r="P94" s="1593"/>
      <c r="Q94" s="1593"/>
      <c r="R94" s="1593"/>
      <c r="S94" s="1593"/>
    </row>
    <row r="95" spans="1:19" x14ac:dyDescent="0.2">
      <c r="A95" s="1593"/>
      <c r="B95" s="1593"/>
      <c r="C95" s="1593"/>
      <c r="D95" s="1593"/>
      <c r="E95" s="1593"/>
      <c r="F95" s="1593"/>
      <c r="G95" s="1593"/>
      <c r="H95" s="1593"/>
      <c r="I95" s="1593"/>
      <c r="J95" s="1593"/>
      <c r="K95" s="1593"/>
      <c r="L95" s="1593"/>
      <c r="M95" s="1593"/>
      <c r="N95" s="1593"/>
      <c r="O95" s="1593"/>
      <c r="P95" s="1593"/>
      <c r="Q95" s="1593"/>
      <c r="R95" s="1593"/>
      <c r="S95" s="1593"/>
    </row>
    <row r="96" spans="1:19" x14ac:dyDescent="0.2">
      <c r="L96" s="1593"/>
      <c r="M96" s="1593"/>
      <c r="N96" s="1593"/>
      <c r="O96" s="1593"/>
      <c r="P96" s="1593"/>
      <c r="Q96" s="1593"/>
      <c r="R96" s="1593"/>
      <c r="S96" s="1593"/>
    </row>
    <row r="97" spans="1:19" x14ac:dyDescent="0.2">
      <c r="A97" s="1593"/>
      <c r="B97" s="1593"/>
      <c r="C97" s="1593"/>
      <c r="D97" s="1593"/>
      <c r="E97" s="1593"/>
      <c r="F97" s="1593"/>
      <c r="G97" s="1593"/>
      <c r="H97" s="1593"/>
      <c r="I97" s="1593"/>
      <c r="J97" s="1593"/>
      <c r="K97" s="1593"/>
      <c r="L97" s="1593"/>
      <c r="M97" s="1593"/>
      <c r="N97" s="1593"/>
      <c r="O97" s="1593"/>
      <c r="P97" s="1593"/>
      <c r="Q97" s="1593"/>
      <c r="R97" s="1593"/>
      <c r="S97" s="1593"/>
    </row>
    <row r="98" spans="1:19" x14ac:dyDescent="0.2">
      <c r="A98" s="1593"/>
      <c r="B98" s="1593"/>
      <c r="C98" s="1593"/>
      <c r="D98" s="1593"/>
      <c r="E98" s="1593"/>
      <c r="F98" s="1593"/>
      <c r="G98" s="1593"/>
      <c r="H98" s="1593"/>
      <c r="I98" s="1593"/>
      <c r="J98" s="1593"/>
      <c r="K98" s="1593"/>
      <c r="L98" s="1593"/>
      <c r="M98" s="1593"/>
      <c r="N98" s="1593"/>
      <c r="O98" s="1593"/>
      <c r="P98" s="1593"/>
      <c r="Q98" s="1593"/>
      <c r="R98" s="1593"/>
      <c r="S98" s="1593"/>
    </row>
    <row r="99" spans="1:19" x14ac:dyDescent="0.2">
      <c r="A99" s="1593"/>
      <c r="B99" s="1593"/>
      <c r="C99" s="1593"/>
      <c r="D99" s="1593"/>
      <c r="E99" s="1593"/>
      <c r="F99" s="1593"/>
      <c r="G99" s="1593"/>
      <c r="H99" s="1593"/>
      <c r="I99" s="1593"/>
      <c r="J99" s="1593"/>
      <c r="K99" s="1593"/>
      <c r="L99" s="1593"/>
      <c r="M99" s="1593"/>
      <c r="N99" s="1593"/>
      <c r="O99" s="1593"/>
      <c r="P99" s="1593"/>
      <c r="Q99" s="1593"/>
      <c r="R99" s="1593"/>
      <c r="S99" s="1593"/>
    </row>
    <row r="100" spans="1:19" x14ac:dyDescent="0.2">
      <c r="A100" s="1593"/>
      <c r="B100" s="1593"/>
      <c r="C100" s="1593"/>
      <c r="D100" s="1593"/>
      <c r="E100" s="1593"/>
      <c r="F100" s="1593"/>
      <c r="G100" s="1593"/>
      <c r="H100" s="1593"/>
      <c r="I100" s="1593"/>
      <c r="J100" s="1593"/>
      <c r="K100" s="1593"/>
      <c r="L100" s="1593"/>
      <c r="M100" s="1593"/>
      <c r="N100" s="1593"/>
      <c r="O100" s="1593"/>
      <c r="P100" s="1593"/>
      <c r="Q100" s="1593"/>
      <c r="R100" s="1593"/>
      <c r="S100" s="1593"/>
    </row>
    <row r="101" spans="1:19" x14ac:dyDescent="0.2">
      <c r="A101" s="1593"/>
      <c r="B101" s="1593"/>
      <c r="C101" s="1593"/>
      <c r="D101" s="1593"/>
      <c r="E101" s="1593"/>
      <c r="F101" s="1593"/>
      <c r="G101" s="1593"/>
      <c r="H101" s="1593"/>
      <c r="I101" s="1593"/>
      <c r="J101" s="1593"/>
      <c r="K101" s="1593"/>
      <c r="L101" s="1593"/>
      <c r="M101" s="1593"/>
      <c r="N101" s="1593"/>
      <c r="O101" s="1593"/>
      <c r="P101" s="1593"/>
      <c r="Q101" s="1593"/>
      <c r="R101" s="1593"/>
      <c r="S101" s="1593"/>
    </row>
    <row r="102" spans="1:19" x14ac:dyDescent="0.2">
      <c r="A102" s="1593"/>
      <c r="B102" s="1593"/>
      <c r="C102" s="1593"/>
      <c r="D102" s="1593"/>
      <c r="E102" s="1593"/>
      <c r="F102" s="1593"/>
      <c r="G102" s="1593"/>
      <c r="H102" s="1593"/>
      <c r="I102" s="1593"/>
      <c r="J102" s="1593"/>
      <c r="K102" s="1593"/>
      <c r="L102" s="1593"/>
      <c r="M102" s="1593"/>
      <c r="N102" s="1593"/>
      <c r="O102" s="1593"/>
      <c r="P102" s="1593"/>
      <c r="Q102" s="1593"/>
      <c r="R102" s="1593"/>
      <c r="S102" s="1593"/>
    </row>
    <row r="103" spans="1:19" x14ac:dyDescent="0.2">
      <c r="A103" s="1593"/>
      <c r="B103" s="1593"/>
      <c r="C103" s="1593"/>
      <c r="D103" s="1593"/>
      <c r="E103" s="1593"/>
      <c r="F103" s="1593"/>
      <c r="G103" s="1593"/>
      <c r="H103" s="1593"/>
      <c r="I103" s="1593"/>
      <c r="J103" s="1593"/>
      <c r="K103" s="1593"/>
      <c r="L103" s="1593"/>
      <c r="M103" s="1593"/>
      <c r="N103" s="1593"/>
      <c r="O103" s="1593"/>
      <c r="P103" s="1593"/>
      <c r="Q103" s="1593"/>
      <c r="R103" s="1593"/>
      <c r="S103" s="1593"/>
    </row>
    <row r="104" spans="1:19" x14ac:dyDescent="0.2">
      <c r="A104" s="1593"/>
      <c r="B104" s="1593"/>
      <c r="C104" s="1593"/>
      <c r="D104" s="1593"/>
      <c r="E104" s="1593"/>
      <c r="F104" s="1593"/>
      <c r="G104" s="1593"/>
      <c r="H104" s="1593"/>
      <c r="I104" s="1593"/>
      <c r="J104" s="1593"/>
      <c r="K104" s="1593"/>
      <c r="L104" s="1593"/>
      <c r="M104" s="1593"/>
      <c r="N104" s="1593"/>
      <c r="O104" s="1593"/>
      <c r="P104" s="1593"/>
      <c r="Q104" s="1593"/>
      <c r="R104" s="1593"/>
      <c r="S104" s="1593"/>
    </row>
    <row r="105" spans="1:19" x14ac:dyDescent="0.2">
      <c r="A105" s="1593"/>
      <c r="B105" s="1593"/>
      <c r="C105" s="1593"/>
      <c r="D105" s="1593"/>
      <c r="E105" s="1593"/>
      <c r="F105" s="1593"/>
      <c r="G105" s="1593"/>
      <c r="H105" s="1593"/>
      <c r="I105" s="1593"/>
      <c r="J105" s="1593"/>
      <c r="K105" s="1593"/>
      <c r="L105" s="1593"/>
      <c r="M105" s="1593"/>
      <c r="N105" s="1593"/>
      <c r="O105" s="1593"/>
      <c r="P105" s="1593"/>
      <c r="Q105" s="1593"/>
      <c r="R105" s="1593"/>
      <c r="S105" s="1593"/>
    </row>
    <row r="106" spans="1:19" x14ac:dyDescent="0.2">
      <c r="A106" s="1593"/>
      <c r="B106" s="1593"/>
      <c r="C106" s="1593"/>
      <c r="D106" s="1593"/>
      <c r="E106" s="1593"/>
      <c r="F106" s="1593"/>
      <c r="G106" s="1593"/>
      <c r="H106" s="1593"/>
      <c r="I106" s="1593"/>
      <c r="J106" s="1593"/>
      <c r="K106" s="1593"/>
      <c r="L106" s="1593"/>
      <c r="M106" s="1593"/>
      <c r="N106" s="1593"/>
      <c r="O106" s="1593"/>
      <c r="P106" s="1593"/>
      <c r="Q106" s="1593"/>
      <c r="R106" s="1593"/>
      <c r="S106" s="1593"/>
    </row>
    <row r="107" spans="1:19" x14ac:dyDescent="0.2">
      <c r="A107" s="1593"/>
      <c r="B107" s="1593"/>
      <c r="C107" s="1593"/>
      <c r="D107" s="1593"/>
      <c r="E107" s="1593"/>
      <c r="F107" s="1593"/>
      <c r="G107" s="1593"/>
      <c r="H107" s="1593"/>
      <c r="I107" s="1593"/>
      <c r="J107" s="1593"/>
      <c r="K107" s="1593"/>
      <c r="L107" s="1593"/>
      <c r="M107" s="1593"/>
      <c r="N107" s="1593"/>
      <c r="O107" s="1593"/>
      <c r="P107" s="1593"/>
      <c r="Q107" s="1593"/>
      <c r="R107" s="1593"/>
      <c r="S107" s="1593"/>
    </row>
    <row r="108" spans="1:19" x14ac:dyDescent="0.2">
      <c r="A108" s="1593"/>
      <c r="B108" s="1593"/>
      <c r="C108" s="1593"/>
      <c r="D108" s="1593"/>
      <c r="E108" s="1593"/>
      <c r="F108" s="1593"/>
      <c r="G108" s="1593"/>
      <c r="H108" s="1593"/>
      <c r="I108" s="1593"/>
      <c r="J108" s="1593"/>
      <c r="K108" s="1593"/>
      <c r="L108" s="1593"/>
      <c r="M108" s="1593"/>
      <c r="N108" s="1593"/>
      <c r="O108" s="1593"/>
      <c r="P108" s="1593"/>
      <c r="Q108" s="1593"/>
      <c r="R108" s="1593"/>
      <c r="S108" s="1593"/>
    </row>
    <row r="109" spans="1:19" x14ac:dyDescent="0.2">
      <c r="A109" s="1593"/>
      <c r="B109" s="1593"/>
      <c r="C109" s="1593"/>
      <c r="D109" s="1593"/>
      <c r="E109" s="1593"/>
      <c r="F109" s="1593"/>
      <c r="G109" s="1593"/>
      <c r="H109" s="1593"/>
      <c r="I109" s="1593"/>
      <c r="J109" s="1593"/>
      <c r="K109" s="1593"/>
      <c r="L109" s="1593"/>
      <c r="M109" s="1593"/>
      <c r="N109" s="1593"/>
      <c r="O109" s="1593"/>
      <c r="P109" s="1593"/>
      <c r="Q109" s="1593"/>
      <c r="R109" s="1593"/>
      <c r="S109" s="1593"/>
    </row>
    <row r="110" spans="1:19" x14ac:dyDescent="0.2">
      <c r="A110" s="1593"/>
      <c r="B110" s="1593"/>
      <c r="C110" s="1593"/>
      <c r="D110" s="1593"/>
      <c r="E110" s="1593"/>
      <c r="F110" s="1593"/>
      <c r="G110" s="1593"/>
      <c r="H110" s="1593"/>
      <c r="I110" s="1593"/>
      <c r="J110" s="1593"/>
      <c r="K110" s="1593"/>
      <c r="L110" s="1593"/>
      <c r="M110" s="1593"/>
      <c r="N110" s="1593"/>
      <c r="O110" s="1593"/>
      <c r="P110" s="1593"/>
      <c r="Q110" s="1593"/>
      <c r="R110" s="1593"/>
      <c r="S110" s="1593"/>
    </row>
    <row r="111" spans="1:19" x14ac:dyDescent="0.2">
      <c r="A111" s="1593"/>
      <c r="B111" s="1593"/>
      <c r="C111" s="1593"/>
      <c r="D111" s="1593"/>
      <c r="E111" s="1593"/>
      <c r="F111" s="1593"/>
      <c r="G111" s="1593"/>
      <c r="H111" s="1593"/>
      <c r="I111" s="1593"/>
      <c r="J111" s="1593"/>
      <c r="K111" s="1593"/>
      <c r="L111" s="1593"/>
      <c r="M111" s="1593"/>
      <c r="N111" s="1593"/>
      <c r="O111" s="1593"/>
      <c r="P111" s="1593"/>
      <c r="Q111" s="1593"/>
      <c r="R111" s="1593"/>
      <c r="S111" s="1593"/>
    </row>
    <row r="112" spans="1:19" x14ac:dyDescent="0.2">
      <c r="A112" s="1593"/>
      <c r="B112" s="1593"/>
      <c r="C112" s="1593"/>
      <c r="D112" s="1593"/>
      <c r="E112" s="1593"/>
      <c r="F112" s="1593"/>
      <c r="G112" s="1593"/>
      <c r="H112" s="1593"/>
      <c r="I112" s="1593"/>
      <c r="J112" s="1593"/>
      <c r="K112" s="1593"/>
      <c r="L112" s="1593"/>
      <c r="M112" s="1593"/>
      <c r="N112" s="1593"/>
      <c r="O112" s="1593"/>
      <c r="P112" s="1593"/>
      <c r="Q112" s="1593"/>
      <c r="R112" s="1593"/>
      <c r="S112" s="1593"/>
    </row>
    <row r="113" spans="1:19" x14ac:dyDescent="0.2">
      <c r="A113" s="1593"/>
      <c r="B113" s="1593"/>
      <c r="C113" s="1593"/>
      <c r="D113" s="1593"/>
      <c r="E113" s="1593"/>
      <c r="F113" s="1593"/>
      <c r="G113" s="1593"/>
      <c r="H113" s="1593"/>
      <c r="I113" s="1593"/>
      <c r="J113" s="1593"/>
      <c r="K113" s="1593"/>
      <c r="L113" s="1593"/>
      <c r="M113" s="1593"/>
      <c r="N113" s="1593"/>
      <c r="O113" s="1593"/>
      <c r="P113" s="1593"/>
      <c r="Q113" s="1593"/>
      <c r="R113" s="1593"/>
      <c r="S113" s="1593"/>
    </row>
    <row r="114" spans="1:19" x14ac:dyDescent="0.2">
      <c r="A114" s="1593"/>
      <c r="B114" s="1593"/>
      <c r="C114" s="1593"/>
      <c r="D114" s="1593"/>
      <c r="E114" s="1593"/>
      <c r="F114" s="1593"/>
      <c r="G114" s="1593"/>
      <c r="H114" s="1593"/>
      <c r="I114" s="1593"/>
      <c r="J114" s="1593"/>
      <c r="K114" s="1593"/>
      <c r="L114" s="1593"/>
      <c r="M114" s="1593"/>
      <c r="N114" s="1593"/>
      <c r="O114" s="1593"/>
      <c r="P114" s="1593"/>
      <c r="Q114" s="1593"/>
      <c r="R114" s="1593"/>
      <c r="S114" s="1593"/>
    </row>
    <row r="115" spans="1:19" x14ac:dyDescent="0.2">
      <c r="A115" s="1593"/>
      <c r="B115" s="1593"/>
      <c r="C115" s="1593"/>
      <c r="D115" s="1593"/>
      <c r="E115" s="1593"/>
      <c r="F115" s="1593"/>
      <c r="G115" s="1593"/>
      <c r="H115" s="1593"/>
      <c r="I115" s="1593"/>
      <c r="J115" s="1593"/>
      <c r="K115" s="1593"/>
      <c r="L115" s="1593"/>
      <c r="M115" s="1593"/>
      <c r="N115" s="1593"/>
      <c r="O115" s="1593"/>
      <c r="P115" s="1593"/>
      <c r="Q115" s="1593"/>
      <c r="R115" s="1593"/>
      <c r="S115" s="1593"/>
    </row>
    <row r="116" spans="1:19" x14ac:dyDescent="0.2">
      <c r="A116" s="1593"/>
      <c r="B116" s="1593"/>
      <c r="C116" s="1593"/>
      <c r="D116" s="1593"/>
      <c r="E116" s="1593"/>
      <c r="F116" s="1593"/>
      <c r="G116" s="1593"/>
      <c r="H116" s="1593"/>
      <c r="I116" s="1593"/>
      <c r="J116" s="1593"/>
      <c r="K116" s="1593"/>
      <c r="L116" s="1593"/>
      <c r="M116" s="1593"/>
      <c r="N116" s="1593"/>
      <c r="O116" s="1593"/>
      <c r="P116" s="1593"/>
      <c r="Q116" s="1593"/>
      <c r="R116" s="1593"/>
      <c r="S116" s="1593"/>
    </row>
    <row r="117" spans="1:19" x14ac:dyDescent="0.2">
      <c r="A117" s="1593"/>
      <c r="B117" s="1593"/>
      <c r="C117" s="1593"/>
      <c r="D117" s="1593"/>
      <c r="E117" s="1593"/>
      <c r="F117" s="1593"/>
      <c r="G117" s="1593"/>
      <c r="H117" s="1593"/>
      <c r="I117" s="1593"/>
      <c r="J117" s="1593"/>
      <c r="K117" s="1593"/>
      <c r="L117" s="1593"/>
      <c r="M117" s="1593"/>
      <c r="N117" s="1593"/>
      <c r="O117" s="1593"/>
      <c r="P117" s="1593"/>
      <c r="Q117" s="1593"/>
      <c r="R117" s="1593"/>
      <c r="S117" s="1593"/>
    </row>
    <row r="118" spans="1:19" x14ac:dyDescent="0.2">
      <c r="A118" s="1593"/>
      <c r="B118" s="1593"/>
      <c r="C118" s="1593"/>
      <c r="D118" s="1593"/>
      <c r="E118" s="1593"/>
      <c r="F118" s="1593"/>
      <c r="G118" s="1593"/>
      <c r="H118" s="1593"/>
      <c r="I118" s="1593"/>
      <c r="J118" s="1593"/>
      <c r="K118" s="1593"/>
      <c r="L118" s="1593"/>
      <c r="M118" s="1593"/>
      <c r="N118" s="1593"/>
      <c r="O118" s="1593"/>
      <c r="P118" s="1593"/>
      <c r="Q118" s="1593"/>
      <c r="R118" s="1593"/>
      <c r="S118" s="1593"/>
    </row>
    <row r="119" spans="1:19" x14ac:dyDescent="0.2">
      <c r="A119" s="1593"/>
      <c r="B119" s="1593"/>
      <c r="C119" s="1593"/>
      <c r="D119" s="1593"/>
      <c r="E119" s="1593"/>
      <c r="F119" s="1593"/>
      <c r="G119" s="1593"/>
      <c r="H119" s="1593"/>
      <c r="I119" s="1593"/>
      <c r="J119" s="1593"/>
      <c r="K119" s="1593"/>
      <c r="L119" s="1593"/>
      <c r="M119" s="1593"/>
      <c r="N119" s="1593"/>
      <c r="O119" s="1593"/>
      <c r="P119" s="1593"/>
      <c r="Q119" s="1593"/>
      <c r="R119" s="1593"/>
      <c r="S119" s="1593"/>
    </row>
    <row r="120" spans="1:19" x14ac:dyDescent="0.2">
      <c r="A120" s="1593"/>
      <c r="B120" s="1593"/>
      <c r="C120" s="1593"/>
      <c r="D120" s="1593"/>
      <c r="E120" s="1593"/>
      <c r="F120" s="1593"/>
      <c r="G120" s="1593"/>
      <c r="H120" s="1593"/>
      <c r="I120" s="1593"/>
      <c r="J120" s="1593"/>
      <c r="K120" s="1593"/>
      <c r="L120" s="1593"/>
      <c r="M120" s="1593"/>
      <c r="N120" s="1593"/>
      <c r="O120" s="1593"/>
      <c r="P120" s="1593"/>
      <c r="Q120" s="1593"/>
      <c r="R120" s="1593"/>
      <c r="S120" s="1593"/>
    </row>
    <row r="121" spans="1:19" x14ac:dyDescent="0.2">
      <c r="A121" s="1593"/>
      <c r="B121" s="1593"/>
      <c r="C121" s="1593"/>
      <c r="D121" s="1593"/>
      <c r="E121" s="1593"/>
      <c r="F121" s="1593"/>
      <c r="G121" s="1593"/>
      <c r="H121" s="1593"/>
      <c r="I121" s="1593"/>
      <c r="J121" s="1593"/>
      <c r="K121" s="1593"/>
      <c r="L121" s="1593"/>
      <c r="M121" s="1593"/>
      <c r="N121" s="1593"/>
      <c r="O121" s="1593"/>
      <c r="P121" s="1593"/>
      <c r="Q121" s="1593"/>
      <c r="R121" s="1593"/>
      <c r="S121" s="1593"/>
    </row>
    <row r="122" spans="1:19" x14ac:dyDescent="0.2">
      <c r="A122" s="1593"/>
      <c r="B122" s="1593"/>
      <c r="C122" s="1593"/>
      <c r="D122" s="1593"/>
      <c r="E122" s="1593"/>
      <c r="F122" s="1593"/>
      <c r="G122" s="1593"/>
      <c r="H122" s="1593"/>
      <c r="I122" s="1593"/>
      <c r="J122" s="1593"/>
      <c r="K122" s="1593"/>
      <c r="L122" s="1593"/>
      <c r="M122" s="1593"/>
      <c r="N122" s="1593"/>
      <c r="O122" s="1593"/>
      <c r="P122" s="1593"/>
      <c r="Q122" s="1593"/>
      <c r="R122" s="1593"/>
      <c r="S122" s="1593"/>
    </row>
    <row r="123" spans="1:19" x14ac:dyDescent="0.2">
      <c r="A123" s="1593"/>
      <c r="B123" s="1593"/>
      <c r="C123" s="1593"/>
      <c r="D123" s="1593"/>
      <c r="E123" s="1593"/>
      <c r="F123" s="1593"/>
      <c r="G123" s="1593"/>
      <c r="H123" s="1593"/>
      <c r="I123" s="1593"/>
      <c r="J123" s="1593"/>
      <c r="K123" s="1593"/>
      <c r="L123" s="1593"/>
      <c r="M123" s="1593"/>
      <c r="N123" s="1593"/>
      <c r="O123" s="1593"/>
      <c r="P123" s="1593"/>
      <c r="Q123" s="1593"/>
      <c r="R123" s="1593"/>
      <c r="S123" s="1593"/>
    </row>
    <row r="124" spans="1:19" x14ac:dyDescent="0.2">
      <c r="A124" s="1593"/>
      <c r="B124" s="1593"/>
      <c r="C124" s="1593"/>
      <c r="D124" s="1593"/>
      <c r="E124" s="1593"/>
      <c r="F124" s="1593"/>
      <c r="G124" s="1593"/>
      <c r="H124" s="1593"/>
      <c r="I124" s="1593"/>
      <c r="J124" s="1593"/>
      <c r="K124" s="1593"/>
      <c r="L124" s="1593"/>
      <c r="M124" s="1593"/>
      <c r="N124" s="1593"/>
      <c r="O124" s="1593"/>
      <c r="P124" s="1593"/>
      <c r="Q124" s="1593"/>
      <c r="R124" s="1593"/>
      <c r="S124" s="1593"/>
    </row>
    <row r="125" spans="1:19" x14ac:dyDescent="0.2">
      <c r="A125" s="1593"/>
      <c r="B125" s="1593"/>
      <c r="C125" s="1593"/>
      <c r="D125" s="1593"/>
      <c r="E125" s="1593"/>
      <c r="F125" s="1593"/>
      <c r="G125" s="1593"/>
      <c r="H125" s="1593"/>
      <c r="I125" s="1593"/>
      <c r="J125" s="1593"/>
      <c r="K125" s="1593"/>
      <c r="L125" s="1593"/>
      <c r="M125" s="1593"/>
      <c r="N125" s="1593"/>
      <c r="O125" s="1593"/>
      <c r="P125" s="1593"/>
      <c r="Q125" s="1593"/>
      <c r="R125" s="1593"/>
      <c r="S125" s="1593"/>
    </row>
    <row r="126" spans="1:19" x14ac:dyDescent="0.2">
      <c r="A126" s="1593"/>
      <c r="B126" s="1593"/>
      <c r="C126" s="1593"/>
      <c r="D126" s="1593"/>
      <c r="E126" s="1593"/>
      <c r="F126" s="1593"/>
      <c r="G126" s="1593"/>
      <c r="H126" s="1593"/>
      <c r="I126" s="1593"/>
      <c r="J126" s="1593"/>
      <c r="K126" s="1593"/>
      <c r="L126" s="1593"/>
      <c r="M126" s="1593"/>
      <c r="N126" s="1593"/>
      <c r="O126" s="1593"/>
      <c r="P126" s="1593"/>
      <c r="Q126" s="1593"/>
      <c r="R126" s="1593"/>
      <c r="S126" s="1593"/>
    </row>
    <row r="127" spans="1:19" x14ac:dyDescent="0.2">
      <c r="A127" s="1593"/>
      <c r="B127" s="1593"/>
      <c r="C127" s="1593"/>
      <c r="D127" s="1593"/>
      <c r="E127" s="1593"/>
      <c r="F127" s="1593"/>
      <c r="G127" s="1593"/>
      <c r="H127" s="1593"/>
      <c r="I127" s="1593"/>
      <c r="J127" s="1593"/>
      <c r="K127" s="1593"/>
      <c r="L127" s="1593"/>
      <c r="M127" s="1593"/>
      <c r="N127" s="1593"/>
      <c r="O127" s="1593"/>
      <c r="P127" s="1593"/>
      <c r="Q127" s="1593"/>
      <c r="R127" s="1593"/>
      <c r="S127" s="1593"/>
    </row>
    <row r="128" spans="1:19" x14ac:dyDescent="0.2">
      <c r="A128" s="1593"/>
      <c r="B128" s="1593"/>
      <c r="C128" s="1593"/>
      <c r="D128" s="1593"/>
      <c r="E128" s="1593"/>
      <c r="F128" s="1593"/>
      <c r="G128" s="1593"/>
      <c r="H128" s="1593"/>
      <c r="I128" s="1593"/>
      <c r="J128" s="1593"/>
      <c r="K128" s="1593"/>
      <c r="L128" s="1593"/>
      <c r="M128" s="1593"/>
      <c r="N128" s="1593"/>
      <c r="O128" s="1593"/>
      <c r="P128" s="1593"/>
      <c r="Q128" s="1593"/>
      <c r="R128" s="1593"/>
      <c r="S128" s="1593"/>
    </row>
    <row r="129" spans="1:19" x14ac:dyDescent="0.2">
      <c r="A129" s="1593"/>
      <c r="B129" s="1593"/>
      <c r="C129" s="1593"/>
      <c r="D129" s="1593"/>
      <c r="E129" s="1593"/>
      <c r="F129" s="1593"/>
      <c r="G129" s="1593"/>
      <c r="H129" s="1593"/>
      <c r="I129" s="1593"/>
      <c r="J129" s="1593"/>
      <c r="K129" s="1593"/>
      <c r="L129" s="1593"/>
      <c r="M129" s="1593"/>
      <c r="N129" s="1593"/>
      <c r="O129" s="1593"/>
      <c r="P129" s="1593"/>
      <c r="Q129" s="1593"/>
      <c r="R129" s="1593"/>
      <c r="S129" s="1593"/>
    </row>
  </sheetData>
  <sheetProtection password="F8BD" sheet="1" objects="1" scenarios="1"/>
  <mergeCells count="127">
    <mergeCell ref="A104:K104"/>
    <mergeCell ref="L104:S104"/>
    <mergeCell ref="A99:K99"/>
    <mergeCell ref="L99:S99"/>
    <mergeCell ref="A100:K100"/>
    <mergeCell ref="L100:S100"/>
    <mergeCell ref="A101:K101"/>
    <mergeCell ref="L101:S101"/>
    <mergeCell ref="A102:K102"/>
    <mergeCell ref="L102:S102"/>
    <mergeCell ref="A103:K103"/>
    <mergeCell ref="A108:K108"/>
    <mergeCell ref="L108:S108"/>
    <mergeCell ref="A109:K109"/>
    <mergeCell ref="L109:S109"/>
    <mergeCell ref="A110:K110"/>
    <mergeCell ref="L110:S110"/>
    <mergeCell ref="A105:K105"/>
    <mergeCell ref="L105:S105"/>
    <mergeCell ref="A106:K106"/>
    <mergeCell ref="L106:S106"/>
    <mergeCell ref="A107:K107"/>
    <mergeCell ref="L107:S107"/>
    <mergeCell ref="A116:K116"/>
    <mergeCell ref="L116:S116"/>
    <mergeCell ref="A111:K111"/>
    <mergeCell ref="L111:S111"/>
    <mergeCell ref="A112:K112"/>
    <mergeCell ref="L112:S112"/>
    <mergeCell ref="A113:K113"/>
    <mergeCell ref="L113:S113"/>
    <mergeCell ref="A120:K120"/>
    <mergeCell ref="L120:S120"/>
    <mergeCell ref="A114:K114"/>
    <mergeCell ref="L114:S114"/>
    <mergeCell ref="A115:K115"/>
    <mergeCell ref="L115:S115"/>
    <mergeCell ref="A121:K121"/>
    <mergeCell ref="L121:S121"/>
    <mergeCell ref="A122:K122"/>
    <mergeCell ref="L122:S122"/>
    <mergeCell ref="A117:K117"/>
    <mergeCell ref="L117:S117"/>
    <mergeCell ref="A118:K118"/>
    <mergeCell ref="L118:S118"/>
    <mergeCell ref="A119:K119"/>
    <mergeCell ref="L119:S119"/>
    <mergeCell ref="A129:K129"/>
    <mergeCell ref="L129:S129"/>
    <mergeCell ref="A126:K126"/>
    <mergeCell ref="L126:S126"/>
    <mergeCell ref="A127:K127"/>
    <mergeCell ref="L127:S127"/>
    <mergeCell ref="A128:K128"/>
    <mergeCell ref="L128:S128"/>
    <mergeCell ref="A123:K123"/>
    <mergeCell ref="L123:S123"/>
    <mergeCell ref="A124:K124"/>
    <mergeCell ref="L124:S124"/>
    <mergeCell ref="A125:K125"/>
    <mergeCell ref="L125:S125"/>
    <mergeCell ref="L96:S96"/>
    <mergeCell ref="A97:K97"/>
    <mergeCell ref="L97:S97"/>
    <mergeCell ref="A98:K98"/>
    <mergeCell ref="L98:S98"/>
    <mergeCell ref="L94:S94"/>
    <mergeCell ref="A95:K95"/>
    <mergeCell ref="L95:S95"/>
    <mergeCell ref="L103:S103"/>
    <mergeCell ref="A92:K92"/>
    <mergeCell ref="L92:S92"/>
    <mergeCell ref="A94:K94"/>
    <mergeCell ref="L85:S85"/>
    <mergeCell ref="A93:K93"/>
    <mergeCell ref="L93:S93"/>
    <mergeCell ref="A91:K91"/>
    <mergeCell ref="L91:S91"/>
    <mergeCell ref="A89:K89"/>
    <mergeCell ref="L89:S89"/>
    <mergeCell ref="A90:K90"/>
    <mergeCell ref="L90:S90"/>
    <mergeCell ref="A76:K76"/>
    <mergeCell ref="L76:S76"/>
    <mergeCell ref="A77:K77"/>
    <mergeCell ref="L77:S77"/>
    <mergeCell ref="A86:K86"/>
    <mergeCell ref="L86:S86"/>
    <mergeCell ref="A87:K87"/>
    <mergeCell ref="L87:S87"/>
    <mergeCell ref="A88:K88"/>
    <mergeCell ref="L78:S78"/>
    <mergeCell ref="A78:K78"/>
    <mergeCell ref="L79:S79"/>
    <mergeCell ref="A80:K80"/>
    <mergeCell ref="L80:S80"/>
    <mergeCell ref="A81:K81"/>
    <mergeCell ref="L81:S81"/>
    <mergeCell ref="A82:K82"/>
    <mergeCell ref="L82:S82"/>
    <mergeCell ref="L88:S88"/>
    <mergeCell ref="A83:K83"/>
    <mergeCell ref="L83:S83"/>
    <mergeCell ref="A84:K84"/>
    <mergeCell ref="L84:S84"/>
    <mergeCell ref="A85:K85"/>
    <mergeCell ref="A64:M65"/>
    <mergeCell ref="A73:M73"/>
    <mergeCell ref="A1:K1"/>
    <mergeCell ref="A2:K2"/>
    <mergeCell ref="A6:K6"/>
    <mergeCell ref="A32:K34"/>
    <mergeCell ref="L32:S34"/>
    <mergeCell ref="A40:K42"/>
    <mergeCell ref="L40:S42"/>
    <mergeCell ref="A26:K28"/>
    <mergeCell ref="A11:A17"/>
    <mergeCell ref="E9:F9"/>
    <mergeCell ref="A19:J19"/>
    <mergeCell ref="A20:I20"/>
    <mergeCell ref="B49:M51"/>
    <mergeCell ref="B53:M54"/>
    <mergeCell ref="A21:I21"/>
    <mergeCell ref="B52:M52"/>
    <mergeCell ref="B59:M59"/>
    <mergeCell ref="B60:M60"/>
    <mergeCell ref="B63:L63"/>
  </mergeCells>
  <pageMargins left="0.7" right="0.7" top="0.75" bottom="0.75" header="0.3" footer="0.3"/>
  <pageSetup scale="63" fitToHeight="0" orientation="landscape" horizontalDpi="200" verticalDpi="200" r:id="rId1"/>
  <rowBreaks count="1" manualBreakCount="1">
    <brk id="45"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44</vt:i4>
      </vt:variant>
    </vt:vector>
  </HeadingPairs>
  <TitlesOfParts>
    <vt:vector size="93" baseType="lpstr">
      <vt:lpstr>LDC Info</vt:lpstr>
      <vt:lpstr>Index</vt:lpstr>
      <vt:lpstr>COS Flowchart</vt:lpstr>
      <vt:lpstr>List of Key References</vt:lpstr>
      <vt:lpstr>App.2-A_Requested_Approvals</vt:lpstr>
      <vt:lpstr>App.2-AA_Capital Projects</vt:lpstr>
      <vt:lpstr>App.2-AB_Capital Expenditures</vt:lpstr>
      <vt:lpstr>App.2-AC_Customer Engagement</vt:lpstr>
      <vt:lpstr>App.2-B_Acctg Instructions</vt:lpstr>
      <vt:lpstr>App.2-BA_Fixed Asset Cont</vt:lpstr>
      <vt:lpstr>Appendix 2-BB Service Life  </vt:lpstr>
      <vt:lpstr>App.2-CA_OldCGAAPDepExp_Yr1</vt:lpstr>
      <vt:lpstr>App.2-CB_NewCGAAP_DepExp_Yr1</vt:lpstr>
      <vt:lpstr>App.2-CC_DepExp_Yr2</vt:lpstr>
      <vt:lpstr>App.2-CD_DepExp_Yr3</vt:lpstr>
      <vt:lpstr>App.2-CE_DepExp_Yr4</vt:lpstr>
      <vt:lpstr>App.2-CF_DepExp_Yr5</vt:lpstr>
      <vt:lpstr>App.2-CG_DepExp_Yr6</vt:lpstr>
      <vt:lpstr>App.2-CH_DepExp</vt:lpstr>
      <vt:lpstr>App.2-D_Overhead</vt:lpstr>
      <vt:lpstr>App.2-EA_Account 1575 (2015)</vt:lpstr>
      <vt:lpstr>App.2-EB_Account 1576 (2012)</vt:lpstr>
      <vt:lpstr>App.2-EC_Account 1576 (2013)</vt:lpstr>
      <vt:lpstr>App.2-FA Proposed REG Invest.</vt:lpstr>
      <vt:lpstr>App.2-FB Calc of REG Improvemnt</vt:lpstr>
      <vt:lpstr>App.2-FC Calc of REG Expansion</vt:lpstr>
      <vt:lpstr>App.2-G SQI</vt:lpstr>
      <vt:lpstr>App.2-H_Other_Oper_Rev</vt:lpstr>
      <vt:lpstr>App_2-I LF_CDM</vt:lpstr>
      <vt:lpstr>App.2-IA_Load_Forecast_Instrct</vt:lpstr>
      <vt:lpstr>App.2-IB_Load_Forecast_Analysis</vt:lpstr>
      <vt:lpstr>App.2-JA_OM&amp;A_Summary_Analys</vt:lpstr>
      <vt:lpstr>App.2-JB_OM&amp;A_Cost _Drivers</vt:lpstr>
      <vt:lpstr>App.2-JC_OMA Programs</vt:lpstr>
      <vt:lpstr>App.2-K_Employee Costs</vt:lpstr>
      <vt:lpstr>App.2-KA_P_OPEBs</vt:lpstr>
      <vt:lpstr>App.2-L_OM&amp;A_per_Cust_FTE</vt:lpstr>
      <vt:lpstr>App.2-L_OM&amp;A_per_Cust_FTEE_exp</vt:lpstr>
      <vt:lpstr>App.2-M_Regulatory_Costs</vt:lpstr>
      <vt:lpstr>App.2-N_Corp_Cost_Allocation</vt:lpstr>
      <vt:lpstr>App.2-OA Capital Structure</vt:lpstr>
      <vt:lpstr>App.2-OB_Debt Instruments</vt:lpstr>
      <vt:lpstr>App.2-Q_Cost of Serv. Emb. Dx</vt:lpstr>
      <vt:lpstr>App.2-R_Loss Factors</vt:lpstr>
      <vt:lpstr>App.2-S_Stranded Meters</vt:lpstr>
      <vt:lpstr>App.2-Y_MIFRS Summary Impacts</vt:lpstr>
      <vt:lpstr>Sheet19</vt:lpstr>
      <vt:lpstr>App.2-YA_IFRS Transition Costs</vt:lpstr>
      <vt:lpstr>Sheet1</vt:lpstr>
      <vt:lpstr>'App_2-I LF_CDM'!BridgeYear</vt:lpstr>
      <vt:lpstr>BridgeYear</vt:lpstr>
      <vt:lpstr>'App_2-I LF_CDM'!EBNUMBER</vt:lpstr>
      <vt:lpstr>EBNUMBER</vt:lpstr>
      <vt:lpstr>'List of Key References'!infra</vt:lpstr>
      <vt:lpstr>LDCLIST</vt:lpstr>
      <vt:lpstr>'List of Key References'!OLE_LINK1</vt:lpstr>
      <vt:lpstr>'List of Key References'!OLE_LINK7</vt:lpstr>
      <vt:lpstr>'App.2-A_Requested_Approvals'!Print_Area</vt:lpstr>
      <vt:lpstr>'App.2-AA_Capital Projects'!Print_Area</vt:lpstr>
      <vt:lpstr>'App.2-B_Acctg Instructions'!Print_Area</vt:lpstr>
      <vt:lpstr>'App.2-BA_Fixed Asset Cont'!Print_Area</vt:lpstr>
      <vt:lpstr>'App.2-CA_OldCGAAPDepExp_Yr1'!Print_Area</vt:lpstr>
      <vt:lpstr>'App.2-CB_NewCGAAP_DepExp_Yr1'!Print_Area</vt:lpstr>
      <vt:lpstr>'App.2-CC_DepExp_Yr2'!Print_Area</vt:lpstr>
      <vt:lpstr>'App.2-CD_DepExp_Yr3'!Print_Area</vt:lpstr>
      <vt:lpstr>'App.2-CE_DepExp_Yr4'!Print_Area</vt:lpstr>
      <vt:lpstr>'App.2-CF_DepExp_Yr5'!Print_Area</vt:lpstr>
      <vt:lpstr>'App.2-CG_DepExp_Yr6'!Print_Area</vt:lpstr>
      <vt:lpstr>'App.2-CH_DepExp'!Print_Area</vt:lpstr>
      <vt:lpstr>'App.2-D_Overhead'!Print_Area</vt:lpstr>
      <vt:lpstr>'App.2-H_Other_Oper_Rev'!Print_Area</vt:lpstr>
      <vt:lpstr>'App.2-IA_Load_Forecast_Instrct'!Print_Area</vt:lpstr>
      <vt:lpstr>'App.2-JA_OM&amp;A_Summary_Analys'!Print_Area</vt:lpstr>
      <vt:lpstr>'App.2-JB_OM&amp;A_Cost _Drivers'!Print_Area</vt:lpstr>
      <vt:lpstr>'App.2-JC_OMA Programs'!Print_Area</vt:lpstr>
      <vt:lpstr>'App.2-K_Employee Costs'!Print_Area</vt:lpstr>
      <vt:lpstr>'App.2-L_OM&amp;A_per_Cust_FTE'!Print_Area</vt:lpstr>
      <vt:lpstr>'App.2-L_OM&amp;A_per_Cust_FTEE_exp'!Print_Area</vt:lpstr>
      <vt:lpstr>'App.2-M_Regulatory_Costs'!Print_Area</vt:lpstr>
      <vt:lpstr>'App.2-N_Corp_Cost_Allocation'!Print_Area</vt:lpstr>
      <vt:lpstr>'App.2-OA Capital Structure'!Print_Area</vt:lpstr>
      <vt:lpstr>'App.2-OB_Debt Instruments'!Print_Area</vt:lpstr>
      <vt:lpstr>'App.2-Q_Cost of Serv. Emb. Dx'!Print_Area</vt:lpstr>
      <vt:lpstr>'App.2-R_Loss Factors'!Print_Area</vt:lpstr>
      <vt:lpstr>'App.2-S_Stranded Meters'!Print_Area</vt:lpstr>
      <vt:lpstr>'App.2-YA_IFRS Transition Costs'!Print_Area</vt:lpstr>
      <vt:lpstr>'COS Flowchart'!Print_Area</vt:lpstr>
      <vt:lpstr>Index!Print_Area</vt:lpstr>
      <vt:lpstr>'LDC Info'!Print_Area</vt:lpstr>
      <vt:lpstr>'App_2-I LF_CDM'!RebaseYear</vt:lpstr>
      <vt:lpstr>RebaseYear</vt:lpstr>
      <vt:lpstr>'App_2-I LF_CDM'!TestYear</vt:lpstr>
      <vt:lpstr>TestYear</vt:lpstr>
    </vt:vector>
  </TitlesOfParts>
  <Company>Ontario Energy Board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ArmstrBi</dc:creator>
  <cp:lastModifiedBy>Becky Proctor</cp:lastModifiedBy>
  <cp:lastPrinted>2016-11-03T19:26:01Z</cp:lastPrinted>
  <dcterms:created xsi:type="dcterms:W3CDTF">2009-03-26T15:32:04Z</dcterms:created>
  <dcterms:modified xsi:type="dcterms:W3CDTF">2016-11-03T19:28:20Z</dcterms:modified>
</cp:coreProperties>
</file>